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0" yWindow="0" windowWidth="19200" windowHeight="10710" tabRatio="898" firstSheet="17"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典型户型修正商业" sheetId="31" r:id="rId24"/>
    <sheet name="结果表 (2)" sheetId="80"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典型户型修正车位" sheetId="81" r:id="rId46"/>
    <sheet name="结果表 (3)" sheetId="85" state="hidden" r:id="rId47"/>
    <sheet name="Sheet1" sheetId="77" r:id="rId48"/>
    <sheet name="Pivot" sheetId="78" r:id="rId49"/>
    <sheet name="Adj RR" sheetId="79" r:id="rId50"/>
    <sheet name="车库清单" sheetId="83" r:id="rId51"/>
  </sheets>
  <definedNames>
    <definedName name="_xlnm._FilterDatabase" localSheetId="49" hidden="1">'Adj RR'!$B$4:$P$79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典型户型修正车位!$5:$5</definedName>
    <definedName name="一修多修正项2">典型户型修正商业!$5:$5</definedName>
    <definedName name="一修多修正项3" localSheetId="45">典型户型修正车位!$7:$7</definedName>
    <definedName name="一修多修正项3">典型户型修正商业!$7:$7</definedName>
    <definedName name="一修多修正项4" localSheetId="45">典型户型修正车位!$9:$9</definedName>
    <definedName name="一修多修正项4">典型户型修正商业!$9:$9</definedName>
    <definedName name="一修多修正项5" localSheetId="45">典型户型修正车位!$11:$11</definedName>
    <definedName name="一修多修正项5">典型户型修正商业!$11:$11</definedName>
    <definedName name="一修多修正项6" localSheetId="45">典型户型修正车位!$13:$13</definedName>
    <definedName name="一修多修正项6">典型户型修正商业!$13:$13</definedName>
    <definedName name="一修多修正项7" localSheetId="45">典型户型修正车位!$15:$15</definedName>
    <definedName name="一修多修正项7">典型户型修正商业!$15:$15</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pivotCaches>
    <pivotCache cacheId="0" r:id="rId52"/>
  </pivotCaches>
</workbook>
</file>

<file path=xl/calcChain.xml><?xml version="1.0" encoding="utf-8"?>
<calcChain xmlns="http://schemas.openxmlformats.org/spreadsheetml/2006/main">
  <c r="E13" i="77" l="1"/>
  <c r="H12" i="77" l="1"/>
  <c r="I47" i="33"/>
  <c r="G47" i="33"/>
  <c r="E47" i="33"/>
  <c r="E12" i="77"/>
  <c r="G10" i="77"/>
  <c r="G9" i="77"/>
  <c r="G8" i="77"/>
  <c r="G7" i="77"/>
  <c r="H9" i="77"/>
  <c r="R24" i="81"/>
  <c r="AA18" i="1" l="1"/>
  <c r="N18" i="1"/>
  <c r="A120" i="85" l="1"/>
  <c r="E111" i="85"/>
  <c r="A126" i="85" s="1"/>
  <c r="H109" i="85"/>
  <c r="D124" i="85" s="1"/>
  <c r="D125" i="85" s="1"/>
  <c r="E109" i="85"/>
  <c r="A124" i="85" s="1"/>
  <c r="E107" i="85"/>
  <c r="A122" i="85" s="1"/>
  <c r="H106" i="85"/>
  <c r="H105" i="85"/>
  <c r="H104" i="85"/>
  <c r="H103" i="85"/>
  <c r="D120" i="85" s="1"/>
  <c r="D101" i="85"/>
  <c r="C101" i="85"/>
  <c r="C91" i="85"/>
  <c r="E90" i="85"/>
  <c r="D89" i="85"/>
  <c r="C89" i="85" s="1"/>
  <c r="C87" i="85" s="1"/>
  <c r="H77" i="85"/>
  <c r="D77" i="85"/>
  <c r="C76" i="85"/>
  <c r="F59" i="85"/>
  <c r="E59" i="85"/>
  <c r="D59" i="85"/>
  <c r="F56" i="85"/>
  <c r="O54" i="85" s="1"/>
  <c r="O55" i="85"/>
  <c r="N55" i="85"/>
  <c r="M55" i="85"/>
  <c r="K55" i="85"/>
  <c r="J55" i="85"/>
  <c r="I55" i="85"/>
  <c r="F55" i="85" s="1"/>
  <c r="O53" i="85" s="1"/>
  <c r="N54" i="85"/>
  <c r="N53" i="85"/>
  <c r="K49" i="85"/>
  <c r="E48" i="85"/>
  <c r="N52" i="85" s="1"/>
  <c r="F33" i="85"/>
  <c r="D27" i="85"/>
  <c r="C25" i="85"/>
  <c r="C24" i="85"/>
  <c r="D17" i="85"/>
  <c r="C17" i="85"/>
  <c r="L4" i="85"/>
  <c r="K4" i="85"/>
  <c r="H1" i="85"/>
  <c r="O7" i="79"/>
  <c r="C18" i="85" l="1"/>
  <c r="D18" i="85" s="1"/>
  <c r="C92" i="85"/>
  <c r="C94" i="85"/>
  <c r="K120" i="85"/>
  <c r="D121" i="85"/>
  <c r="H110" i="85"/>
  <c r="B25" i="31"/>
  <c r="B26" i="31"/>
  <c r="B27" i="31"/>
  <c r="B28" i="31"/>
  <c r="B24" i="31"/>
  <c r="G36" i="33"/>
  <c r="I36" i="33"/>
  <c r="D59" i="33"/>
  <c r="E59" i="33" s="1"/>
  <c r="F59" i="33" s="1"/>
  <c r="G59" i="33" s="1"/>
  <c r="H59" i="33" s="1"/>
  <c r="I59" i="33" s="1"/>
  <c r="J59" i="33" s="1"/>
  <c r="K59" i="33" s="1"/>
  <c r="L59" i="33" s="1"/>
  <c r="E36" i="33"/>
  <c r="C33" i="33"/>
  <c r="B25"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B97" i="81"/>
  <c r="B98" i="81"/>
  <c r="B99" i="81"/>
  <c r="B100" i="81"/>
  <c r="B101" i="81"/>
  <c r="B102" i="81"/>
  <c r="B103" i="81"/>
  <c r="B104" i="81"/>
  <c r="B105" i="81"/>
  <c r="B106" i="81"/>
  <c r="B107" i="81"/>
  <c r="B108" i="81"/>
  <c r="B109" i="81"/>
  <c r="B110" i="81"/>
  <c r="B111" i="81"/>
  <c r="B112" i="81"/>
  <c r="B113" i="81"/>
  <c r="B114" i="81"/>
  <c r="B115" i="81"/>
  <c r="B116" i="81"/>
  <c r="B117" i="81"/>
  <c r="B118" i="81"/>
  <c r="B119" i="81"/>
  <c r="B120" i="81"/>
  <c r="B121" i="81"/>
  <c r="B122" i="81"/>
  <c r="B123" i="81"/>
  <c r="B124" i="81"/>
  <c r="B24" i="81"/>
  <c r="I29" i="35"/>
  <c r="G29" i="35"/>
  <c r="C31" i="35"/>
  <c r="E29" i="35" l="1"/>
  <c r="C104" i="83"/>
  <c r="R524" i="81" l="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R341" i="81"/>
  <c r="S341" i="81" s="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R333" i="81"/>
  <c r="S333" i="81" s="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R329" i="81"/>
  <c r="S329" i="81" s="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R325" i="81"/>
  <c r="S325" i="81" s="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R321" i="81"/>
  <c r="S321" i="81" s="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R317" i="81"/>
  <c r="S317" i="81" s="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R313" i="81"/>
  <c r="S313" i="81" s="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R309" i="81"/>
  <c r="S309" i="81" s="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R305" i="81"/>
  <c r="S305" i="81" s="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R301" i="81"/>
  <c r="S301" i="81" s="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R297" i="81"/>
  <c r="S297" i="81" s="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Q247" i="81"/>
  <c r="O247" i="81"/>
  <c r="M247" i="81"/>
  <c r="K247" i="81"/>
  <c r="I247" i="81"/>
  <c r="G247" i="81"/>
  <c r="E247" i="81"/>
  <c r="C247" i="81"/>
  <c r="R247" i="81" s="1"/>
  <c r="S247" i="81" s="1"/>
  <c r="Q246" i="81"/>
  <c r="O246" i="81"/>
  <c r="M246" i="81"/>
  <c r="K246" i="81"/>
  <c r="I246" i="81"/>
  <c r="G246" i="81"/>
  <c r="E246" i="81"/>
  <c r="C246" i="81"/>
  <c r="R246" i="81" s="1"/>
  <c r="S246" i="81" s="1"/>
  <c r="Q245" i="81"/>
  <c r="O245" i="81"/>
  <c r="M245" i="81"/>
  <c r="K245" i="81"/>
  <c r="I245" i="81"/>
  <c r="G245" i="81"/>
  <c r="E245" i="81"/>
  <c r="C245" i="81"/>
  <c r="R245" i="81" s="1"/>
  <c r="S245" i="81" s="1"/>
  <c r="Q244" i="81"/>
  <c r="O244" i="81"/>
  <c r="M244" i="81"/>
  <c r="K244" i="81"/>
  <c r="I244" i="81"/>
  <c r="G244" i="81"/>
  <c r="E244" i="81"/>
  <c r="C244" i="81"/>
  <c r="R244" i="81" s="1"/>
  <c r="S244" i="81" s="1"/>
  <c r="Q243" i="81"/>
  <c r="O243" i="81"/>
  <c r="M243" i="81"/>
  <c r="K243" i="81"/>
  <c r="I243" i="81"/>
  <c r="G243" i="81"/>
  <c r="E243" i="81"/>
  <c r="C243" i="81"/>
  <c r="R243" i="81" s="1"/>
  <c r="S243" i="81" s="1"/>
  <c r="Q242" i="81"/>
  <c r="O242" i="81"/>
  <c r="M242" i="81"/>
  <c r="K242" i="81"/>
  <c r="I242" i="81"/>
  <c r="G242" i="81"/>
  <c r="E242" i="81"/>
  <c r="C242" i="81"/>
  <c r="R242" i="81" s="1"/>
  <c r="S242" i="81" s="1"/>
  <c r="Q241" i="81"/>
  <c r="O241" i="81"/>
  <c r="M241" i="81"/>
  <c r="K241" i="81"/>
  <c r="I241" i="81"/>
  <c r="G241" i="81"/>
  <c r="E241" i="81"/>
  <c r="C241" i="81"/>
  <c r="R241" i="81" s="1"/>
  <c r="S241" i="81" s="1"/>
  <c r="Q240" i="81"/>
  <c r="O240" i="81"/>
  <c r="M240" i="81"/>
  <c r="K240" i="81"/>
  <c r="I240" i="81"/>
  <c r="G240" i="81"/>
  <c r="E240" i="81"/>
  <c r="C240" i="81"/>
  <c r="R240" i="81" s="1"/>
  <c r="S240" i="81" s="1"/>
  <c r="Q239" i="81"/>
  <c r="O239" i="81"/>
  <c r="M239" i="81"/>
  <c r="K239" i="81"/>
  <c r="I239" i="81"/>
  <c r="G239" i="81"/>
  <c r="E239" i="81"/>
  <c r="C239" i="81"/>
  <c r="R239" i="81" s="1"/>
  <c r="S239" i="81" s="1"/>
  <c r="Q238" i="81"/>
  <c r="O238" i="81"/>
  <c r="M238" i="81"/>
  <c r="K238" i="81"/>
  <c r="I238" i="81"/>
  <c r="G238" i="81"/>
  <c r="E238" i="81"/>
  <c r="C238" i="81"/>
  <c r="R238" i="81" s="1"/>
  <c r="S238" i="81" s="1"/>
  <c r="Q237" i="81"/>
  <c r="O237" i="81"/>
  <c r="M237" i="81"/>
  <c r="K237" i="81"/>
  <c r="I237" i="81"/>
  <c r="G237" i="81"/>
  <c r="E237" i="81"/>
  <c r="C237" i="81"/>
  <c r="R237" i="81" s="1"/>
  <c r="S237" i="81" s="1"/>
  <c r="Q236" i="81"/>
  <c r="O236" i="81"/>
  <c r="M236" i="81"/>
  <c r="K236" i="81"/>
  <c r="I236" i="81"/>
  <c r="G236" i="81"/>
  <c r="E236" i="81"/>
  <c r="C236" i="81"/>
  <c r="R236" i="81" s="1"/>
  <c r="S236" i="81" s="1"/>
  <c r="Q235" i="81"/>
  <c r="O235" i="81"/>
  <c r="M235" i="81"/>
  <c r="K235" i="81"/>
  <c r="I235" i="81"/>
  <c r="G235" i="81"/>
  <c r="E235" i="81"/>
  <c r="C235" i="81"/>
  <c r="R235" i="81" s="1"/>
  <c r="S235" i="81" s="1"/>
  <c r="Q234" i="81"/>
  <c r="O234" i="81"/>
  <c r="M234" i="81"/>
  <c r="K234" i="81"/>
  <c r="I234" i="81"/>
  <c r="G234" i="81"/>
  <c r="E234" i="81"/>
  <c r="C234" i="81"/>
  <c r="R234" i="81" s="1"/>
  <c r="S234" i="81" s="1"/>
  <c r="Q233" i="81"/>
  <c r="O233" i="81"/>
  <c r="M233" i="81"/>
  <c r="K233" i="81"/>
  <c r="I233" i="81"/>
  <c r="G233" i="81"/>
  <c r="E233" i="81"/>
  <c r="C233" i="81"/>
  <c r="R233" i="81" s="1"/>
  <c r="S233" i="81" s="1"/>
  <c r="Q232" i="81"/>
  <c r="O232" i="81"/>
  <c r="M232" i="81"/>
  <c r="K232" i="81"/>
  <c r="I232" i="81"/>
  <c r="G232" i="81"/>
  <c r="E232" i="81"/>
  <c r="C232" i="81"/>
  <c r="R232" i="81" s="1"/>
  <c r="S232" i="81" s="1"/>
  <c r="Q231" i="81"/>
  <c r="O231" i="81"/>
  <c r="M231" i="81"/>
  <c r="K231" i="81"/>
  <c r="I231" i="81"/>
  <c r="G231" i="81"/>
  <c r="E231" i="81"/>
  <c r="C231" i="81"/>
  <c r="R231" i="81" s="1"/>
  <c r="S231" i="81" s="1"/>
  <c r="Q230" i="81"/>
  <c r="O230" i="81"/>
  <c r="M230" i="81"/>
  <c r="K230" i="81"/>
  <c r="I230" i="81"/>
  <c r="G230" i="81"/>
  <c r="E230" i="81"/>
  <c r="C230" i="81"/>
  <c r="R230" i="81" s="1"/>
  <c r="S230" i="81" s="1"/>
  <c r="Q229" i="81"/>
  <c r="O229" i="81"/>
  <c r="M229" i="81"/>
  <c r="K229" i="81"/>
  <c r="I229" i="81"/>
  <c r="G229" i="81"/>
  <c r="E229" i="81"/>
  <c r="C229" i="81"/>
  <c r="R229" i="81" s="1"/>
  <c r="S229" i="81" s="1"/>
  <c r="Q228" i="81"/>
  <c r="O228" i="81"/>
  <c r="M228" i="81"/>
  <c r="K228" i="81"/>
  <c r="I228" i="81"/>
  <c r="G228" i="81"/>
  <c r="E228" i="81"/>
  <c r="C228" i="81"/>
  <c r="R228" i="81" s="1"/>
  <c r="S228" i="81" s="1"/>
  <c r="Q227" i="81"/>
  <c r="O227" i="81"/>
  <c r="M227" i="81"/>
  <c r="K227" i="81"/>
  <c r="I227" i="81"/>
  <c r="G227" i="81"/>
  <c r="E227" i="81"/>
  <c r="C227" i="81"/>
  <c r="R227" i="81" s="1"/>
  <c r="S227" i="81" s="1"/>
  <c r="Q226" i="81"/>
  <c r="O226" i="81"/>
  <c r="M226" i="81"/>
  <c r="K226" i="81"/>
  <c r="I226" i="81"/>
  <c r="G226" i="81"/>
  <c r="E226" i="81"/>
  <c r="C226" i="81"/>
  <c r="R226" i="81" s="1"/>
  <c r="S226" i="81" s="1"/>
  <c r="Q225" i="81"/>
  <c r="O225" i="81"/>
  <c r="M225" i="81"/>
  <c r="K225" i="81"/>
  <c r="I225" i="81"/>
  <c r="G225" i="81"/>
  <c r="E225" i="81"/>
  <c r="C225" i="81"/>
  <c r="R225" i="81" s="1"/>
  <c r="S225" i="81" s="1"/>
  <c r="Q224" i="81"/>
  <c r="O224" i="81"/>
  <c r="M224" i="81"/>
  <c r="K224" i="81"/>
  <c r="I224" i="81"/>
  <c r="G224" i="81"/>
  <c r="E224" i="81"/>
  <c r="C224" i="81"/>
  <c r="R224" i="81" s="1"/>
  <c r="S224" i="81" s="1"/>
  <c r="Q223" i="81"/>
  <c r="O223" i="81"/>
  <c r="M223" i="81"/>
  <c r="K223" i="81"/>
  <c r="I223" i="81"/>
  <c r="G223" i="81"/>
  <c r="E223" i="81"/>
  <c r="C223" i="81"/>
  <c r="R223" i="81" s="1"/>
  <c r="S223" i="81" s="1"/>
  <c r="Q222" i="81"/>
  <c r="O222" i="81"/>
  <c r="M222" i="81"/>
  <c r="K222" i="81"/>
  <c r="I222" i="81"/>
  <c r="G222" i="81"/>
  <c r="E222" i="81"/>
  <c r="C222" i="81"/>
  <c r="R222" i="81" s="1"/>
  <c r="S222" i="81" s="1"/>
  <c r="Q221" i="81"/>
  <c r="O221" i="81"/>
  <c r="M221" i="81"/>
  <c r="K221" i="81"/>
  <c r="I221" i="81"/>
  <c r="G221" i="81"/>
  <c r="E221" i="81"/>
  <c r="C221" i="81"/>
  <c r="R221" i="81" s="1"/>
  <c r="S221" i="81" s="1"/>
  <c r="Q220" i="81"/>
  <c r="O220" i="81"/>
  <c r="M220" i="81"/>
  <c r="K220" i="81"/>
  <c r="I220" i="81"/>
  <c r="G220" i="81"/>
  <c r="E220" i="81"/>
  <c r="C220" i="81"/>
  <c r="R220" i="81" s="1"/>
  <c r="S220" i="81" s="1"/>
  <c r="Q219" i="81"/>
  <c r="O219" i="81"/>
  <c r="M219" i="81"/>
  <c r="K219" i="81"/>
  <c r="I219" i="81"/>
  <c r="G219" i="81"/>
  <c r="E219" i="81"/>
  <c r="C219" i="81"/>
  <c r="R219" i="81" s="1"/>
  <c r="S219" i="81" s="1"/>
  <c r="Q218" i="81"/>
  <c r="O218" i="81"/>
  <c r="M218" i="81"/>
  <c r="K218" i="81"/>
  <c r="I218" i="81"/>
  <c r="G218" i="81"/>
  <c r="E218" i="81"/>
  <c r="C218" i="81"/>
  <c r="R218" i="81" s="1"/>
  <c r="S218" i="81" s="1"/>
  <c r="Q217" i="81"/>
  <c r="O217" i="81"/>
  <c r="M217" i="81"/>
  <c r="K217" i="81"/>
  <c r="I217" i="81"/>
  <c r="G217" i="81"/>
  <c r="E217" i="81"/>
  <c r="C217" i="81"/>
  <c r="R217" i="81" s="1"/>
  <c r="S217" i="81" s="1"/>
  <c r="Q216" i="81"/>
  <c r="O216" i="81"/>
  <c r="M216" i="81"/>
  <c r="K216" i="81"/>
  <c r="I216" i="81"/>
  <c r="G216" i="81"/>
  <c r="E216" i="81"/>
  <c r="C216" i="81"/>
  <c r="R216" i="81" s="1"/>
  <c r="S216" i="81" s="1"/>
  <c r="Q215" i="81"/>
  <c r="O215" i="81"/>
  <c r="M215" i="81"/>
  <c r="K215" i="81"/>
  <c r="I215" i="81"/>
  <c r="G215" i="81"/>
  <c r="E215" i="81"/>
  <c r="C215" i="81"/>
  <c r="R215" i="81" s="1"/>
  <c r="S215" i="81" s="1"/>
  <c r="Q214" i="81"/>
  <c r="O214" i="81"/>
  <c r="M214" i="81"/>
  <c r="K214" i="81"/>
  <c r="I214" i="81"/>
  <c r="G214" i="81"/>
  <c r="E214" i="81"/>
  <c r="C214" i="81"/>
  <c r="R214" i="81" s="1"/>
  <c r="S214" i="81" s="1"/>
  <c r="Q213" i="81"/>
  <c r="O213" i="81"/>
  <c r="M213" i="81"/>
  <c r="K213" i="81"/>
  <c r="I213" i="81"/>
  <c r="G213" i="81"/>
  <c r="E213" i="81"/>
  <c r="C213" i="81"/>
  <c r="R213" i="81" s="1"/>
  <c r="S213" i="81" s="1"/>
  <c r="Q212" i="81"/>
  <c r="O212" i="81"/>
  <c r="M212" i="81"/>
  <c r="K212" i="81"/>
  <c r="I212" i="81"/>
  <c r="G212" i="81"/>
  <c r="E212" i="81"/>
  <c r="C212" i="81"/>
  <c r="R212" i="81" s="1"/>
  <c r="S212" i="81" s="1"/>
  <c r="Q211" i="81"/>
  <c r="O211" i="81"/>
  <c r="M211" i="81"/>
  <c r="K211" i="81"/>
  <c r="I211" i="81"/>
  <c r="G211" i="81"/>
  <c r="E211" i="81"/>
  <c r="C211" i="81"/>
  <c r="R211" i="81" s="1"/>
  <c r="S211" i="81" s="1"/>
  <c r="Q210" i="81"/>
  <c r="O210" i="81"/>
  <c r="M210" i="81"/>
  <c r="K210" i="81"/>
  <c r="I210" i="81"/>
  <c r="G210" i="81"/>
  <c r="E210" i="81"/>
  <c r="C210" i="81"/>
  <c r="R210" i="81" s="1"/>
  <c r="S210" i="81" s="1"/>
  <c r="Q209" i="81"/>
  <c r="O209" i="81"/>
  <c r="M209" i="81"/>
  <c r="K209" i="81"/>
  <c r="I209" i="81"/>
  <c r="G209" i="81"/>
  <c r="E209" i="81"/>
  <c r="C209" i="81"/>
  <c r="R209" i="81" s="1"/>
  <c r="S209" i="81" s="1"/>
  <c r="Q208" i="81"/>
  <c r="O208" i="81"/>
  <c r="M208" i="81"/>
  <c r="K208" i="81"/>
  <c r="I208" i="81"/>
  <c r="G208" i="81"/>
  <c r="E208" i="81"/>
  <c r="C208" i="81"/>
  <c r="R208" i="81" s="1"/>
  <c r="S208" i="81" s="1"/>
  <c r="Q207" i="81"/>
  <c r="O207" i="81"/>
  <c r="M207" i="81"/>
  <c r="K207" i="81"/>
  <c r="I207" i="81"/>
  <c r="G207" i="81"/>
  <c r="E207" i="81"/>
  <c r="C207" i="81"/>
  <c r="R207" i="81" s="1"/>
  <c r="S207" i="81" s="1"/>
  <c r="Q206" i="81"/>
  <c r="O206" i="81"/>
  <c r="M206" i="81"/>
  <c r="K206" i="81"/>
  <c r="I206" i="81"/>
  <c r="G206" i="81"/>
  <c r="E206" i="81"/>
  <c r="C206" i="81"/>
  <c r="R206" i="81" s="1"/>
  <c r="S206" i="81" s="1"/>
  <c r="Q205" i="81"/>
  <c r="O205" i="81"/>
  <c r="M205" i="81"/>
  <c r="K205" i="81"/>
  <c r="I205" i="81"/>
  <c r="G205" i="81"/>
  <c r="E205" i="81"/>
  <c r="C205" i="81"/>
  <c r="R205" i="81" s="1"/>
  <c r="S205" i="81" s="1"/>
  <c r="Q204" i="81"/>
  <c r="O204" i="81"/>
  <c r="M204" i="81"/>
  <c r="K204" i="81"/>
  <c r="I204" i="81"/>
  <c r="G204" i="81"/>
  <c r="E204" i="81"/>
  <c r="C204" i="81"/>
  <c r="R204" i="81" s="1"/>
  <c r="S204" i="81" s="1"/>
  <c r="Q203" i="81"/>
  <c r="O203" i="81"/>
  <c r="M203" i="81"/>
  <c r="K203" i="81"/>
  <c r="I203" i="81"/>
  <c r="G203" i="81"/>
  <c r="E203" i="81"/>
  <c r="C203" i="81"/>
  <c r="R203" i="81" s="1"/>
  <c r="S203" i="81" s="1"/>
  <c r="Q202" i="81"/>
  <c r="O202" i="81"/>
  <c r="M202" i="81"/>
  <c r="K202" i="81"/>
  <c r="I202" i="81"/>
  <c r="G202" i="81"/>
  <c r="E202" i="81"/>
  <c r="C202" i="81"/>
  <c r="R202" i="81" s="1"/>
  <c r="S202" i="81" s="1"/>
  <c r="Q201" i="81"/>
  <c r="O201" i="81"/>
  <c r="M201" i="81"/>
  <c r="K201" i="81"/>
  <c r="I201" i="81"/>
  <c r="G201" i="81"/>
  <c r="E201" i="81"/>
  <c r="C201" i="81"/>
  <c r="R201" i="81" s="1"/>
  <c r="S201" i="81" s="1"/>
  <c r="Q200" i="81"/>
  <c r="O200" i="81"/>
  <c r="M200" i="81"/>
  <c r="K200" i="81"/>
  <c r="I200" i="81"/>
  <c r="G200" i="81"/>
  <c r="E200" i="81"/>
  <c r="C200" i="81"/>
  <c r="R200" i="81" s="1"/>
  <c r="S200" i="81" s="1"/>
  <c r="Q199" i="81"/>
  <c r="O199" i="81"/>
  <c r="M199" i="81"/>
  <c r="K199" i="81"/>
  <c r="I199" i="81"/>
  <c r="G199" i="81"/>
  <c r="E199" i="81"/>
  <c r="C199" i="81"/>
  <c r="R199" i="81" s="1"/>
  <c r="S199" i="81" s="1"/>
  <c r="Q198" i="81"/>
  <c r="O198" i="81"/>
  <c r="M198" i="81"/>
  <c r="K198" i="81"/>
  <c r="I198" i="81"/>
  <c r="G198" i="81"/>
  <c r="E198" i="81"/>
  <c r="C198" i="81"/>
  <c r="R198" i="81" s="1"/>
  <c r="S198" i="81" s="1"/>
  <c r="Q197" i="81"/>
  <c r="O197" i="81"/>
  <c r="M197" i="81"/>
  <c r="K197" i="81"/>
  <c r="I197" i="81"/>
  <c r="G197" i="81"/>
  <c r="E197" i="81"/>
  <c r="C197" i="81"/>
  <c r="R197" i="81" s="1"/>
  <c r="S197" i="81" s="1"/>
  <c r="Q196" i="81"/>
  <c r="O196" i="81"/>
  <c r="M196" i="81"/>
  <c r="K196" i="81"/>
  <c r="I196" i="81"/>
  <c r="G196" i="81"/>
  <c r="E196" i="81"/>
  <c r="C196" i="81"/>
  <c r="R196" i="81" s="1"/>
  <c r="S196" i="81" s="1"/>
  <c r="Q195" i="81"/>
  <c r="O195" i="81"/>
  <c r="M195" i="81"/>
  <c r="K195" i="81"/>
  <c r="I195" i="81"/>
  <c r="G195" i="81"/>
  <c r="E195" i="81"/>
  <c r="C195" i="81"/>
  <c r="R195" i="81" s="1"/>
  <c r="S195" i="81" s="1"/>
  <c r="Q194" i="81"/>
  <c r="O194" i="81"/>
  <c r="M194" i="81"/>
  <c r="K194" i="81"/>
  <c r="I194" i="81"/>
  <c r="G194" i="81"/>
  <c r="E194" i="81"/>
  <c r="C194" i="81"/>
  <c r="R194" i="81" s="1"/>
  <c r="S194" i="81" s="1"/>
  <c r="Q193" i="81"/>
  <c r="O193" i="81"/>
  <c r="M193" i="81"/>
  <c r="K193" i="81"/>
  <c r="I193" i="81"/>
  <c r="G193" i="81"/>
  <c r="E193" i="81"/>
  <c r="C193" i="81"/>
  <c r="R193" i="81" s="1"/>
  <c r="S193" i="81" s="1"/>
  <c r="Q192" i="81"/>
  <c r="O192" i="81"/>
  <c r="M192" i="81"/>
  <c r="K192" i="81"/>
  <c r="I192" i="81"/>
  <c r="G192" i="81"/>
  <c r="E192" i="81"/>
  <c r="C192" i="81"/>
  <c r="R192" i="81" s="1"/>
  <c r="S192" i="81" s="1"/>
  <c r="Q191" i="81"/>
  <c r="O191" i="81"/>
  <c r="M191" i="81"/>
  <c r="K191" i="81"/>
  <c r="I191" i="81"/>
  <c r="G191" i="81"/>
  <c r="E191" i="81"/>
  <c r="C191" i="81"/>
  <c r="R191" i="81" s="1"/>
  <c r="S191" i="81" s="1"/>
  <c r="Q190" i="81"/>
  <c r="O190" i="81"/>
  <c r="M190" i="81"/>
  <c r="K190" i="81"/>
  <c r="I190" i="81"/>
  <c r="G190" i="81"/>
  <c r="E190" i="81"/>
  <c r="C190" i="81"/>
  <c r="R190" i="81" s="1"/>
  <c r="S190" i="81" s="1"/>
  <c r="Q189" i="81"/>
  <c r="O189" i="81"/>
  <c r="M189" i="81"/>
  <c r="K189" i="81"/>
  <c r="I189" i="81"/>
  <c r="G189" i="81"/>
  <c r="E189" i="81"/>
  <c r="C189" i="81"/>
  <c r="R189" i="81" s="1"/>
  <c r="S189" i="81" s="1"/>
  <c r="Q188" i="81"/>
  <c r="O188" i="81"/>
  <c r="M188" i="81"/>
  <c r="K188" i="81"/>
  <c r="I188" i="81"/>
  <c r="G188" i="81"/>
  <c r="E188" i="81"/>
  <c r="C188" i="81"/>
  <c r="R188" i="81" s="1"/>
  <c r="S188" i="81" s="1"/>
  <c r="Q187" i="81"/>
  <c r="O187" i="81"/>
  <c r="M187" i="81"/>
  <c r="K187" i="81"/>
  <c r="I187" i="81"/>
  <c r="G187" i="81"/>
  <c r="E187" i="81"/>
  <c r="C187" i="81"/>
  <c r="R187" i="81" s="1"/>
  <c r="S187" i="81" s="1"/>
  <c r="Q186" i="81"/>
  <c r="O186" i="81"/>
  <c r="M186" i="81"/>
  <c r="K186" i="81"/>
  <c r="I186" i="81"/>
  <c r="G186" i="81"/>
  <c r="E186" i="81"/>
  <c r="C186" i="81"/>
  <c r="R186" i="81" s="1"/>
  <c r="S186" i="81" s="1"/>
  <c r="Q185" i="81"/>
  <c r="O185" i="81"/>
  <c r="M185" i="81"/>
  <c r="K185" i="81"/>
  <c r="I185" i="81"/>
  <c r="G185" i="81"/>
  <c r="E185" i="81"/>
  <c r="C185" i="81"/>
  <c r="R185" i="81" s="1"/>
  <c r="S185" i="81" s="1"/>
  <c r="Q184" i="81"/>
  <c r="O184" i="81"/>
  <c r="M184" i="81"/>
  <c r="K184" i="81"/>
  <c r="I184" i="81"/>
  <c r="G184" i="81"/>
  <c r="E184" i="81"/>
  <c r="C184" i="81"/>
  <c r="R184" i="81" s="1"/>
  <c r="S184" i="81" s="1"/>
  <c r="Q183" i="81"/>
  <c r="O183" i="81"/>
  <c r="M183" i="81"/>
  <c r="K183" i="81"/>
  <c r="I183" i="81"/>
  <c r="G183" i="81"/>
  <c r="E183" i="81"/>
  <c r="C183" i="81"/>
  <c r="R183" i="81" s="1"/>
  <c r="S183" i="81" s="1"/>
  <c r="Q182" i="81"/>
  <c r="O182" i="81"/>
  <c r="M182" i="81"/>
  <c r="K182" i="81"/>
  <c r="I182" i="81"/>
  <c r="G182" i="81"/>
  <c r="E182" i="81"/>
  <c r="C182" i="81"/>
  <c r="R182" i="81" s="1"/>
  <c r="S182" i="81" s="1"/>
  <c r="Q181" i="81"/>
  <c r="O181" i="81"/>
  <c r="M181" i="81"/>
  <c r="K181" i="81"/>
  <c r="I181" i="81"/>
  <c r="G181" i="81"/>
  <c r="E181" i="81"/>
  <c r="C181" i="81"/>
  <c r="R181" i="81" s="1"/>
  <c r="S181" i="81" s="1"/>
  <c r="Q180" i="81"/>
  <c r="O180" i="81"/>
  <c r="M180" i="81"/>
  <c r="K180" i="81"/>
  <c r="I180" i="81"/>
  <c r="G180" i="81"/>
  <c r="E180" i="81"/>
  <c r="C180" i="81"/>
  <c r="R180" i="81" s="1"/>
  <c r="S180" i="81" s="1"/>
  <c r="Q179" i="81"/>
  <c r="O179" i="81"/>
  <c r="M179" i="81"/>
  <c r="K179" i="81"/>
  <c r="I179" i="81"/>
  <c r="G179" i="81"/>
  <c r="E179" i="81"/>
  <c r="C179" i="81"/>
  <c r="R179" i="81" s="1"/>
  <c r="S179" i="81" s="1"/>
  <c r="Q178" i="81"/>
  <c r="O178" i="81"/>
  <c r="M178" i="81"/>
  <c r="K178" i="81"/>
  <c r="I178" i="81"/>
  <c r="G178" i="81"/>
  <c r="E178" i="81"/>
  <c r="C178" i="81"/>
  <c r="R178" i="81" s="1"/>
  <c r="S178" i="81" s="1"/>
  <c r="Q177" i="81"/>
  <c r="O177" i="81"/>
  <c r="M177" i="81"/>
  <c r="K177" i="81"/>
  <c r="I177" i="81"/>
  <c r="G177" i="81"/>
  <c r="E177" i="81"/>
  <c r="C177" i="81"/>
  <c r="R177" i="81" s="1"/>
  <c r="S177" i="81" s="1"/>
  <c r="Q176" i="81"/>
  <c r="O176" i="81"/>
  <c r="M176" i="81"/>
  <c r="K176" i="81"/>
  <c r="I176" i="81"/>
  <c r="G176" i="81"/>
  <c r="E176" i="81"/>
  <c r="C176" i="81"/>
  <c r="R176" i="81" s="1"/>
  <c r="S176" i="81" s="1"/>
  <c r="Q175" i="81"/>
  <c r="O175" i="81"/>
  <c r="M175" i="81"/>
  <c r="K175" i="81"/>
  <c r="I175" i="81"/>
  <c r="G175" i="81"/>
  <c r="E175" i="81"/>
  <c r="C175" i="81"/>
  <c r="R175" i="81" s="1"/>
  <c r="S175" i="81" s="1"/>
  <c r="Q174" i="81"/>
  <c r="O174" i="81"/>
  <c r="M174" i="81"/>
  <c r="K174" i="81"/>
  <c r="I174" i="81"/>
  <c r="G174" i="81"/>
  <c r="E174" i="81"/>
  <c r="C174" i="81"/>
  <c r="R174" i="81" s="1"/>
  <c r="S174" i="81" s="1"/>
  <c r="Q173" i="81"/>
  <c r="O173" i="81"/>
  <c r="M173" i="81"/>
  <c r="K173" i="81"/>
  <c r="I173" i="81"/>
  <c r="G173" i="81"/>
  <c r="E173" i="81"/>
  <c r="C173" i="81"/>
  <c r="R173" i="81" s="1"/>
  <c r="S173" i="81" s="1"/>
  <c r="Q172" i="81"/>
  <c r="O172" i="81"/>
  <c r="M172" i="81"/>
  <c r="K172" i="81"/>
  <c r="I172" i="81"/>
  <c r="G172" i="81"/>
  <c r="E172" i="81"/>
  <c r="C172" i="81"/>
  <c r="R172" i="81" s="1"/>
  <c r="S172" i="81" s="1"/>
  <c r="Q171" i="81"/>
  <c r="O171" i="81"/>
  <c r="M171" i="81"/>
  <c r="K171" i="81"/>
  <c r="I171" i="81"/>
  <c r="G171" i="81"/>
  <c r="E171" i="81"/>
  <c r="C171" i="81"/>
  <c r="R171" i="81" s="1"/>
  <c r="S171" i="81" s="1"/>
  <c r="Q170" i="81"/>
  <c r="O170" i="81"/>
  <c r="M170" i="81"/>
  <c r="K170" i="81"/>
  <c r="I170" i="81"/>
  <c r="G170" i="81"/>
  <c r="E170" i="81"/>
  <c r="C170" i="81"/>
  <c r="R170" i="81" s="1"/>
  <c r="S170" i="81" s="1"/>
  <c r="Q169" i="81"/>
  <c r="O169" i="81"/>
  <c r="M169" i="81"/>
  <c r="K169" i="81"/>
  <c r="I169" i="81"/>
  <c r="G169" i="81"/>
  <c r="E169" i="81"/>
  <c r="C169" i="81"/>
  <c r="R169" i="81" s="1"/>
  <c r="S169" i="81" s="1"/>
  <c r="Q168" i="81"/>
  <c r="O168" i="81"/>
  <c r="M168" i="81"/>
  <c r="K168" i="81"/>
  <c r="I168" i="81"/>
  <c r="G168" i="81"/>
  <c r="E168" i="81"/>
  <c r="C168" i="81"/>
  <c r="R168" i="81" s="1"/>
  <c r="S168" i="81" s="1"/>
  <c r="Q167" i="81"/>
  <c r="O167" i="81"/>
  <c r="M167" i="81"/>
  <c r="K167" i="81"/>
  <c r="I167" i="81"/>
  <c r="G167" i="81"/>
  <c r="E167" i="81"/>
  <c r="C167" i="81"/>
  <c r="R167" i="81" s="1"/>
  <c r="S167" i="81" s="1"/>
  <c r="Q166" i="81"/>
  <c r="O166" i="81"/>
  <c r="M166" i="81"/>
  <c r="K166" i="81"/>
  <c r="I166" i="81"/>
  <c r="G166" i="81"/>
  <c r="E166" i="81"/>
  <c r="C166" i="81"/>
  <c r="R166" i="81" s="1"/>
  <c r="S166" i="81" s="1"/>
  <c r="Q165" i="81"/>
  <c r="O165" i="81"/>
  <c r="M165" i="81"/>
  <c r="K165" i="81"/>
  <c r="I165" i="81"/>
  <c r="G165" i="81"/>
  <c r="E165" i="81"/>
  <c r="C165" i="81"/>
  <c r="R165" i="81" s="1"/>
  <c r="S165" i="81" s="1"/>
  <c r="Q164" i="81"/>
  <c r="O164" i="81"/>
  <c r="M164" i="81"/>
  <c r="K164" i="81"/>
  <c r="I164" i="81"/>
  <c r="G164" i="81"/>
  <c r="E164" i="81"/>
  <c r="C164" i="81"/>
  <c r="R164" i="81" s="1"/>
  <c r="S164" i="81" s="1"/>
  <c r="Q163" i="81"/>
  <c r="O163" i="81"/>
  <c r="M163" i="81"/>
  <c r="K163" i="81"/>
  <c r="I163" i="81"/>
  <c r="G163" i="81"/>
  <c r="E163" i="81"/>
  <c r="C163" i="81"/>
  <c r="R163" i="81" s="1"/>
  <c r="S163" i="81" s="1"/>
  <c r="Q162" i="81"/>
  <c r="O162" i="81"/>
  <c r="M162" i="81"/>
  <c r="K162" i="81"/>
  <c r="I162" i="81"/>
  <c r="G162" i="81"/>
  <c r="E162" i="81"/>
  <c r="C162" i="81"/>
  <c r="R162" i="81" s="1"/>
  <c r="S162" i="81" s="1"/>
  <c r="Q161" i="81"/>
  <c r="O161" i="81"/>
  <c r="M161" i="81"/>
  <c r="K161" i="81"/>
  <c r="I161" i="81"/>
  <c r="G161" i="81"/>
  <c r="E161" i="81"/>
  <c r="C161" i="81"/>
  <c r="R161" i="81" s="1"/>
  <c r="S161" i="81" s="1"/>
  <c r="Q160" i="81"/>
  <c r="O160" i="81"/>
  <c r="M160" i="81"/>
  <c r="K160" i="81"/>
  <c r="I160" i="81"/>
  <c r="G160" i="81"/>
  <c r="E160" i="81"/>
  <c r="C160" i="81"/>
  <c r="R160" i="81" s="1"/>
  <c r="S160" i="81" s="1"/>
  <c r="Q159" i="81"/>
  <c r="O159" i="81"/>
  <c r="M159" i="81"/>
  <c r="K159" i="81"/>
  <c r="I159" i="81"/>
  <c r="G159" i="81"/>
  <c r="E159" i="81"/>
  <c r="C159" i="81"/>
  <c r="R159" i="81" s="1"/>
  <c r="S159" i="81" s="1"/>
  <c r="Q158" i="81"/>
  <c r="O158" i="81"/>
  <c r="M158" i="81"/>
  <c r="K158" i="81"/>
  <c r="I158" i="81"/>
  <c r="G158" i="81"/>
  <c r="E158" i="81"/>
  <c r="C158" i="81"/>
  <c r="R158" i="81" s="1"/>
  <c r="S158" i="81" s="1"/>
  <c r="Q157" i="81"/>
  <c r="O157" i="81"/>
  <c r="M157" i="81"/>
  <c r="K157" i="81"/>
  <c r="I157" i="81"/>
  <c r="G157" i="81"/>
  <c r="E157" i="81"/>
  <c r="C157" i="81"/>
  <c r="R157" i="81" s="1"/>
  <c r="S157" i="81" s="1"/>
  <c r="Q156" i="81"/>
  <c r="O156" i="81"/>
  <c r="M156" i="81"/>
  <c r="K156" i="81"/>
  <c r="I156" i="81"/>
  <c r="G156" i="81"/>
  <c r="E156" i="81"/>
  <c r="C156" i="81"/>
  <c r="R156" i="81" s="1"/>
  <c r="S156" i="81" s="1"/>
  <c r="Q155" i="81"/>
  <c r="O155" i="81"/>
  <c r="M155" i="81"/>
  <c r="K155" i="81"/>
  <c r="I155" i="81"/>
  <c r="G155" i="81"/>
  <c r="E155" i="81"/>
  <c r="C155" i="81"/>
  <c r="R155" i="81" s="1"/>
  <c r="S155" i="81" s="1"/>
  <c r="Q154" i="81"/>
  <c r="O154" i="81"/>
  <c r="M154" i="81"/>
  <c r="K154" i="81"/>
  <c r="I154" i="81"/>
  <c r="G154" i="81"/>
  <c r="E154" i="81"/>
  <c r="C154" i="81"/>
  <c r="R154" i="81" s="1"/>
  <c r="S154" i="81" s="1"/>
  <c r="Q153" i="81"/>
  <c r="O153" i="81"/>
  <c r="M153" i="81"/>
  <c r="K153" i="81"/>
  <c r="I153" i="81"/>
  <c r="G153" i="81"/>
  <c r="E153" i="81"/>
  <c r="C153" i="81"/>
  <c r="R153" i="81" s="1"/>
  <c r="S153" i="81" s="1"/>
  <c r="Q152" i="81"/>
  <c r="O152" i="81"/>
  <c r="M152" i="81"/>
  <c r="K152" i="81"/>
  <c r="I152" i="81"/>
  <c r="G152" i="81"/>
  <c r="E152" i="81"/>
  <c r="C152" i="81"/>
  <c r="R152" i="81" s="1"/>
  <c r="S152" i="81" s="1"/>
  <c r="Q151" i="81"/>
  <c r="O151" i="81"/>
  <c r="M151" i="81"/>
  <c r="K151" i="81"/>
  <c r="I151" i="81"/>
  <c r="G151" i="81"/>
  <c r="E151" i="81"/>
  <c r="C151" i="81"/>
  <c r="R151" i="81" s="1"/>
  <c r="S151" i="81" s="1"/>
  <c r="Q150" i="81"/>
  <c r="O150" i="81"/>
  <c r="M150" i="81"/>
  <c r="K150" i="81"/>
  <c r="I150" i="81"/>
  <c r="G150" i="81"/>
  <c r="E150" i="81"/>
  <c r="C150" i="81"/>
  <c r="R150" i="81" s="1"/>
  <c r="S150" i="81" s="1"/>
  <c r="Q149" i="81"/>
  <c r="O149" i="81"/>
  <c r="M149" i="81"/>
  <c r="K149" i="81"/>
  <c r="I149" i="81"/>
  <c r="G149" i="81"/>
  <c r="E149" i="81"/>
  <c r="C149" i="81"/>
  <c r="R149" i="81" s="1"/>
  <c r="S149" i="81" s="1"/>
  <c r="Q148" i="81"/>
  <c r="O148" i="81"/>
  <c r="M148" i="81"/>
  <c r="K148" i="81"/>
  <c r="I148" i="81"/>
  <c r="G148" i="81"/>
  <c r="E148" i="81"/>
  <c r="C148" i="81"/>
  <c r="R148" i="81" s="1"/>
  <c r="S148" i="81" s="1"/>
  <c r="Q147" i="81"/>
  <c r="O147" i="81"/>
  <c r="M147" i="81"/>
  <c r="K147" i="81"/>
  <c r="I147" i="81"/>
  <c r="G147" i="81"/>
  <c r="E147" i="81"/>
  <c r="C147" i="81"/>
  <c r="R147" i="81" s="1"/>
  <c r="S147" i="81" s="1"/>
  <c r="Q146" i="81"/>
  <c r="O146" i="81"/>
  <c r="M146" i="81"/>
  <c r="K146" i="81"/>
  <c r="I146" i="81"/>
  <c r="G146" i="81"/>
  <c r="E146" i="81"/>
  <c r="C146" i="81"/>
  <c r="R146" i="81" s="1"/>
  <c r="S146" i="81" s="1"/>
  <c r="Q145" i="81"/>
  <c r="O145" i="81"/>
  <c r="M145" i="81"/>
  <c r="K145" i="81"/>
  <c r="I145" i="81"/>
  <c r="G145" i="81"/>
  <c r="E145" i="81"/>
  <c r="C145" i="81"/>
  <c r="R145" i="81" s="1"/>
  <c r="S145" i="81" s="1"/>
  <c r="Q144" i="81"/>
  <c r="O144" i="81"/>
  <c r="M144" i="81"/>
  <c r="K144" i="81"/>
  <c r="I144" i="81"/>
  <c r="G144" i="81"/>
  <c r="E144" i="81"/>
  <c r="C144" i="81"/>
  <c r="R144" i="81" s="1"/>
  <c r="S144" i="81" s="1"/>
  <c r="Q143" i="81"/>
  <c r="O143" i="81"/>
  <c r="M143" i="81"/>
  <c r="K143" i="81"/>
  <c r="I143" i="81"/>
  <c r="G143" i="81"/>
  <c r="E143" i="81"/>
  <c r="C143" i="81"/>
  <c r="R143" i="81" s="1"/>
  <c r="S143" i="81" s="1"/>
  <c r="Q142" i="81"/>
  <c r="O142" i="81"/>
  <c r="M142" i="81"/>
  <c r="K142" i="81"/>
  <c r="I142" i="81"/>
  <c r="G142" i="81"/>
  <c r="E142" i="81"/>
  <c r="C142" i="81"/>
  <c r="R142" i="81" s="1"/>
  <c r="S142" i="81" s="1"/>
  <c r="Q141" i="81"/>
  <c r="O141" i="81"/>
  <c r="M141" i="81"/>
  <c r="K141" i="81"/>
  <c r="I141" i="81"/>
  <c r="G141" i="81"/>
  <c r="E141" i="81"/>
  <c r="C141" i="81"/>
  <c r="R141" i="81" s="1"/>
  <c r="S141" i="81" s="1"/>
  <c r="Q140" i="81"/>
  <c r="O140" i="81"/>
  <c r="M140" i="81"/>
  <c r="K140" i="81"/>
  <c r="I140" i="81"/>
  <c r="G140" i="81"/>
  <c r="E140" i="81"/>
  <c r="C140" i="81"/>
  <c r="R140" i="81" s="1"/>
  <c r="S140" i="81" s="1"/>
  <c r="Q139" i="81"/>
  <c r="O139" i="81"/>
  <c r="M139" i="81"/>
  <c r="K139" i="81"/>
  <c r="I139" i="81"/>
  <c r="G139" i="81"/>
  <c r="E139" i="81"/>
  <c r="C139" i="81"/>
  <c r="R139" i="81" s="1"/>
  <c r="S139" i="81" s="1"/>
  <c r="Q138" i="81"/>
  <c r="O138" i="81"/>
  <c r="M138" i="81"/>
  <c r="K138" i="81"/>
  <c r="I138" i="81"/>
  <c r="G138" i="81"/>
  <c r="E138" i="81"/>
  <c r="C138" i="81"/>
  <c r="R138" i="81" s="1"/>
  <c r="S138" i="81" s="1"/>
  <c r="Q137" i="81"/>
  <c r="O137" i="81"/>
  <c r="M137" i="81"/>
  <c r="K137" i="81"/>
  <c r="I137" i="81"/>
  <c r="G137" i="81"/>
  <c r="E137" i="81"/>
  <c r="C137" i="81"/>
  <c r="R137" i="81" s="1"/>
  <c r="S137" i="81" s="1"/>
  <c r="Q136" i="81"/>
  <c r="O136" i="81"/>
  <c r="M136" i="81"/>
  <c r="K136" i="81"/>
  <c r="I136" i="81"/>
  <c r="G136" i="81"/>
  <c r="E136" i="81"/>
  <c r="C136" i="81"/>
  <c r="R136" i="81" s="1"/>
  <c r="S136" i="81" s="1"/>
  <c r="Q135" i="81"/>
  <c r="O135" i="81"/>
  <c r="M135" i="81"/>
  <c r="K135" i="81"/>
  <c r="I135" i="81"/>
  <c r="G135" i="81"/>
  <c r="E135" i="81"/>
  <c r="C135" i="81"/>
  <c r="R135" i="81" s="1"/>
  <c r="S135" i="81" s="1"/>
  <c r="Q134" i="81"/>
  <c r="O134" i="81"/>
  <c r="M134" i="81"/>
  <c r="K134" i="81"/>
  <c r="I134" i="81"/>
  <c r="G134" i="81"/>
  <c r="E134" i="81"/>
  <c r="C134" i="81"/>
  <c r="R134" i="81" s="1"/>
  <c r="S134" i="81" s="1"/>
  <c r="Q133" i="81"/>
  <c r="O133" i="81"/>
  <c r="M133" i="81"/>
  <c r="K133" i="81"/>
  <c r="I133" i="81"/>
  <c r="G133" i="81"/>
  <c r="E133" i="81"/>
  <c r="C133" i="81"/>
  <c r="R133" i="81" s="1"/>
  <c r="S133" i="81" s="1"/>
  <c r="Q132" i="81"/>
  <c r="O132" i="81"/>
  <c r="M132" i="81"/>
  <c r="K132" i="81"/>
  <c r="I132" i="81"/>
  <c r="G132" i="81"/>
  <c r="E132" i="81"/>
  <c r="C132" i="81"/>
  <c r="R132" i="81" s="1"/>
  <c r="S132" i="81" s="1"/>
  <c r="Q131" i="81"/>
  <c r="O131" i="81"/>
  <c r="M131" i="81"/>
  <c r="K131" i="81"/>
  <c r="I131" i="81"/>
  <c r="G131" i="81"/>
  <c r="E131" i="81"/>
  <c r="C131" i="81"/>
  <c r="R131" i="81" s="1"/>
  <c r="S131" i="81" s="1"/>
  <c r="Q130" i="81"/>
  <c r="O130" i="81"/>
  <c r="M130" i="81"/>
  <c r="K130" i="81"/>
  <c r="I130" i="81"/>
  <c r="G130" i="81"/>
  <c r="E130" i="81"/>
  <c r="C130" i="81"/>
  <c r="R130" i="81" s="1"/>
  <c r="S130" i="81" s="1"/>
  <c r="Q129" i="81"/>
  <c r="O129" i="81"/>
  <c r="M129" i="81"/>
  <c r="K129" i="81"/>
  <c r="I129" i="81"/>
  <c r="G129" i="81"/>
  <c r="E129" i="81"/>
  <c r="C129" i="81"/>
  <c r="R129" i="81" s="1"/>
  <c r="S129" i="81" s="1"/>
  <c r="Q128" i="81"/>
  <c r="O128" i="81"/>
  <c r="M128" i="81"/>
  <c r="K128" i="81"/>
  <c r="I128" i="81"/>
  <c r="G128" i="81"/>
  <c r="E128" i="81"/>
  <c r="C128" i="81"/>
  <c r="R128" i="81" s="1"/>
  <c r="S128" i="81" s="1"/>
  <c r="Q127" i="81"/>
  <c r="O127" i="81"/>
  <c r="M127" i="81"/>
  <c r="K127" i="81"/>
  <c r="I127" i="81"/>
  <c r="G127" i="81"/>
  <c r="E127" i="81"/>
  <c r="C127" i="81"/>
  <c r="R127" i="81" s="1"/>
  <c r="S127" i="81" s="1"/>
  <c r="Q126" i="81"/>
  <c r="O126" i="81"/>
  <c r="M126" i="81"/>
  <c r="K126" i="81"/>
  <c r="I126" i="81"/>
  <c r="G126" i="81"/>
  <c r="E126" i="81"/>
  <c r="C126" i="81"/>
  <c r="R126" i="81" s="1"/>
  <c r="S126" i="81" s="1"/>
  <c r="Q125" i="81"/>
  <c r="O125" i="81"/>
  <c r="M125" i="81"/>
  <c r="K125" i="81"/>
  <c r="I125" i="81"/>
  <c r="G125" i="81"/>
  <c r="E125" i="81"/>
  <c r="C125" i="81"/>
  <c r="R125" i="81" s="1"/>
  <c r="S125" i="81" s="1"/>
  <c r="Q124" i="81"/>
  <c r="O124" i="81"/>
  <c r="M124" i="81"/>
  <c r="K124" i="81"/>
  <c r="I124" i="81"/>
  <c r="G124" i="81"/>
  <c r="E124" i="81"/>
  <c r="C124" i="81"/>
  <c r="Q123" i="81"/>
  <c r="O123" i="81"/>
  <c r="M123" i="81"/>
  <c r="K123" i="81"/>
  <c r="I123" i="81"/>
  <c r="G123" i="81"/>
  <c r="E123" i="81"/>
  <c r="C123" i="81"/>
  <c r="Q122" i="81"/>
  <c r="O122" i="81"/>
  <c r="M122" i="81"/>
  <c r="K122" i="81"/>
  <c r="I122" i="81"/>
  <c r="G122" i="81"/>
  <c r="E122" i="81"/>
  <c r="C122" i="81"/>
  <c r="Q121" i="81"/>
  <c r="O121" i="81"/>
  <c r="M121" i="81"/>
  <c r="K121" i="81"/>
  <c r="I121" i="81"/>
  <c r="G121" i="81"/>
  <c r="E121" i="81"/>
  <c r="C121" i="81"/>
  <c r="Q120" i="81"/>
  <c r="O120" i="81"/>
  <c r="M120" i="81"/>
  <c r="K120" i="81"/>
  <c r="I120" i="81"/>
  <c r="G120" i="81"/>
  <c r="E120" i="81"/>
  <c r="C120" i="81"/>
  <c r="Q119" i="81"/>
  <c r="O119" i="81"/>
  <c r="M119" i="81"/>
  <c r="K119" i="81"/>
  <c r="I119" i="81"/>
  <c r="G119" i="81"/>
  <c r="E119" i="81"/>
  <c r="C119" i="81"/>
  <c r="Q118" i="81"/>
  <c r="O118" i="81"/>
  <c r="M118" i="81"/>
  <c r="K118" i="81"/>
  <c r="I118" i="81"/>
  <c r="G118" i="81"/>
  <c r="E118" i="81"/>
  <c r="C118" i="81"/>
  <c r="Q117" i="81"/>
  <c r="O117" i="81"/>
  <c r="M117" i="81"/>
  <c r="K117" i="81"/>
  <c r="I117" i="81"/>
  <c r="G117" i="81"/>
  <c r="E117" i="81"/>
  <c r="C117" i="81"/>
  <c r="Q116" i="81"/>
  <c r="O116" i="81"/>
  <c r="M116" i="81"/>
  <c r="K116" i="81"/>
  <c r="I116" i="81"/>
  <c r="G116" i="81"/>
  <c r="E116" i="81"/>
  <c r="C116" i="81"/>
  <c r="Q115" i="81"/>
  <c r="O115" i="81"/>
  <c r="M115" i="81"/>
  <c r="K115" i="81"/>
  <c r="I115" i="81"/>
  <c r="G115" i="81"/>
  <c r="E115" i="81"/>
  <c r="C115" i="81"/>
  <c r="Q114" i="81"/>
  <c r="O114" i="81"/>
  <c r="M114" i="81"/>
  <c r="K114" i="81"/>
  <c r="I114" i="81"/>
  <c r="G114" i="81"/>
  <c r="E114" i="81"/>
  <c r="C114" i="81"/>
  <c r="Q113" i="81"/>
  <c r="O113" i="81"/>
  <c r="M113" i="81"/>
  <c r="K113" i="81"/>
  <c r="I113" i="81"/>
  <c r="G113" i="81"/>
  <c r="E113" i="81"/>
  <c r="C113" i="81"/>
  <c r="Q112" i="81"/>
  <c r="O112" i="81"/>
  <c r="M112" i="81"/>
  <c r="K112" i="81"/>
  <c r="I112" i="81"/>
  <c r="G112" i="81"/>
  <c r="E112" i="81"/>
  <c r="C112" i="81"/>
  <c r="Q111" i="81"/>
  <c r="O111" i="81"/>
  <c r="M111" i="81"/>
  <c r="K111" i="81"/>
  <c r="I111" i="81"/>
  <c r="G111" i="81"/>
  <c r="E111" i="81"/>
  <c r="C111" i="81"/>
  <c r="Q110" i="81"/>
  <c r="O110" i="81"/>
  <c r="M110" i="81"/>
  <c r="K110" i="81"/>
  <c r="I110" i="81"/>
  <c r="G110" i="81"/>
  <c r="E110" i="81"/>
  <c r="C110" i="81"/>
  <c r="Q109" i="81"/>
  <c r="O109" i="81"/>
  <c r="M109" i="81"/>
  <c r="K109" i="81"/>
  <c r="I109" i="81"/>
  <c r="G109" i="81"/>
  <c r="E109" i="81"/>
  <c r="C109" i="81"/>
  <c r="Q108" i="81"/>
  <c r="O108" i="81"/>
  <c r="M108" i="81"/>
  <c r="K108" i="81"/>
  <c r="I108" i="81"/>
  <c r="G108" i="81"/>
  <c r="E108" i="81"/>
  <c r="C108" i="81"/>
  <c r="Q107" i="81"/>
  <c r="O107" i="81"/>
  <c r="M107" i="81"/>
  <c r="K107" i="81"/>
  <c r="I107" i="81"/>
  <c r="G107" i="81"/>
  <c r="E107" i="81"/>
  <c r="C107" i="81"/>
  <c r="Q106" i="81"/>
  <c r="O106" i="81"/>
  <c r="M106" i="81"/>
  <c r="K106" i="81"/>
  <c r="I106" i="81"/>
  <c r="G106" i="81"/>
  <c r="E106" i="81"/>
  <c r="C106" i="81"/>
  <c r="Q105" i="81"/>
  <c r="O105" i="81"/>
  <c r="M105" i="81"/>
  <c r="K105" i="81"/>
  <c r="I105" i="81"/>
  <c r="G105" i="81"/>
  <c r="E105" i="81"/>
  <c r="C105" i="81"/>
  <c r="Q104" i="81"/>
  <c r="O104" i="81"/>
  <c r="M104" i="81"/>
  <c r="K104" i="81"/>
  <c r="I104" i="81"/>
  <c r="G104" i="81"/>
  <c r="E104" i="81"/>
  <c r="C104" i="81"/>
  <c r="Q103" i="81"/>
  <c r="O103" i="81"/>
  <c r="M103" i="81"/>
  <c r="K103" i="81"/>
  <c r="I103" i="81"/>
  <c r="G103" i="81"/>
  <c r="E103" i="81"/>
  <c r="C103" i="81"/>
  <c r="Q102" i="81"/>
  <c r="O102" i="81"/>
  <c r="M102" i="81"/>
  <c r="K102" i="81"/>
  <c r="I102" i="81"/>
  <c r="G102" i="81"/>
  <c r="E102" i="81"/>
  <c r="C102" i="81"/>
  <c r="Q101" i="81"/>
  <c r="O101" i="81"/>
  <c r="M101" i="81"/>
  <c r="K101" i="81"/>
  <c r="I101" i="81"/>
  <c r="G101" i="81"/>
  <c r="E101" i="81"/>
  <c r="C101" i="81"/>
  <c r="Q100" i="81"/>
  <c r="O100" i="81"/>
  <c r="M100" i="81"/>
  <c r="K100" i="81"/>
  <c r="I100" i="81"/>
  <c r="G100" i="81"/>
  <c r="E100" i="81"/>
  <c r="C100" i="81"/>
  <c r="Q99" i="81"/>
  <c r="O99" i="81"/>
  <c r="M99" i="81"/>
  <c r="K99" i="81"/>
  <c r="I99" i="81"/>
  <c r="G99" i="81"/>
  <c r="E99" i="81"/>
  <c r="C99" i="81"/>
  <c r="Q98" i="81"/>
  <c r="O98" i="81"/>
  <c r="M98" i="81"/>
  <c r="K98" i="81"/>
  <c r="I98" i="81"/>
  <c r="G98" i="81"/>
  <c r="E98" i="81"/>
  <c r="C98" i="81"/>
  <c r="Q97" i="81"/>
  <c r="O97" i="81"/>
  <c r="M97" i="81"/>
  <c r="K97" i="81"/>
  <c r="I97" i="81"/>
  <c r="G97" i="81"/>
  <c r="E97" i="81"/>
  <c r="C97" i="81"/>
  <c r="Q96" i="81"/>
  <c r="O96" i="81"/>
  <c r="M96" i="81"/>
  <c r="K96" i="81"/>
  <c r="I96" i="81"/>
  <c r="G96" i="81"/>
  <c r="E96" i="81"/>
  <c r="C96" i="81"/>
  <c r="Q95" i="81"/>
  <c r="O95" i="81"/>
  <c r="M95" i="81"/>
  <c r="K95" i="81"/>
  <c r="I95" i="81"/>
  <c r="G95" i="81"/>
  <c r="E95" i="81"/>
  <c r="C95" i="81"/>
  <c r="Q94" i="81"/>
  <c r="O94" i="81"/>
  <c r="M94" i="81"/>
  <c r="K94" i="81"/>
  <c r="I94" i="81"/>
  <c r="G94" i="81"/>
  <c r="E94" i="81"/>
  <c r="C94" i="81"/>
  <c r="Q93" i="81"/>
  <c r="O93" i="81"/>
  <c r="M93" i="81"/>
  <c r="K93" i="81"/>
  <c r="I93" i="81"/>
  <c r="G93" i="81"/>
  <c r="E93" i="81"/>
  <c r="C93" i="81"/>
  <c r="Q92" i="81"/>
  <c r="O92" i="81"/>
  <c r="M92" i="81"/>
  <c r="K92" i="81"/>
  <c r="I92" i="81"/>
  <c r="G92" i="81"/>
  <c r="E92" i="81"/>
  <c r="C92" i="81"/>
  <c r="Q91" i="81"/>
  <c r="O91" i="81"/>
  <c r="M91" i="81"/>
  <c r="K91" i="81"/>
  <c r="I91" i="81"/>
  <c r="G91" i="81"/>
  <c r="E91" i="81"/>
  <c r="C91" i="81"/>
  <c r="Q90" i="81"/>
  <c r="O90" i="81"/>
  <c r="M90" i="81"/>
  <c r="K90" i="81"/>
  <c r="I90" i="81"/>
  <c r="G90" i="81"/>
  <c r="E90" i="81"/>
  <c r="C90" i="81"/>
  <c r="Q89" i="81"/>
  <c r="O89" i="81"/>
  <c r="M89" i="81"/>
  <c r="K89" i="81"/>
  <c r="I89" i="81"/>
  <c r="G89" i="81"/>
  <c r="E89" i="81"/>
  <c r="C89" i="81"/>
  <c r="Q88" i="81"/>
  <c r="O88" i="81"/>
  <c r="M88" i="81"/>
  <c r="K88" i="81"/>
  <c r="I88" i="81"/>
  <c r="G88" i="81"/>
  <c r="E88" i="81"/>
  <c r="C88" i="81"/>
  <c r="Q87" i="81"/>
  <c r="O87" i="81"/>
  <c r="M87" i="81"/>
  <c r="K87" i="81"/>
  <c r="I87" i="81"/>
  <c r="G87" i="81"/>
  <c r="E87" i="81"/>
  <c r="C87" i="81"/>
  <c r="Q86" i="81"/>
  <c r="O86" i="81"/>
  <c r="M86" i="81"/>
  <c r="K86" i="81"/>
  <c r="I86" i="81"/>
  <c r="G86" i="81"/>
  <c r="E86" i="81"/>
  <c r="C86" i="81"/>
  <c r="Q85" i="81"/>
  <c r="O85" i="81"/>
  <c r="M85" i="81"/>
  <c r="K85" i="81"/>
  <c r="I85" i="81"/>
  <c r="G85" i="81"/>
  <c r="E85" i="81"/>
  <c r="C85" i="81"/>
  <c r="Q84" i="81"/>
  <c r="O84" i="81"/>
  <c r="M84" i="81"/>
  <c r="K84" i="81"/>
  <c r="I84" i="81"/>
  <c r="G84" i="81"/>
  <c r="E84" i="81"/>
  <c r="C84" i="81"/>
  <c r="Q83" i="81"/>
  <c r="O83" i="81"/>
  <c r="M83" i="81"/>
  <c r="K83" i="81"/>
  <c r="I83" i="81"/>
  <c r="G83" i="81"/>
  <c r="E83" i="81"/>
  <c r="C83" i="81"/>
  <c r="Q82" i="81"/>
  <c r="O82" i="81"/>
  <c r="M82" i="81"/>
  <c r="K82" i="81"/>
  <c r="I82" i="81"/>
  <c r="G82" i="81"/>
  <c r="E82" i="81"/>
  <c r="C82" i="81"/>
  <c r="Q81" i="81"/>
  <c r="O81" i="81"/>
  <c r="M81" i="81"/>
  <c r="K81" i="81"/>
  <c r="I81" i="81"/>
  <c r="G81" i="81"/>
  <c r="E81" i="81"/>
  <c r="C81" i="81"/>
  <c r="Q80" i="81"/>
  <c r="O80" i="81"/>
  <c r="M80" i="81"/>
  <c r="K80" i="81"/>
  <c r="I80" i="81"/>
  <c r="G80" i="81"/>
  <c r="E80" i="81"/>
  <c r="C80" i="81"/>
  <c r="Q79" i="81"/>
  <c r="O79" i="81"/>
  <c r="M79" i="81"/>
  <c r="K79" i="81"/>
  <c r="I79" i="81"/>
  <c r="G79" i="81"/>
  <c r="E79" i="81"/>
  <c r="C79" i="81"/>
  <c r="Q78" i="81"/>
  <c r="O78" i="81"/>
  <c r="M78" i="81"/>
  <c r="K78" i="81"/>
  <c r="I78" i="81"/>
  <c r="G78" i="81"/>
  <c r="E78" i="81"/>
  <c r="C78" i="81"/>
  <c r="Q77" i="81"/>
  <c r="O77" i="81"/>
  <c r="M77" i="81"/>
  <c r="K77" i="81"/>
  <c r="I77" i="81"/>
  <c r="G77" i="81"/>
  <c r="E77" i="81"/>
  <c r="C77" i="81"/>
  <c r="Q76" i="81"/>
  <c r="O76" i="81"/>
  <c r="M76" i="81"/>
  <c r="K76" i="81"/>
  <c r="I76" i="81"/>
  <c r="G76" i="81"/>
  <c r="E76" i="81"/>
  <c r="C76" i="81"/>
  <c r="Q75" i="81"/>
  <c r="O75" i="81"/>
  <c r="M75" i="81"/>
  <c r="K75" i="81"/>
  <c r="I75" i="81"/>
  <c r="G75" i="81"/>
  <c r="E75" i="81"/>
  <c r="C75" i="81"/>
  <c r="Q74" i="81"/>
  <c r="O74" i="81"/>
  <c r="M74" i="81"/>
  <c r="K74" i="81"/>
  <c r="I74" i="81"/>
  <c r="G74" i="81"/>
  <c r="E74" i="81"/>
  <c r="C74" i="81"/>
  <c r="Q73" i="81"/>
  <c r="O73" i="81"/>
  <c r="M73" i="81"/>
  <c r="K73" i="81"/>
  <c r="I73" i="81"/>
  <c r="G73" i="81"/>
  <c r="E73" i="81"/>
  <c r="C73" i="81"/>
  <c r="Q72" i="81"/>
  <c r="O72" i="81"/>
  <c r="M72" i="81"/>
  <c r="K72" i="81"/>
  <c r="I72" i="81"/>
  <c r="G72" i="81"/>
  <c r="E72" i="81"/>
  <c r="C72" i="81"/>
  <c r="Q71" i="81"/>
  <c r="O71" i="81"/>
  <c r="M71" i="81"/>
  <c r="K71" i="81"/>
  <c r="I71" i="81"/>
  <c r="G71" i="81"/>
  <c r="E71" i="81"/>
  <c r="C71" i="81"/>
  <c r="Q70" i="81"/>
  <c r="O70" i="81"/>
  <c r="M70" i="81"/>
  <c r="K70" i="81"/>
  <c r="I70" i="81"/>
  <c r="G70" i="81"/>
  <c r="E70" i="81"/>
  <c r="C70" i="81"/>
  <c r="Q69" i="81"/>
  <c r="O69" i="81"/>
  <c r="M69" i="81"/>
  <c r="K69" i="81"/>
  <c r="I69" i="81"/>
  <c r="G69" i="81"/>
  <c r="E69" i="81"/>
  <c r="C69" i="81"/>
  <c r="Q68" i="81"/>
  <c r="O68" i="81"/>
  <c r="M68" i="81"/>
  <c r="K68" i="81"/>
  <c r="I68" i="81"/>
  <c r="G68" i="81"/>
  <c r="E68" i="81"/>
  <c r="C68" i="81"/>
  <c r="Q67" i="81"/>
  <c r="O67" i="81"/>
  <c r="M67" i="81"/>
  <c r="K67" i="81"/>
  <c r="I67" i="81"/>
  <c r="G67" i="81"/>
  <c r="E67" i="81"/>
  <c r="C67" i="81"/>
  <c r="Q66" i="81"/>
  <c r="O66" i="81"/>
  <c r="M66" i="81"/>
  <c r="K66" i="81"/>
  <c r="I66" i="81"/>
  <c r="G66" i="81"/>
  <c r="E66" i="81"/>
  <c r="C66" i="81"/>
  <c r="Q65" i="81"/>
  <c r="O65" i="81"/>
  <c r="M65" i="81"/>
  <c r="K65" i="81"/>
  <c r="I65" i="81"/>
  <c r="G65" i="81"/>
  <c r="E65" i="81"/>
  <c r="C65" i="81"/>
  <c r="Q64" i="81"/>
  <c r="O64" i="81"/>
  <c r="M64" i="81"/>
  <c r="K64" i="81"/>
  <c r="I64" i="81"/>
  <c r="G64" i="81"/>
  <c r="E64" i="81"/>
  <c r="C64" i="81"/>
  <c r="Q63" i="81"/>
  <c r="O63" i="81"/>
  <c r="M63" i="81"/>
  <c r="K63" i="81"/>
  <c r="I63" i="81"/>
  <c r="G63" i="81"/>
  <c r="E63" i="81"/>
  <c r="C63" i="81"/>
  <c r="Q62" i="81"/>
  <c r="O62" i="81"/>
  <c r="M62" i="81"/>
  <c r="K62" i="81"/>
  <c r="I62" i="81"/>
  <c r="G62" i="81"/>
  <c r="E62" i="81"/>
  <c r="C62" i="81"/>
  <c r="Q61" i="81"/>
  <c r="O61" i="81"/>
  <c r="M61" i="81"/>
  <c r="K61" i="81"/>
  <c r="I61" i="81"/>
  <c r="G61" i="81"/>
  <c r="E61" i="81"/>
  <c r="C61" i="81"/>
  <c r="Q60" i="81"/>
  <c r="O60" i="81"/>
  <c r="M60" i="81"/>
  <c r="K60" i="81"/>
  <c r="I60" i="81"/>
  <c r="G60" i="81"/>
  <c r="E60" i="81"/>
  <c r="C60" i="81"/>
  <c r="Q59" i="81"/>
  <c r="O59" i="81"/>
  <c r="M59" i="81"/>
  <c r="K59" i="81"/>
  <c r="I59" i="81"/>
  <c r="G59" i="81"/>
  <c r="E59" i="81"/>
  <c r="C59" i="81"/>
  <c r="Q58" i="81"/>
  <c r="O58" i="81"/>
  <c r="M58" i="81"/>
  <c r="K58" i="81"/>
  <c r="I58" i="81"/>
  <c r="G58" i="81"/>
  <c r="E58" i="81"/>
  <c r="C58" i="81"/>
  <c r="Q57" i="81"/>
  <c r="O57" i="81"/>
  <c r="M57" i="81"/>
  <c r="K57" i="81"/>
  <c r="I57" i="81"/>
  <c r="G57" i="81"/>
  <c r="E57" i="81"/>
  <c r="C57" i="81"/>
  <c r="Q56" i="81"/>
  <c r="O56" i="81"/>
  <c r="M56" i="81"/>
  <c r="K56" i="81"/>
  <c r="I56" i="81"/>
  <c r="G56" i="81"/>
  <c r="E56" i="81"/>
  <c r="C56" i="81"/>
  <c r="Q55" i="81"/>
  <c r="O55" i="81"/>
  <c r="M55" i="81"/>
  <c r="K55" i="81"/>
  <c r="I55" i="81"/>
  <c r="G55" i="81"/>
  <c r="E55" i="81"/>
  <c r="C55" i="81"/>
  <c r="Q54" i="81"/>
  <c r="O54" i="81"/>
  <c r="M54" i="81"/>
  <c r="K54" i="81"/>
  <c r="I54" i="81"/>
  <c r="G54" i="81"/>
  <c r="E54" i="81"/>
  <c r="C54" i="81"/>
  <c r="Q53" i="81"/>
  <c r="O53" i="81"/>
  <c r="M53" i="81"/>
  <c r="K53" i="81"/>
  <c r="I53" i="81"/>
  <c r="G53" i="81"/>
  <c r="E53" i="81"/>
  <c r="C53" i="81"/>
  <c r="Q52" i="81"/>
  <c r="O52" i="81"/>
  <c r="M52" i="81"/>
  <c r="K52" i="81"/>
  <c r="I52" i="81"/>
  <c r="G52" i="81"/>
  <c r="E52" i="81"/>
  <c r="C52" i="81"/>
  <c r="Q51" i="81"/>
  <c r="O51" i="81"/>
  <c r="M51" i="81"/>
  <c r="K51" i="81"/>
  <c r="I51" i="81"/>
  <c r="G51" i="81"/>
  <c r="E51" i="81"/>
  <c r="C51" i="81"/>
  <c r="Q50" i="81"/>
  <c r="O50" i="81"/>
  <c r="M50" i="81"/>
  <c r="K50" i="81"/>
  <c r="I50" i="81"/>
  <c r="G50" i="81"/>
  <c r="E50" i="81"/>
  <c r="C50" i="81"/>
  <c r="Q49" i="81"/>
  <c r="O49" i="81"/>
  <c r="M49" i="81"/>
  <c r="K49" i="81"/>
  <c r="I49" i="81"/>
  <c r="G49" i="81"/>
  <c r="E49" i="81"/>
  <c r="C49" i="81"/>
  <c r="Q48" i="81"/>
  <c r="O48" i="81"/>
  <c r="M48" i="81"/>
  <c r="K48" i="81"/>
  <c r="I48" i="81"/>
  <c r="G48" i="81"/>
  <c r="E48" i="81"/>
  <c r="C48" i="81"/>
  <c r="Q47" i="81"/>
  <c r="O47" i="81"/>
  <c r="M47" i="81"/>
  <c r="K47" i="81"/>
  <c r="I47" i="81"/>
  <c r="G47" i="81"/>
  <c r="E47" i="81"/>
  <c r="C47" i="81"/>
  <c r="Q46" i="81"/>
  <c r="O46" i="81"/>
  <c r="M46" i="81"/>
  <c r="K46" i="81"/>
  <c r="I46" i="81"/>
  <c r="G46" i="81"/>
  <c r="E46" i="81"/>
  <c r="C46" i="81"/>
  <c r="Q45" i="81"/>
  <c r="O45" i="81"/>
  <c r="M45" i="81"/>
  <c r="K45" i="81"/>
  <c r="I45" i="81"/>
  <c r="G45" i="81"/>
  <c r="E45" i="81"/>
  <c r="C45" i="81"/>
  <c r="Q44" i="81"/>
  <c r="O44" i="81"/>
  <c r="M44" i="81"/>
  <c r="K44" i="81"/>
  <c r="I44" i="81"/>
  <c r="G44" i="81"/>
  <c r="E44" i="81"/>
  <c r="C44" i="81"/>
  <c r="Q43" i="81"/>
  <c r="O43" i="81"/>
  <c r="M43" i="81"/>
  <c r="K43" i="81"/>
  <c r="I43" i="81"/>
  <c r="G43" i="81"/>
  <c r="E43" i="81"/>
  <c r="C43" i="81"/>
  <c r="Q42" i="81"/>
  <c r="O42" i="81"/>
  <c r="M42" i="81"/>
  <c r="K42" i="81"/>
  <c r="I42" i="81"/>
  <c r="G42" i="81"/>
  <c r="E42" i="81"/>
  <c r="C42" i="81"/>
  <c r="Q41" i="81"/>
  <c r="O41" i="81"/>
  <c r="M41" i="81"/>
  <c r="K41" i="81"/>
  <c r="I41" i="81"/>
  <c r="G41" i="81"/>
  <c r="E41" i="81"/>
  <c r="C41" i="81"/>
  <c r="Q40" i="81"/>
  <c r="O40" i="81"/>
  <c r="M40" i="81"/>
  <c r="K40" i="81"/>
  <c r="I40" i="81"/>
  <c r="G40" i="81"/>
  <c r="E40" i="81"/>
  <c r="C40" i="81"/>
  <c r="Q39" i="81"/>
  <c r="O39" i="81"/>
  <c r="M39" i="81"/>
  <c r="K39" i="81"/>
  <c r="I39" i="81"/>
  <c r="G39" i="81"/>
  <c r="E39" i="81"/>
  <c r="C39" i="81"/>
  <c r="Q38" i="81"/>
  <c r="O38" i="81"/>
  <c r="M38" i="81"/>
  <c r="K38" i="81"/>
  <c r="I38" i="81"/>
  <c r="G38" i="81"/>
  <c r="E38" i="81"/>
  <c r="C38" i="81"/>
  <c r="Q37" i="81"/>
  <c r="O37" i="81"/>
  <c r="M37" i="81"/>
  <c r="K37" i="81"/>
  <c r="I37" i="81"/>
  <c r="G37" i="81"/>
  <c r="E37" i="81"/>
  <c r="C37" i="81"/>
  <c r="Q36" i="81"/>
  <c r="O36" i="81"/>
  <c r="M36" i="81"/>
  <c r="K36" i="81"/>
  <c r="I36" i="81"/>
  <c r="G36" i="81"/>
  <c r="E36" i="81"/>
  <c r="C36" i="81"/>
  <c r="Q35" i="81"/>
  <c r="O35" i="81"/>
  <c r="M35" i="81"/>
  <c r="K35" i="81"/>
  <c r="I35" i="81"/>
  <c r="G35" i="81"/>
  <c r="E35" i="81"/>
  <c r="C35" i="81"/>
  <c r="Q34" i="81"/>
  <c r="O34" i="81"/>
  <c r="M34" i="81"/>
  <c r="K34" i="81"/>
  <c r="I34" i="81"/>
  <c r="G34" i="81"/>
  <c r="E34" i="81"/>
  <c r="C34" i="81"/>
  <c r="Q33" i="81"/>
  <c r="O33" i="81"/>
  <c r="M33" i="81"/>
  <c r="K33" i="81"/>
  <c r="I33" i="81"/>
  <c r="G33" i="81"/>
  <c r="E33" i="81"/>
  <c r="C33" i="81"/>
  <c r="Q32" i="81"/>
  <c r="O32" i="81"/>
  <c r="M32" i="81"/>
  <c r="K32" i="81"/>
  <c r="I32" i="81"/>
  <c r="G32" i="81"/>
  <c r="E32" i="81"/>
  <c r="C32" i="81"/>
  <c r="Q31" i="81"/>
  <c r="O31" i="81"/>
  <c r="M31" i="81"/>
  <c r="K31" i="81"/>
  <c r="I31" i="81"/>
  <c r="G31" i="81"/>
  <c r="E31" i="81"/>
  <c r="C31" i="81"/>
  <c r="Q30" i="81"/>
  <c r="O30" i="81"/>
  <c r="M30" i="81"/>
  <c r="K30" i="81"/>
  <c r="I30" i="81"/>
  <c r="G30" i="81"/>
  <c r="E30" i="81"/>
  <c r="C30" i="81"/>
  <c r="Q29" i="81"/>
  <c r="O29" i="81"/>
  <c r="M29" i="81"/>
  <c r="K29" i="81"/>
  <c r="I29" i="81"/>
  <c r="G29" i="81"/>
  <c r="E29" i="81"/>
  <c r="C29" i="81"/>
  <c r="Q28" i="81"/>
  <c r="O28" i="81"/>
  <c r="M28" i="81"/>
  <c r="K28" i="81"/>
  <c r="I28" i="81"/>
  <c r="G28" i="81"/>
  <c r="E28" i="81"/>
  <c r="C28" i="81"/>
  <c r="Q27" i="81"/>
  <c r="O27" i="81"/>
  <c r="M27" i="81"/>
  <c r="K27" i="81"/>
  <c r="I27" i="81"/>
  <c r="G27" i="81"/>
  <c r="E27" i="81"/>
  <c r="C27" i="81"/>
  <c r="Q26" i="81"/>
  <c r="O26" i="81"/>
  <c r="M26" i="81"/>
  <c r="K26" i="81"/>
  <c r="I26" i="81"/>
  <c r="G26" i="81"/>
  <c r="E26" i="81"/>
  <c r="C26" i="81"/>
  <c r="Q25" i="81"/>
  <c r="O25" i="81"/>
  <c r="M25" i="81"/>
  <c r="K25" i="81"/>
  <c r="I25" i="81"/>
  <c r="G25" i="81"/>
  <c r="E25" i="81"/>
  <c r="C25" i="81"/>
  <c r="P23" i="81"/>
  <c r="N23" i="81"/>
  <c r="L23" i="81"/>
  <c r="J23" i="81"/>
  <c r="H23" i="81"/>
  <c r="F23" i="81"/>
  <c r="D23" i="81"/>
  <c r="B22"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S2" i="81"/>
  <c r="R2" i="81"/>
  <c r="Q2" i="81"/>
  <c r="P2" i="81"/>
  <c r="O2" i="81"/>
  <c r="N2" i="81"/>
  <c r="M2" i="81"/>
  <c r="L2" i="81"/>
  <c r="K2" i="81"/>
  <c r="J2" i="81"/>
  <c r="I2" i="81"/>
  <c r="H2" i="81"/>
  <c r="G2" i="81"/>
  <c r="F2" i="81"/>
  <c r="E2" i="81"/>
  <c r="D2" i="81"/>
  <c r="C2" i="81"/>
  <c r="A120" i="80"/>
  <c r="E111" i="80"/>
  <c r="A126"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F20" i="81"/>
  <c r="H103" i="80" l="1"/>
  <c r="D120" i="80" s="1"/>
  <c r="K120" i="80"/>
  <c r="D121" i="80"/>
  <c r="C92" i="80"/>
  <c r="C94" i="80"/>
  <c r="H109" i="80"/>
  <c r="AM7" i="1"/>
  <c r="AL7" i="1"/>
  <c r="AK7" i="1"/>
  <c r="M77" i="79"/>
  <c r="J77" i="79"/>
  <c r="C77" i="79"/>
  <c r="M76" i="79"/>
  <c r="C76" i="79"/>
  <c r="M75" i="79"/>
  <c r="F75" i="79"/>
  <c r="C75" i="79" s="1"/>
  <c r="M74" i="79"/>
  <c r="C74" i="79"/>
  <c r="M73" i="79"/>
  <c r="G73" i="79"/>
  <c r="F73" i="79"/>
  <c r="C73" i="79" s="1"/>
  <c r="M72" i="79"/>
  <c r="C72" i="79"/>
  <c r="I71" i="79"/>
  <c r="M71" i="79" s="1"/>
  <c r="H71" i="79"/>
  <c r="G71" i="79"/>
  <c r="F71" i="79"/>
  <c r="C71" i="79" s="1"/>
  <c r="M70" i="79"/>
  <c r="C70" i="79"/>
  <c r="I69" i="79"/>
  <c r="M69" i="79" s="1"/>
  <c r="H69" i="79"/>
  <c r="G69" i="79"/>
  <c r="F69" i="79"/>
  <c r="C69" i="79" s="1"/>
  <c r="M68" i="79"/>
  <c r="C68" i="79"/>
  <c r="I67" i="79"/>
  <c r="M67" i="79" s="1"/>
  <c r="H67" i="79"/>
  <c r="G67" i="79"/>
  <c r="F67" i="79"/>
  <c r="C67" i="79" s="1"/>
  <c r="M66" i="79"/>
  <c r="C66" i="79"/>
  <c r="I65" i="79"/>
  <c r="M65" i="79" s="1"/>
  <c r="H65" i="79"/>
  <c r="G65" i="79"/>
  <c r="F65" i="79"/>
  <c r="C65" i="79" s="1"/>
  <c r="M64" i="79"/>
  <c r="C64" i="79"/>
  <c r="I62" i="79"/>
  <c r="I63" i="79" s="1"/>
  <c r="H62" i="79"/>
  <c r="H63" i="79" s="1"/>
  <c r="G62" i="79"/>
  <c r="G63" i="79" s="1"/>
  <c r="F62" i="79"/>
  <c r="F63" i="79" s="1"/>
  <c r="C63" i="79" s="1"/>
  <c r="L61" i="79"/>
  <c r="L62" i="79" s="1"/>
  <c r="C61" i="79"/>
  <c r="I59" i="79"/>
  <c r="I60" i="79" s="1"/>
  <c r="M60" i="79" s="1"/>
  <c r="H59" i="79"/>
  <c r="H60" i="79" s="1"/>
  <c r="G59" i="79"/>
  <c r="G60" i="79" s="1"/>
  <c r="F59" i="79"/>
  <c r="C59" i="79" s="1"/>
  <c r="M58" i="79"/>
  <c r="C58" i="79"/>
  <c r="M57" i="79"/>
  <c r="C57" i="79"/>
  <c r="M56" i="79"/>
  <c r="J56" i="79"/>
  <c r="C56" i="79"/>
  <c r="M55" i="79"/>
  <c r="J55" i="79"/>
  <c r="C55" i="79"/>
  <c r="M54" i="79"/>
  <c r="C54" i="79"/>
  <c r="M53" i="79"/>
  <c r="C53" i="79"/>
  <c r="J52" i="79"/>
  <c r="L51" i="79"/>
  <c r="L52" i="79" s="1"/>
  <c r="J51" i="79"/>
  <c r="I51" i="79"/>
  <c r="I52" i="79" s="1"/>
  <c r="H51" i="79"/>
  <c r="H52" i="79" s="1"/>
  <c r="G51" i="79"/>
  <c r="G52" i="79" s="1"/>
  <c r="F51" i="79"/>
  <c r="C51" i="79" s="1"/>
  <c r="M50" i="79"/>
  <c r="C50" i="79"/>
  <c r="I47" i="79"/>
  <c r="I48" i="79" s="1"/>
  <c r="H47" i="79"/>
  <c r="H48" i="79" s="1"/>
  <c r="H49" i="79" s="1"/>
  <c r="G47" i="79"/>
  <c r="G48" i="79" s="1"/>
  <c r="G49" i="79" s="1"/>
  <c r="F47" i="79"/>
  <c r="C47" i="79" s="1"/>
  <c r="M46" i="79"/>
  <c r="C46" i="79"/>
  <c r="M45" i="79"/>
  <c r="C45" i="79"/>
  <c r="M44" i="79"/>
  <c r="C44" i="79"/>
  <c r="J43" i="79"/>
  <c r="I43" i="79"/>
  <c r="M43" i="79" s="1"/>
  <c r="H43" i="79"/>
  <c r="G43" i="79"/>
  <c r="F43" i="79"/>
  <c r="C43" i="79" s="1"/>
  <c r="M42" i="79"/>
  <c r="C42" i="79"/>
  <c r="J41" i="79"/>
  <c r="J40" i="79"/>
  <c r="I40" i="79"/>
  <c r="I41" i="79" s="1"/>
  <c r="M41" i="79" s="1"/>
  <c r="H40" i="79"/>
  <c r="H41" i="79" s="1"/>
  <c r="G40" i="79"/>
  <c r="G41" i="79" s="1"/>
  <c r="F40" i="79"/>
  <c r="F41" i="79" s="1"/>
  <c r="C41" i="79" s="1"/>
  <c r="C40" i="79"/>
  <c r="M39" i="79"/>
  <c r="C39" i="79"/>
  <c r="I38" i="79"/>
  <c r="M38" i="79" s="1"/>
  <c r="H38" i="79"/>
  <c r="G38" i="79"/>
  <c r="F38" i="79"/>
  <c r="C38" i="79"/>
  <c r="M37" i="79"/>
  <c r="C37" i="79"/>
  <c r="I35" i="79"/>
  <c r="M35" i="79" s="1"/>
  <c r="H35" i="79"/>
  <c r="H36" i="79" s="1"/>
  <c r="G35" i="79"/>
  <c r="G36" i="79" s="1"/>
  <c r="F35" i="79"/>
  <c r="F36" i="79" s="1"/>
  <c r="C36" i="79" s="1"/>
  <c r="M34" i="79"/>
  <c r="C34" i="79"/>
  <c r="I33" i="79"/>
  <c r="M33" i="79" s="1"/>
  <c r="H33" i="79"/>
  <c r="G33" i="79"/>
  <c r="F33" i="79"/>
  <c r="C33" i="79"/>
  <c r="M32" i="79"/>
  <c r="C32" i="79"/>
  <c r="I31" i="79"/>
  <c r="M31" i="79" s="1"/>
  <c r="H31" i="79"/>
  <c r="G31" i="79"/>
  <c r="F31" i="79"/>
  <c r="C31" i="79" s="1"/>
  <c r="M30" i="79"/>
  <c r="C30" i="79"/>
  <c r="I29" i="79"/>
  <c r="M29" i="79" s="1"/>
  <c r="H29" i="79"/>
  <c r="G29" i="79"/>
  <c r="F29" i="79"/>
  <c r="C29" i="79"/>
  <c r="M28" i="79"/>
  <c r="C28" i="79"/>
  <c r="J27" i="79"/>
  <c r="I27" i="79"/>
  <c r="M27" i="79" s="1"/>
  <c r="H27" i="79"/>
  <c r="G27" i="79"/>
  <c r="F27" i="79"/>
  <c r="C27" i="79" s="1"/>
  <c r="M26" i="79"/>
  <c r="C26" i="79"/>
  <c r="M25" i="79"/>
  <c r="J25" i="79"/>
  <c r="C25" i="79"/>
  <c r="M24" i="79"/>
  <c r="C24" i="79"/>
  <c r="J23" i="79"/>
  <c r="I23" i="79"/>
  <c r="M23" i="79" s="1"/>
  <c r="H23" i="79"/>
  <c r="G23" i="79"/>
  <c r="F23" i="79"/>
  <c r="C23" i="79" s="1"/>
  <c r="M22" i="79"/>
  <c r="C22" i="79"/>
  <c r="J21" i="79"/>
  <c r="C21" i="79"/>
  <c r="M20" i="79"/>
  <c r="L20" i="79"/>
  <c r="L21" i="79" s="1"/>
  <c r="M21" i="79" s="1"/>
  <c r="J20" i="79"/>
  <c r="C20" i="79"/>
  <c r="M19" i="79"/>
  <c r="C19" i="79"/>
  <c r="J18" i="79"/>
  <c r="I18" i="79"/>
  <c r="M18" i="79" s="1"/>
  <c r="H18" i="79"/>
  <c r="G18" i="79"/>
  <c r="F18" i="79"/>
  <c r="C18" i="79"/>
  <c r="M17" i="79"/>
  <c r="C17" i="79"/>
  <c r="I16" i="79"/>
  <c r="M16" i="79" s="1"/>
  <c r="H16" i="79"/>
  <c r="G16" i="79"/>
  <c r="F16" i="79"/>
  <c r="C16" i="79" s="1"/>
  <c r="M15" i="79"/>
  <c r="C15" i="79"/>
  <c r="L9" i="79"/>
  <c r="L8" i="79"/>
  <c r="L7" i="79"/>
  <c r="L6" i="79"/>
  <c r="M6" i="79" s="1"/>
  <c r="I6" i="79"/>
  <c r="I7" i="79" s="1"/>
  <c r="I8" i="79" s="1"/>
  <c r="I9" i="79" s="1"/>
  <c r="I10" i="79" s="1"/>
  <c r="H6" i="79"/>
  <c r="H7" i="79" s="1"/>
  <c r="H8" i="79" s="1"/>
  <c r="H9" i="79" s="1"/>
  <c r="H10" i="79" s="1"/>
  <c r="H11" i="79" s="1"/>
  <c r="H12" i="79" s="1"/>
  <c r="H13" i="79" s="1"/>
  <c r="H14" i="79" s="1"/>
  <c r="G6" i="79"/>
  <c r="G7" i="79" s="1"/>
  <c r="G8" i="79" s="1"/>
  <c r="G9" i="79" s="1"/>
  <c r="G10" i="79" s="1"/>
  <c r="G11" i="79" s="1"/>
  <c r="G12" i="79" s="1"/>
  <c r="G13" i="79" s="1"/>
  <c r="G14" i="79" s="1"/>
  <c r="F6" i="79"/>
  <c r="F7" i="79" s="1"/>
  <c r="M5" i="79"/>
  <c r="L5" i="79"/>
  <c r="C5" i="79"/>
  <c r="C35" i="79" l="1"/>
  <c r="D124" i="80"/>
  <c r="D125" i="80" s="1"/>
  <c r="H110" i="80"/>
  <c r="M10" i="79"/>
  <c r="I11" i="79"/>
  <c r="M7" i="79"/>
  <c r="M9" i="79"/>
  <c r="L63" i="79"/>
  <c r="M63" i="79" s="1"/>
  <c r="M62" i="79"/>
  <c r="F8" i="79"/>
  <c r="C7" i="79"/>
  <c r="M8" i="79"/>
  <c r="I49" i="79"/>
  <c r="M49" i="79" s="1"/>
  <c r="M48" i="79"/>
  <c r="M52" i="79"/>
  <c r="C6" i="79"/>
  <c r="I36" i="79"/>
  <c r="M36" i="79" s="1"/>
  <c r="M40" i="79"/>
  <c r="M47" i="79"/>
  <c r="F48" i="79"/>
  <c r="M51" i="79"/>
  <c r="F52" i="79"/>
  <c r="C52" i="79" s="1"/>
  <c r="M59" i="79"/>
  <c r="F60" i="79"/>
  <c r="C60" i="79" s="1"/>
  <c r="C62" i="79"/>
  <c r="M61" i="79"/>
  <c r="O6" i="79" s="1"/>
  <c r="O8" i="79" s="1"/>
  <c r="C48" i="79" l="1"/>
  <c r="F49" i="79"/>
  <c r="C49" i="79" s="1"/>
  <c r="M11" i="79"/>
  <c r="I12" i="79"/>
  <c r="F9" i="79"/>
  <c r="C8" i="79"/>
  <c r="M12" i="79" l="1"/>
  <c r="I13" i="79"/>
  <c r="F10" i="79"/>
  <c r="C9" i="79"/>
  <c r="M13" i="79" l="1"/>
  <c r="I14" i="79"/>
  <c r="M14" i="79" s="1"/>
  <c r="F11" i="79"/>
  <c r="C10" i="79"/>
  <c r="F12" i="79" l="1"/>
  <c r="C11" i="79"/>
  <c r="F13" i="79" l="1"/>
  <c r="C12" i="79"/>
  <c r="F14" i="79" l="1"/>
  <c r="C14" i="79" s="1"/>
  <c r="C13" i="79"/>
  <c r="F10" i="77" l="1"/>
  <c r="F9" i="77"/>
  <c r="F8" i="77"/>
  <c r="F7" i="77"/>
  <c r="N6" i="1"/>
  <c r="C29" i="35" s="1"/>
  <c r="C20" i="6"/>
  <c r="C19" i="6"/>
  <c r="K14" i="3"/>
  <c r="G20" i="6" s="1"/>
  <c r="I13" i="3"/>
  <c r="F19" i="6" s="1"/>
  <c r="F12" i="77" l="1"/>
  <c r="U6" i="1" s="1"/>
  <c r="Y6" i="1"/>
  <c r="N7" i="1"/>
  <c r="C36" i="33" l="1"/>
  <c r="Y7" i="1"/>
  <c r="F24" i="12"/>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D21" i="71" s="1"/>
  <c r="X20" i="71"/>
  <c r="X21" i="71"/>
  <c r="X22" i="71"/>
  <c r="C24" i="71"/>
  <c r="C25" i="71" s="1"/>
  <c r="Y23" i="71"/>
  <c r="Z23" i="71"/>
  <c r="AB23" i="7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AA3"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C25" i="40"/>
  <c r="S25" i="40"/>
  <c r="S29" i="39"/>
  <c r="S18" i="36"/>
  <c r="U18" i="36"/>
  <c r="H25" i="40"/>
  <c r="J25" i="40"/>
  <c r="AC25" i="40" s="1"/>
  <c r="H29" i="39"/>
  <c r="AB29" i="39" s="1"/>
  <c r="J29" i="39"/>
  <c r="AC29" i="39" s="1"/>
  <c r="J18" i="36"/>
  <c r="AC18" i="36" s="1"/>
  <c r="H18" i="35"/>
  <c r="AB18" i="35" s="1"/>
  <c r="J18" i="35"/>
  <c r="W18" i="35" s="1"/>
  <c r="F77" i="37"/>
  <c r="H21" i="37"/>
  <c r="AB21" i="37" s="1"/>
  <c r="F21" i="37"/>
  <c r="H21" i="34"/>
  <c r="H21" i="33"/>
  <c r="U21" i="33" s="1"/>
  <c r="F21" i="33"/>
  <c r="S21" i="33" s="1"/>
  <c r="E83" i="21"/>
  <c r="S21" i="21"/>
  <c r="H1" i="69"/>
  <c r="W25" i="40"/>
  <c r="AB25" i="40"/>
  <c r="U25" i="40"/>
  <c r="U29" i="39"/>
  <c r="W29" i="39"/>
  <c r="W18" i="36"/>
  <c r="U21" i="37"/>
  <c r="AA21" i="37"/>
  <c r="S21" i="37"/>
  <c r="AB21" i="34"/>
  <c r="U21" i="34"/>
  <c r="AA21" i="33"/>
  <c r="G77" i="37"/>
  <c r="J21" i="37"/>
  <c r="AC21" i="37" s="1"/>
  <c r="J21" i="34"/>
  <c r="AC21" i="34" s="1"/>
  <c r="J21" i="33"/>
  <c r="W21" i="33" s="1"/>
  <c r="F83" i="21"/>
  <c r="H21" i="21"/>
  <c r="F38" i="69"/>
  <c r="E37" i="69"/>
  <c r="F36" i="69"/>
  <c r="F35" i="69"/>
  <c r="F21" i="69"/>
  <c r="C21" i="69" s="1"/>
  <c r="F20" i="69"/>
  <c r="E10" i="69"/>
  <c r="E9" i="69"/>
  <c r="C7" i="69"/>
  <c r="W21" i="37"/>
  <c r="W21" i="34"/>
  <c r="AC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s="1"/>
  <c r="F23" i="67"/>
  <c r="F21" i="67"/>
  <c r="F20" i="67"/>
  <c r="M19" i="67"/>
  <c r="F18" i="67"/>
  <c r="F17" i="67"/>
  <c r="F15"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R29" i="31" s="1"/>
  <c r="S29" i="31" s="1"/>
  <c r="C30" i="31"/>
  <c r="R30" i="31" s="1"/>
  <c r="S30" i="31" s="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53" i="31"/>
  <c r="S237" i="31"/>
  <c r="S429" i="31"/>
  <c r="S207" i="31"/>
  <c r="S191" i="31"/>
  <c r="S175" i="31"/>
  <c r="S159" i="31"/>
  <c r="S143" i="31"/>
  <c r="S127" i="31"/>
  <c r="S475" i="31"/>
  <c r="S115" i="31"/>
  <c r="S49" i="31"/>
  <c r="S8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7"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J31" i="33" s="1"/>
  <c r="B96" i="33"/>
  <c r="B94" i="33"/>
  <c r="H29" i="33" s="1"/>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28"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AC41" i="33"/>
  <c r="W41" i="33"/>
  <c r="Q41" i="33"/>
  <c r="Z41" i="33" s="1"/>
  <c r="Q40" i="33"/>
  <c r="Z40" i="33" s="1"/>
  <c r="J40" i="33"/>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U31" i="35"/>
  <c r="S34" i="35"/>
  <c r="W34" i="35"/>
  <c r="W36" i="35"/>
  <c r="W22" i="35"/>
  <c r="S31" i="35"/>
  <c r="U34" i="35"/>
  <c r="F36" i="34"/>
  <c r="J35" i="34"/>
  <c r="S34" i="34"/>
  <c r="U34" i="34"/>
  <c r="H39" i="33"/>
  <c r="AB39" i="33" s="1"/>
  <c r="F26" i="33"/>
  <c r="U33" i="33"/>
  <c r="W39" i="33"/>
  <c r="H39" i="37"/>
  <c r="S27" i="35"/>
  <c r="F11" i="40"/>
  <c r="AA11" i="40"/>
  <c r="H11" i="40"/>
  <c r="AB11" i="40"/>
  <c r="W8" i="40"/>
  <c r="AB39" i="40"/>
  <c r="AA9" i="40"/>
  <c r="U9" i="40"/>
  <c r="U38" i="40"/>
  <c r="W31" i="40"/>
  <c r="U34" i="40"/>
  <c r="S38" i="40"/>
  <c r="F42" i="39"/>
  <c r="F41" i="39"/>
  <c r="H40" i="39"/>
  <c r="AB40" i="39" s="1"/>
  <c r="H39" i="39"/>
  <c r="U39" i="39" s="1"/>
  <c r="S38" i="39"/>
  <c r="H34" i="39"/>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s="1"/>
  <c r="J17" i="39"/>
  <c r="J27" i="39"/>
  <c r="AC27" i="39"/>
  <c r="F27" i="39"/>
  <c r="F11" i="21"/>
  <c r="S11" i="21" s="1"/>
  <c r="S40" i="21"/>
  <c r="U34" i="21"/>
  <c r="S34" i="21"/>
  <c r="C25" i="39"/>
  <c r="C27" i="39"/>
  <c r="H11" i="39"/>
  <c r="S40" i="39"/>
  <c r="C15" i="39"/>
  <c r="H11" i="21"/>
  <c r="J11" i="21"/>
  <c r="W11" i="21" s="1"/>
  <c r="H37" i="40"/>
  <c r="U37" i="40" s="1"/>
  <c r="H36" i="40"/>
  <c r="AB36" i="40" s="1"/>
  <c r="F35" i="40"/>
  <c r="AA35" i="40" s="1"/>
  <c r="H23" i="40"/>
  <c r="H17" i="40"/>
  <c r="U17" i="40" s="1"/>
  <c r="J15" i="40"/>
  <c r="W15" i="40" s="1"/>
  <c r="J11" i="40"/>
  <c r="W11" i="40" s="1"/>
  <c r="AB8" i="39"/>
  <c r="AC12" i="34"/>
  <c r="AA12" i="34"/>
  <c r="AB12" i="35"/>
  <c r="W32" i="40"/>
  <c r="S44" i="39"/>
  <c r="F37" i="39"/>
  <c r="AA37" i="39" s="1"/>
  <c r="J34" i="36"/>
  <c r="W34" i="36" s="1"/>
  <c r="U30" i="36"/>
  <c r="J30" i="35"/>
  <c r="W30" i="35" s="1"/>
  <c r="H30" i="35"/>
  <c r="F22" i="35"/>
  <c r="AA22" i="35"/>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J32" i="35"/>
  <c r="AC32" i="35" s="1"/>
  <c r="J16" i="35"/>
  <c r="AC16" i="35" s="1"/>
  <c r="H16" i="35"/>
  <c r="U16" i="35" s="1"/>
  <c r="F16" i="35"/>
  <c r="S16" i="35" s="1"/>
  <c r="H33" i="35"/>
  <c r="AB33" i="35" s="1"/>
  <c r="AC8"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AA28" i="34" s="1"/>
  <c r="F27" i="34"/>
  <c r="AA27" i="34" s="1"/>
  <c r="F25" i="34"/>
  <c r="S25" i="34" s="1"/>
  <c r="H23" i="34"/>
  <c r="J23" i="34"/>
  <c r="F19" i="34"/>
  <c r="H17" i="34"/>
  <c r="U17" i="34" s="1"/>
  <c r="F15" i="34"/>
  <c r="AA15" i="34" s="1"/>
  <c r="J15" i="34"/>
  <c r="H15" i="34"/>
  <c r="AB15" i="34" s="1"/>
  <c r="S9" i="34"/>
  <c r="F41" i="33"/>
  <c r="E113" i="33"/>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B30" i="36"/>
  <c r="AC34" i="36"/>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F28" i="40"/>
  <c r="AA28" i="40"/>
  <c r="S42" i="34"/>
  <c r="AC38" i="34"/>
  <c r="AA38" i="34"/>
  <c r="J37" i="34"/>
  <c r="AC37" i="34"/>
  <c r="S28" i="34"/>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13" i="33"/>
  <c r="S13" i="33" s="1"/>
  <c r="J29" i="33"/>
  <c r="F29" i="33"/>
  <c r="S29" i="33" s="1"/>
  <c r="H31" i="33"/>
  <c r="AB31" i="33" s="1"/>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AC14" i="33" s="1"/>
  <c r="J30" i="33"/>
  <c r="AC30" i="33" s="1"/>
  <c r="J44" i="33"/>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J35" i="40"/>
  <c r="AC35" i="40"/>
  <c r="J37" i="40"/>
  <c r="AC37" i="40"/>
  <c r="H13" i="40"/>
  <c r="U13" i="40"/>
  <c r="J13" i="40"/>
  <c r="W13" i="40"/>
  <c r="F13" i="40"/>
  <c r="AA13" i="40"/>
  <c r="F13" i="39"/>
  <c r="J13" i="39"/>
  <c r="W13" i="39" s="1"/>
  <c r="H13" i="39"/>
  <c r="H14" i="40"/>
  <c r="AB14" i="40"/>
  <c r="J14" i="40"/>
  <c r="W14" i="40"/>
  <c r="F14" i="40"/>
  <c r="AA14" i="40"/>
  <c r="J36" i="37"/>
  <c r="AC36" i="37" s="1"/>
  <c r="G105" i="37"/>
  <c r="AB11" i="35"/>
  <c r="J10" i="36"/>
  <c r="AC10" i="36"/>
  <c r="AB30" i="21"/>
  <c r="W11" i="36"/>
  <c r="AA14" i="34"/>
  <c r="S44" i="34"/>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s="1"/>
  <c r="F42" i="33"/>
  <c r="AA42" i="33" s="1"/>
  <c r="AB28" i="34"/>
  <c r="F14" i="36"/>
  <c r="AA14" i="36"/>
  <c r="F22" i="36"/>
  <c r="S22" i="36"/>
  <c r="F26" i="36"/>
  <c r="S26" i="36"/>
  <c r="H27" i="34"/>
  <c r="AB27" i="34"/>
  <c r="H35" i="34"/>
  <c r="U35" i="34"/>
  <c r="F41" i="34"/>
  <c r="S41" i="34"/>
  <c r="H41" i="34"/>
  <c r="U41" i="34"/>
  <c r="J41" i="34"/>
  <c r="AC41" i="34"/>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U43" i="33"/>
  <c r="U14" i="40"/>
  <c r="AC33" i="36"/>
  <c r="AA12" i="35"/>
  <c r="AB28" i="37"/>
  <c r="U33" i="37"/>
  <c r="W26" i="37"/>
  <c r="AC8" i="37"/>
  <c r="U26" i="37"/>
  <c r="AB13" i="34"/>
  <c r="W37" i="34"/>
  <c r="AB37" i="34"/>
  <c r="AC36" i="34"/>
  <c r="AC45" i="33"/>
  <c r="U19" i="21"/>
  <c r="U26" i="21"/>
  <c r="AB38" i="21"/>
  <c r="F43" i="33"/>
  <c r="AA43" i="33" s="1"/>
  <c r="W15" i="34"/>
  <c r="AC15" i="34"/>
  <c r="W40"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U40" i="39"/>
  <c r="W9" i="39"/>
  <c r="W8" i="39"/>
  <c r="J19" i="40"/>
  <c r="AC19" i="40" s="1"/>
  <c r="J50" i="40"/>
  <c r="B16" i="53"/>
  <c r="B33" i="72" s="1"/>
  <c r="C7" i="37"/>
  <c r="C7" i="34"/>
  <c r="C7" i="36"/>
  <c r="W35" i="40"/>
  <c r="A118" i="9"/>
  <c r="A4" i="52"/>
  <c r="B41" i="72" s="1"/>
  <c r="J11" i="39"/>
  <c r="W11" i="39" s="1"/>
  <c r="F11" i="39"/>
  <c r="AA11" i="39" s="1"/>
  <c r="G4" i="4"/>
  <c r="I4" i="4"/>
  <c r="K5" i="4"/>
  <c r="B47" i="48" s="1"/>
  <c r="A2" i="9"/>
  <c r="N2" i="43"/>
  <c r="F59" i="43"/>
  <c r="AZ20" i="3"/>
  <c r="AZ24" i="3"/>
  <c r="AZ28" i="3"/>
  <c r="AZ32" i="3"/>
  <c r="BL549" i="3"/>
  <c r="AZ549" i="3" s="1"/>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E29" i="6" s="1"/>
  <c r="K15" i="1"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D17" i="43"/>
  <c r="F39" i="43"/>
  <c r="I17" i="43"/>
  <c r="F35" i="43"/>
  <c r="J17" i="43"/>
  <c r="F6" i="1"/>
  <c r="U17" i="39"/>
  <c r="U43" i="21"/>
  <c r="U35" i="21"/>
  <c r="AC35" i="21"/>
  <c r="U10" i="21"/>
  <c r="G8" i="1"/>
  <c r="G9" i="1"/>
  <c r="G10" i="1"/>
  <c r="F48" i="9"/>
  <c r="O52" i="9" s="1"/>
  <c r="AC11" i="39"/>
  <c r="AZ563" i="3"/>
  <c r="AZ501" i="3"/>
  <c r="W44" i="34"/>
  <c r="AC44" i="34"/>
  <c r="S15" i="37"/>
  <c r="U13" i="37"/>
  <c r="U12" i="40"/>
  <c r="AA12" i="40"/>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M6" i="1" s="1"/>
  <c r="O6" i="1" s="1"/>
  <c r="G29" i="6"/>
  <c r="G30" i="6" s="1"/>
  <c r="G31" i="6" s="1"/>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B41" i="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W24" i="35"/>
  <c r="AB27" i="35"/>
  <c r="U36" i="35"/>
  <c r="U32" i="35"/>
  <c r="AA33" i="35"/>
  <c r="AC30" i="35"/>
  <c r="AA36" i="35"/>
  <c r="W32" i="35"/>
  <c r="AB16" i="35"/>
  <c r="U22" i="35"/>
  <c r="S22" i="35"/>
  <c r="AC10" i="35"/>
  <c r="AA11" i="35"/>
  <c r="S8" i="35"/>
  <c r="AC9" i="35"/>
  <c r="W9" i="35"/>
  <c r="AC12" i="35"/>
  <c r="F9" i="35"/>
  <c r="H9" i="35"/>
  <c r="AB9" i="35" s="1"/>
  <c r="AB40" i="37"/>
  <c r="S25" i="37"/>
  <c r="S26" i="37"/>
  <c r="AC29" i="37"/>
  <c r="U29" i="37"/>
  <c r="S32" i="37"/>
  <c r="AB31" i="37"/>
  <c r="W30" i="37"/>
  <c r="S36" i="37"/>
  <c r="AA38" i="37"/>
  <c r="W38" i="37"/>
  <c r="AC35" i="37"/>
  <c r="W39"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I63" i="37" s="1"/>
  <c r="J63" i="37" s="1"/>
  <c r="K63" i="37" s="1"/>
  <c r="L63" i="37" s="1"/>
  <c r="M63" i="37" s="1"/>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AB10" i="34" s="1"/>
  <c r="F11" i="34"/>
  <c r="S11" i="34"/>
  <c r="F70" i="34"/>
  <c r="S27" i="33"/>
  <c r="AA29" i="33"/>
  <c r="W38" i="33"/>
  <c r="H41" i="33"/>
  <c r="F121" i="33"/>
  <c r="G121" i="33"/>
  <c r="H121" i="33" s="1"/>
  <c r="I121" i="33" s="1"/>
  <c r="J121" i="33" s="1"/>
  <c r="K121" i="33" s="1"/>
  <c r="L121" i="33" s="1"/>
  <c r="M121" i="33" s="1"/>
  <c r="S42" i="33"/>
  <c r="F36" i="33"/>
  <c r="AA36" i="33" s="1"/>
  <c r="J35" i="33"/>
  <c r="W35" i="33" s="1"/>
  <c r="S37" i="33"/>
  <c r="AA37" i="33"/>
  <c r="S39" i="33"/>
  <c r="S46" i="33"/>
  <c r="S43" i="33"/>
  <c r="H27" i="33"/>
  <c r="U27" i="33" s="1"/>
  <c r="H25" i="33"/>
  <c r="U25" i="33" s="1"/>
  <c r="F25" i="33"/>
  <c r="AA25" i="33" s="1"/>
  <c r="J23" i="33"/>
  <c r="AC23" i="33" s="1"/>
  <c r="H23" i="33"/>
  <c r="U23" i="33" s="1"/>
  <c r="F19" i="33"/>
  <c r="AA19" i="33" s="1"/>
  <c r="W19" i="33"/>
  <c r="J17" i="33"/>
  <c r="AC17" i="33" s="1"/>
  <c r="S15" i="33"/>
  <c r="W15" i="33"/>
  <c r="U9" i="33"/>
  <c r="J10" i="33"/>
  <c r="H10" i="33"/>
  <c r="U10" i="33" s="1"/>
  <c r="AA10"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E388" i="3" s="1"/>
  <c r="BA13" i="3"/>
  <c r="E10" i="6"/>
  <c r="E11" i="6"/>
  <c r="E61" i="39" s="1"/>
  <c r="BL17" i="3"/>
  <c r="AZ17" i="3"/>
  <c r="BL13" i="3"/>
  <c r="J56" i="9"/>
  <c r="J57" i="9"/>
  <c r="J59" i="9" s="1"/>
  <c r="J61" i="9" s="1"/>
  <c r="A24" i="51"/>
  <c r="B18" i="72" s="1"/>
  <c r="E14" i="6"/>
  <c r="E64" i="39" s="1"/>
  <c r="E5" i="6"/>
  <c r="D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c r="C52" i="37"/>
  <c r="D52" i="37"/>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W14" i="33"/>
  <c r="W30" i="33"/>
  <c r="AC13"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AZ13" i="3"/>
  <c r="D19" i="12"/>
  <c r="C19" i="12" s="1"/>
  <c r="AR11" i="1"/>
  <c r="T13" i="1"/>
  <c r="C24" i="12"/>
  <c r="AA39" i="40"/>
  <c r="S39" i="40"/>
  <c r="AA12" i="33"/>
  <c r="J32" i="39"/>
  <c r="H32" i="39"/>
  <c r="AA32" i="39"/>
  <c r="S32" i="39"/>
  <c r="AB21" i="39"/>
  <c r="U21" i="39"/>
  <c r="AA21" i="39"/>
  <c r="S21" i="39"/>
  <c r="W21" i="39"/>
  <c r="AA9" i="35"/>
  <c r="S9" i="35"/>
  <c r="AC17" i="37"/>
  <c r="S17" i="37"/>
  <c r="J19" i="37"/>
  <c r="S19" i="37"/>
  <c r="AA19" i="37"/>
  <c r="AA23" i="37"/>
  <c r="J23" i="37"/>
  <c r="G79" i="37"/>
  <c r="J10" i="37"/>
  <c r="I60" i="37"/>
  <c r="H11" i="37"/>
  <c r="U10" i="37"/>
  <c r="G70" i="34"/>
  <c r="H11" i="34"/>
  <c r="U10" i="34"/>
  <c r="J10" i="34"/>
  <c r="I67" i="34"/>
  <c r="AB41" i="33"/>
  <c r="U41" i="33"/>
  <c r="J36" i="33"/>
  <c r="W36" i="33" s="1"/>
  <c r="H36" i="33"/>
  <c r="AB36" i="33" s="1"/>
  <c r="J27" i="33"/>
  <c r="W27" i="33" s="1"/>
  <c r="J25" i="33"/>
  <c r="AC25" i="33" s="1"/>
  <c r="F23" i="33"/>
  <c r="AA23" i="33" s="1"/>
  <c r="W23" i="33"/>
  <c r="H19" i="33"/>
  <c r="AB19" i="33" s="1"/>
  <c r="H17" i="33"/>
  <c r="U17" i="33" s="1"/>
  <c r="F17" i="33"/>
  <c r="AA17" i="33" s="1"/>
  <c r="W17" i="33"/>
  <c r="AC10" i="33"/>
  <c r="W10" i="33"/>
  <c r="AC37" i="21"/>
  <c r="U33" i="21"/>
  <c r="S37" i="21"/>
  <c r="AA23" i="21"/>
  <c r="AB15" i="21"/>
  <c r="J23" i="21"/>
  <c r="F85" i="21"/>
  <c r="G85" i="21" s="1"/>
  <c r="H23" i="21"/>
  <c r="AB23" i="21" s="1"/>
  <c r="S13" i="21"/>
  <c r="E239" i="3"/>
  <c r="E516" i="3"/>
  <c r="E569" i="3"/>
  <c r="E396" i="3"/>
  <c r="E229" i="3"/>
  <c r="E97" i="3"/>
  <c r="E397" i="3"/>
  <c r="E314" i="3"/>
  <c r="E568" i="3"/>
  <c r="E511" i="3"/>
  <c r="I6" i="3"/>
  <c r="E16" i="3"/>
  <c r="E536" i="3"/>
  <c r="AK6" i="3"/>
  <c r="E549" i="3"/>
  <c r="E434"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O19" i="43"/>
  <c r="E52" i="37"/>
  <c r="F52" i="37"/>
  <c r="E59" i="34"/>
  <c r="F59" i="34" s="1"/>
  <c r="G59" i="34" s="1"/>
  <c r="H59" i="34" s="1"/>
  <c r="I59" i="34" s="1"/>
  <c r="J59" i="34" s="1"/>
  <c r="K59" i="34" s="1"/>
  <c r="L27" i="6"/>
  <c r="AP7" i="1"/>
  <c r="Q16" i="1"/>
  <c r="F27" i="69" s="1"/>
  <c r="C47" i="69" s="1"/>
  <c r="D45"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J11" i="37"/>
  <c r="AC11" i="37" s="1"/>
  <c r="W10" i="37"/>
  <c r="AC10" i="37"/>
  <c r="U11" i="34"/>
  <c r="AB11" i="34"/>
  <c r="AC10" i="34"/>
  <c r="W10" i="34"/>
  <c r="H70" i="34"/>
  <c r="I70" i="34"/>
  <c r="J70" i="34" s="1"/>
  <c r="K70" i="34" s="1"/>
  <c r="L70" i="34" s="1"/>
  <c r="M70" i="34" s="1"/>
  <c r="J11" i="34"/>
  <c r="AC36" i="33"/>
  <c r="U36" i="33"/>
  <c r="U23" i="21"/>
  <c r="AC23" i="21"/>
  <c r="W23" i="21"/>
  <c r="W11" i="37"/>
  <c r="W11" i="34"/>
  <c r="AC11" i="34"/>
  <c r="C13" i="12"/>
  <c r="F34" i="11"/>
  <c r="F11" i="12"/>
  <c r="F34" i="68"/>
  <c r="R8" i="1"/>
  <c r="AE8" i="1"/>
  <c r="AG6" i="1"/>
  <c r="H109" i="9"/>
  <c r="D124" i="9" s="1"/>
  <c r="D16" i="53"/>
  <c r="B34" i="72" s="1"/>
  <c r="J7" i="33"/>
  <c r="W7" i="33" s="1"/>
  <c r="F7" i="33"/>
  <c r="S7" i="33" s="1"/>
  <c r="H7" i="33"/>
  <c r="AB7" i="33" s="1"/>
  <c r="AA7" i="33"/>
  <c r="D59" i="9"/>
  <c r="M55" i="9" s="1"/>
  <c r="AD3" i="71"/>
  <c r="E10" i="76"/>
  <c r="F36" i="15"/>
  <c r="M23" i="67"/>
  <c r="M28" i="67"/>
  <c r="F26" i="15"/>
  <c r="M24" i="67"/>
  <c r="AO11" i="1"/>
  <c r="F38" i="15"/>
  <c r="L47" i="15"/>
  <c r="F43" i="15"/>
  <c r="AO8" i="1"/>
  <c r="L48" i="15"/>
  <c r="F40" i="15"/>
  <c r="F6" i="73"/>
  <c r="F20" i="31"/>
  <c r="M8" i="15"/>
  <c r="M26" i="67"/>
  <c r="E12" i="76"/>
  <c r="B11" i="76"/>
  <c r="M23" i="15"/>
  <c r="F6" i="67"/>
  <c r="M26" i="15"/>
  <c r="M8" i="67"/>
  <c r="M6" i="15"/>
  <c r="D2" i="36"/>
  <c r="AO9" i="1"/>
  <c r="L48" i="67"/>
  <c r="F40" i="67"/>
  <c r="E2" i="68"/>
  <c r="F3" i="73"/>
  <c r="B12" i="76"/>
  <c r="F42" i="15"/>
  <c r="E13" i="76"/>
  <c r="F5" i="73"/>
  <c r="M28" i="15"/>
  <c r="M6" i="67"/>
  <c r="B7" i="76"/>
  <c r="F7" i="15"/>
  <c r="F43" i="67"/>
  <c r="F7" i="67"/>
  <c r="F13" i="15"/>
  <c r="F16" i="15"/>
  <c r="F13" i="67"/>
  <c r="L47" i="67"/>
  <c r="F9" i="15"/>
  <c r="E8" i="76"/>
  <c r="F16" i="67"/>
  <c r="B13" i="76"/>
  <c r="D2" i="21"/>
  <c r="F4" i="73"/>
  <c r="F9" i="67"/>
  <c r="M27" i="15"/>
  <c r="D2" i="33"/>
  <c r="AO12" i="1"/>
  <c r="M22" i="67"/>
  <c r="AO13" i="1"/>
  <c r="M9" i="15"/>
  <c r="B8" i="76"/>
  <c r="J15" i="67"/>
  <c r="F8" i="15"/>
  <c r="F8" i="67"/>
  <c r="M27" i="67"/>
  <c r="M29" i="15"/>
  <c r="F26" i="67"/>
  <c r="F6" i="15"/>
  <c r="C76" i="67"/>
  <c r="E2" i="69"/>
  <c r="D2" i="37"/>
  <c r="E11" i="76"/>
  <c r="B10" i="76"/>
  <c r="M22" i="15"/>
  <c r="F37" i="15"/>
  <c r="F37" i="67"/>
  <c r="F7" i="73"/>
  <c r="M24" i="15"/>
  <c r="F42" i="67"/>
  <c r="D2" i="34"/>
  <c r="F36" i="67"/>
  <c r="M29" i="67"/>
  <c r="J15" i="15"/>
  <c r="E9" i="76"/>
  <c r="AO10" i="1"/>
  <c r="E7" i="76"/>
  <c r="D2" i="35"/>
  <c r="F38" i="67"/>
  <c r="B9" i="76"/>
  <c r="M9" i="67"/>
  <c r="C76" i="15"/>
  <c r="H110" i="9" l="1"/>
  <c r="D18" i="53" s="1"/>
  <c r="B35" i="72" s="1"/>
  <c r="H103" i="9"/>
  <c r="J32" i="33"/>
  <c r="W32" i="33" s="1"/>
  <c r="U29" i="33"/>
  <c r="AB29" i="33"/>
  <c r="U31" i="33"/>
  <c r="F31" i="33"/>
  <c r="AB14" i="33"/>
  <c r="AA13" i="33"/>
  <c r="B55" i="43"/>
  <c r="B49" i="43"/>
  <c r="C21" i="39"/>
  <c r="C29" i="39"/>
  <c r="B66" i="43"/>
  <c r="C9" i="11"/>
  <c r="AA28" i="35"/>
  <c r="S28" i="35"/>
  <c r="D63" i="40"/>
  <c r="C65" i="40"/>
  <c r="F53" i="9"/>
  <c r="F54" i="85"/>
  <c r="F53" i="85"/>
  <c r="D68" i="85"/>
  <c r="F52" i="85"/>
  <c r="F48" i="85"/>
  <c r="O52" i="85" s="1"/>
  <c r="F52" i="80"/>
  <c r="F54" i="80"/>
  <c r="D68" i="80"/>
  <c r="F53" i="80"/>
  <c r="E12" i="6"/>
  <c r="AZ521" i="3"/>
  <c r="AZ508" i="3"/>
  <c r="AC44" i="33"/>
  <c r="W44" i="33"/>
  <c r="S14" i="33"/>
  <c r="AA14" i="33"/>
  <c r="AA11" i="36"/>
  <c r="S11" i="36"/>
  <c r="AC11" i="35"/>
  <c r="W11" i="35"/>
  <c r="W30" i="34"/>
  <c r="AC30" i="34"/>
  <c r="AA45" i="33"/>
  <c r="S45" i="33"/>
  <c r="AC29" i="33"/>
  <c r="W29" i="33"/>
  <c r="W28" i="21"/>
  <c r="AC28" i="21"/>
  <c r="U40" i="33"/>
  <c r="J28" i="34"/>
  <c r="U23" i="34"/>
  <c r="AB23" i="34"/>
  <c r="J20" i="35"/>
  <c r="W20" i="35" s="1"/>
  <c r="AB30" i="35"/>
  <c r="U30" i="35"/>
  <c r="AB23" i="40"/>
  <c r="U23" i="40"/>
  <c r="AA42" i="39"/>
  <c r="S42" i="39"/>
  <c r="AB39" i="37"/>
  <c r="U39" i="37"/>
  <c r="W33" i="33"/>
  <c r="AA26" i="33"/>
  <c r="S26" i="33"/>
  <c r="BL586" i="3"/>
  <c r="BA586" i="3"/>
  <c r="U12" i="33"/>
  <c r="AB12" i="33"/>
  <c r="AC40" i="33"/>
  <c r="W40" i="33"/>
  <c r="J26" i="33"/>
  <c r="H26" i="33"/>
  <c r="AC8" i="34"/>
  <c r="W8" i="34"/>
  <c r="G56" i="35"/>
  <c r="H56" i="35" s="1"/>
  <c r="I56" i="35" s="1"/>
  <c r="H10" i="35"/>
  <c r="F10"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J9" i="37"/>
  <c r="H9" i="37"/>
  <c r="F9" i="37"/>
  <c r="AB40" i="40"/>
  <c r="U40" i="40"/>
  <c r="U9" i="35"/>
  <c r="T9" i="1"/>
  <c r="AQ9" i="1"/>
  <c r="T11" i="1"/>
  <c r="AQ13" i="1"/>
  <c r="W17" i="21"/>
  <c r="S23" i="39"/>
  <c r="AA39" i="39"/>
  <c r="T10" i="1"/>
  <c r="T12" i="1"/>
  <c r="U32" i="37"/>
  <c r="S20" i="35"/>
  <c r="S27" i="36"/>
  <c r="AC27" i="36"/>
  <c r="W39" i="39"/>
  <c r="AC34" i="33"/>
  <c r="C77" i="9"/>
  <c r="C74" i="9" s="1"/>
  <c r="C77" i="85"/>
  <c r="C74" i="85" s="1"/>
  <c r="C77" i="80"/>
  <c r="C74" i="80" s="1"/>
  <c r="E13" i="6"/>
  <c r="E15" i="6"/>
  <c r="H49" i="43"/>
  <c r="W37" i="37"/>
  <c r="BQ5" i="3"/>
  <c r="F28" i="6" s="1"/>
  <c r="AZ347" i="3"/>
  <c r="AZ378" i="3"/>
  <c r="S11" i="39"/>
  <c r="W14" i="39"/>
  <c r="AC46" i="21"/>
  <c r="W44" i="21"/>
  <c r="S25" i="21"/>
  <c r="AA25" i="21"/>
  <c r="AZ497" i="3"/>
  <c r="AZ511" i="3"/>
  <c r="AZ515" i="3"/>
  <c r="AZ519" i="3"/>
  <c r="AZ565" i="3"/>
  <c r="AZ569" i="3"/>
  <c r="AZ573" i="3"/>
  <c r="AZ577" i="3"/>
  <c r="AZ583" i="3"/>
  <c r="AZ558" i="3"/>
  <c r="U13" i="33"/>
  <c r="AB45" i="33"/>
  <c r="AB46" i="34"/>
  <c r="W13" i="36"/>
  <c r="U46" i="33"/>
  <c r="S44" i="33"/>
  <c r="AA44" i="33"/>
  <c r="U11" i="36"/>
  <c r="AB11" i="36"/>
  <c r="W32" i="36"/>
  <c r="AC32" i="36"/>
  <c r="W31" i="33"/>
  <c r="AC31" i="33"/>
  <c r="AA41" i="33"/>
  <c r="S41" i="33"/>
  <c r="U11" i="21"/>
  <c r="AB11" i="21"/>
  <c r="U34" i="39"/>
  <c r="AB34" i="39"/>
  <c r="S41" i="39"/>
  <c r="AA41" i="39"/>
  <c r="AB12" i="21"/>
  <c r="U12" i="21"/>
  <c r="BL587" i="3"/>
  <c r="AZ587" i="3" s="1"/>
  <c r="BL585" i="3"/>
  <c r="AZ585" i="3" s="1"/>
  <c r="H101" i="33"/>
  <c r="I101" i="33" s="1"/>
  <c r="J101" i="33" s="1"/>
  <c r="K101" i="33" s="1"/>
  <c r="L101" i="33" s="1"/>
  <c r="M101" i="33" s="1"/>
  <c r="H32" i="33"/>
  <c r="AB32" i="33" s="1"/>
  <c r="F32" i="33"/>
  <c r="AA32" i="33" s="1"/>
  <c r="J42" i="33"/>
  <c r="AC42" i="33" s="1"/>
  <c r="F123" i="33"/>
  <c r="G123" i="33" s="1"/>
  <c r="H123" i="33" s="1"/>
  <c r="I123" i="33" s="1"/>
  <c r="J123" i="33" s="1"/>
  <c r="K123" i="33" s="1"/>
  <c r="L123" i="33" s="1"/>
  <c r="M123" i="33" s="1"/>
  <c r="H42" i="33"/>
  <c r="J9" i="34"/>
  <c r="H9" i="34"/>
  <c r="AB8" i="35"/>
  <c r="U8" i="35"/>
  <c r="E64" i="35"/>
  <c r="H14" i="35"/>
  <c r="F84" i="35"/>
  <c r="G84" i="35" s="1"/>
  <c r="H84" i="35" s="1"/>
  <c r="I84" i="35" s="1"/>
  <c r="J84" i="35" s="1"/>
  <c r="K84" i="35" s="1"/>
  <c r="L84" i="35" s="1"/>
  <c r="M84" i="35" s="1"/>
  <c r="H28" i="35"/>
  <c r="H23" i="35"/>
  <c r="J23" i="35"/>
  <c r="F23" i="35"/>
  <c r="AB14" i="37"/>
  <c r="U14" i="37"/>
  <c r="J27" i="37"/>
  <c r="J14" i="37"/>
  <c r="F27" i="37"/>
  <c r="F14" i="37"/>
  <c r="H33" i="40"/>
  <c r="F33" i="40"/>
  <c r="S34" i="39"/>
  <c r="S40" i="40"/>
  <c r="S34" i="40"/>
  <c r="AC9" i="40"/>
  <c r="AC40" i="40"/>
  <c r="F39" i="37"/>
  <c r="BL550" i="3"/>
  <c r="BA551" i="3"/>
  <c r="AZ551" i="3" s="1"/>
  <c r="AZ409" i="3"/>
  <c r="AZ416" i="3"/>
  <c r="AZ425" i="3"/>
  <c r="AZ432" i="3"/>
  <c r="AZ445" i="3"/>
  <c r="AZ447" i="3"/>
  <c r="AZ464" i="3"/>
  <c r="AZ467" i="3"/>
  <c r="AZ474" i="3"/>
  <c r="AZ480" i="3"/>
  <c r="AZ482" i="3"/>
  <c r="AZ486" i="3"/>
  <c r="AZ488" i="3"/>
  <c r="M18" i="80"/>
  <c r="B118" i="80" s="1"/>
  <c r="B15" i="74" s="1"/>
  <c r="D78" i="9"/>
  <c r="D93" i="85"/>
  <c r="D78" i="85"/>
  <c r="D93" i="80"/>
  <c r="D78" i="80"/>
  <c r="O17" i="43"/>
  <c r="M17" i="43"/>
  <c r="N17" i="43"/>
  <c r="L17" i="43"/>
  <c r="E17" i="43"/>
  <c r="AZ332" i="3"/>
  <c r="AZ397" i="3"/>
  <c r="AZ212" i="3"/>
  <c r="AZ217" i="3"/>
  <c r="AZ220" i="3"/>
  <c r="AZ228" i="3"/>
  <c r="AZ231" i="3"/>
  <c r="AZ244" i="3"/>
  <c r="AZ247" i="3"/>
  <c r="AZ260" i="3"/>
  <c r="AZ264" i="3"/>
  <c r="AZ272" i="3"/>
  <c r="AZ276" i="3"/>
  <c r="AZ289" i="3"/>
  <c r="AZ294" i="3"/>
  <c r="AZ300" i="3"/>
  <c r="AZ118" i="3"/>
  <c r="AZ121" i="3"/>
  <c r="AZ134" i="3"/>
  <c r="AZ137" i="3"/>
  <c r="AZ145" i="3"/>
  <c r="AZ161" i="3"/>
  <c r="AZ177" i="3"/>
  <c r="AZ193" i="3"/>
  <c r="AZ34" i="3"/>
  <c r="AZ38" i="3"/>
  <c r="AZ44" i="3"/>
  <c r="AZ48" i="3"/>
  <c r="AZ60" i="3"/>
  <c r="AZ64" i="3"/>
  <c r="AZ78" i="3"/>
  <c r="AZ91" i="3"/>
  <c r="AZ98" i="3"/>
  <c r="F3" i="35"/>
  <c r="M108" i="43"/>
  <c r="M100" i="43"/>
  <c r="I108" i="43"/>
  <c r="I100" i="43"/>
  <c r="E108" i="43"/>
  <c r="E100" i="43"/>
  <c r="D24" i="67"/>
  <c r="D22" i="67"/>
  <c r="T50" i="71"/>
  <c r="D50" i="71"/>
  <c r="P52" i="71"/>
  <c r="P51" i="71"/>
  <c r="C13" i="71"/>
  <c r="T14" i="71"/>
  <c r="D14" i="71"/>
  <c r="U14" i="71" s="1"/>
  <c r="K100" i="43"/>
  <c r="D108" i="43"/>
  <c r="D100" i="43"/>
  <c r="D23" i="67"/>
  <c r="D25" i="71"/>
  <c r="C26" i="71"/>
  <c r="M47" i="85"/>
  <c r="M47" i="80"/>
  <c r="A2" i="85"/>
  <c r="A118" i="85"/>
  <c r="AB21" i="33"/>
  <c r="S54" i="71"/>
  <c r="B53" i="71"/>
  <c r="AA10" i="71"/>
  <c r="AB10" i="71"/>
  <c r="Y8" i="71"/>
  <c r="Z8" i="71" s="1"/>
  <c r="AB8" i="71"/>
  <c r="Y7" i="71"/>
  <c r="Z7" i="71" s="1"/>
  <c r="AB7" i="71"/>
  <c r="Y5" i="71"/>
  <c r="Z5" i="71" s="1"/>
  <c r="AA5" i="71"/>
  <c r="S21" i="34"/>
  <c r="V14" i="71"/>
  <c r="AA14" i="71"/>
  <c r="AA12" i="71"/>
  <c r="X14" i="71"/>
  <c r="Y14" i="71"/>
  <c r="Z14" i="71" s="1"/>
  <c r="Y13" i="71"/>
  <c r="Z13" i="71" s="1"/>
  <c r="Y12" i="71"/>
  <c r="Z12" i="71" s="1"/>
  <c r="Y11" i="71"/>
  <c r="Z11" i="71" s="1"/>
  <c r="AA22" i="71"/>
  <c r="AB19" i="71"/>
  <c r="Y19" i="71"/>
  <c r="Z19" i="71" s="1"/>
  <c r="X18" i="71"/>
  <c r="N54" i="71"/>
  <c r="X23" i="71"/>
  <c r="AA15" i="71"/>
  <c r="AA8" i="71"/>
  <c r="X8" i="71"/>
  <c r="X7" i="71"/>
  <c r="AA7" i="71"/>
  <c r="J1" i="73"/>
  <c r="M56" i="85"/>
  <c r="J56" i="85"/>
  <c r="J57" i="85" s="1"/>
  <c r="J59" i="85" s="1"/>
  <c r="J61" i="85" s="1"/>
  <c r="N56" i="85"/>
  <c r="K56" i="85"/>
  <c r="M56" i="80"/>
  <c r="J56" i="80"/>
  <c r="J57" i="80" s="1"/>
  <c r="J59" i="80" s="1"/>
  <c r="J61" i="80" s="1"/>
  <c r="K56" i="80"/>
  <c r="N56" i="80"/>
  <c r="X10" i="71"/>
  <c r="Y10" i="71"/>
  <c r="Z10" i="71" s="1"/>
  <c r="V10" i="71"/>
  <c r="B10" i="71"/>
  <c r="C10" i="71"/>
  <c r="Y9" i="71"/>
  <c r="Z9" i="71" s="1"/>
  <c r="AA9" i="71"/>
  <c r="AB9" i="71"/>
  <c r="X9" i="71"/>
  <c r="AB6" i="71"/>
  <c r="AB5" i="71"/>
  <c r="X6" i="71"/>
  <c r="AA6" i="71"/>
  <c r="X5" i="71"/>
  <c r="AC35" i="33"/>
  <c r="U19" i="33"/>
  <c r="W42" i="33"/>
  <c r="S36" i="33"/>
  <c r="S23" i="33"/>
  <c r="AB34" i="33"/>
  <c r="AA34" i="33"/>
  <c r="AC32" i="33"/>
  <c r="W16" i="35"/>
  <c r="AC20" i="35"/>
  <c r="W28" i="35"/>
  <c r="AC18" i="35"/>
  <c r="U33" i="35"/>
  <c r="S32" i="35"/>
  <c r="F87" i="35"/>
  <c r="F29" i="35"/>
  <c r="U18" i="35"/>
  <c r="S25" i="33"/>
  <c r="AB27" i="33"/>
  <c r="S9" i="33"/>
  <c r="W43" i="33"/>
  <c r="S38" i="33"/>
  <c r="AA35" i="33"/>
  <c r="U35" i="33"/>
  <c r="AC27" i="33"/>
  <c r="S17" i="33"/>
  <c r="U15" i="33"/>
  <c r="AB10" i="33"/>
  <c r="AB25" i="33"/>
  <c r="W25" i="33"/>
  <c r="AB23" i="33"/>
  <c r="S19" i="33"/>
  <c r="AB17" i="33"/>
  <c r="S18" i="35"/>
  <c r="C51" i="10"/>
  <c r="A118" i="80"/>
  <c r="A2" i="80"/>
  <c r="F26" i="35"/>
  <c r="J26" i="35"/>
  <c r="H26" i="35"/>
  <c r="U7" i="33"/>
  <c r="G17" i="43"/>
  <c r="C16" i="43" s="1"/>
  <c r="C5" i="43" s="1"/>
  <c r="P74" i="67"/>
  <c r="J53" i="67"/>
  <c r="Q52" i="67" s="1"/>
  <c r="P61" i="15"/>
  <c r="J53" i="15"/>
  <c r="Q52" i="15" s="1"/>
  <c r="F32" i="15"/>
  <c r="F60" i="15" s="1"/>
  <c r="F31" i="12"/>
  <c r="C31" i="12" s="1"/>
  <c r="D68" i="9"/>
  <c r="F32" i="67"/>
  <c r="F60" i="67" s="1"/>
  <c r="F30" i="11"/>
  <c r="C48" i="11" s="1"/>
  <c r="C30" i="11"/>
  <c r="M18" i="15"/>
  <c r="F30" i="69"/>
  <c r="F28" i="67"/>
  <c r="C28" i="67" s="1"/>
  <c r="F30" i="68"/>
  <c r="C36" i="68"/>
  <c r="F54" i="9"/>
  <c r="F28" i="15"/>
  <c r="C28" i="15" s="1"/>
  <c r="M18" i="67"/>
  <c r="F52" i="9"/>
  <c r="F27" i="68"/>
  <c r="C29" i="68" s="1"/>
  <c r="D27" i="68" s="1"/>
  <c r="C36" i="69"/>
  <c r="G16" i="1"/>
  <c r="B113" i="43"/>
  <c r="F101" i="43"/>
  <c r="E22" i="43"/>
  <c r="C101" i="43"/>
  <c r="N104" i="46"/>
  <c r="L101" i="43"/>
  <c r="D101" i="43"/>
  <c r="I101" i="43"/>
  <c r="G2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M104" i="43" s="1"/>
  <c r="E101" i="43"/>
  <c r="S2" i="43"/>
  <c r="AJ11" i="43"/>
  <c r="AJ13" i="43" s="1"/>
  <c r="AF11" i="43"/>
  <c r="AF13" i="43" s="1"/>
  <c r="AB11" i="43"/>
  <c r="AB13" i="43" s="1"/>
  <c r="Z7" i="43"/>
  <c r="AI11" i="43"/>
  <c r="AI13" i="43" s="1"/>
  <c r="AE11" i="43"/>
  <c r="AE13" i="43" s="1"/>
  <c r="AA11" i="43"/>
  <c r="AA13" i="43" s="1"/>
  <c r="C23" i="43"/>
  <c r="C21" i="43" s="1"/>
  <c r="S3" i="43"/>
  <c r="J22" i="43"/>
  <c r="E57" i="40"/>
  <c r="E62" i="39"/>
  <c r="E534" i="3"/>
  <c r="E532" i="3"/>
  <c r="E493" i="3"/>
  <c r="K6" i="3"/>
  <c r="E525" i="3"/>
  <c r="E519" i="3"/>
  <c r="E393" i="3"/>
  <c r="E330" i="3"/>
  <c r="E369" i="3"/>
  <c r="E313" i="3"/>
  <c r="E105" i="3"/>
  <c r="E133" i="3"/>
  <c r="E173" i="3"/>
  <c r="E193" i="3"/>
  <c r="E116" i="3"/>
  <c r="E177" i="3"/>
  <c r="E197" i="3"/>
  <c r="E224" i="3"/>
  <c r="E238" i="3"/>
  <c r="E277" i="3"/>
  <c r="E223" i="3"/>
  <c r="E45" i="3"/>
  <c r="E85" i="3"/>
  <c r="E120" i="3"/>
  <c r="E140" i="3"/>
  <c r="E109" i="43"/>
  <c r="H105" i="43"/>
  <c r="H106" i="43"/>
  <c r="M105" i="43"/>
  <c r="E105" i="43"/>
  <c r="E107" i="43"/>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02" i="3"/>
  <c r="E578" i="3"/>
  <c r="E586" i="3"/>
  <c r="AI6" i="3"/>
  <c r="AN6" i="3"/>
  <c r="E518" i="3"/>
  <c r="E495" i="3"/>
  <c r="E385" i="3"/>
  <c r="E353" i="3"/>
  <c r="E151" i="3"/>
  <c r="E201" i="3"/>
  <c r="E247" i="3"/>
  <c r="E431" i="3"/>
  <c r="E579" i="3"/>
  <c r="E509" i="3"/>
  <c r="D9" i="68"/>
  <c r="C9" i="68" s="1"/>
  <c r="D9" i="69"/>
  <c r="C9" i="69" s="1"/>
  <c r="E56" i="40"/>
  <c r="C36" i="11"/>
  <c r="M18" i="9"/>
  <c r="B118" i="9" s="1"/>
  <c r="B14" i="74" s="1"/>
  <c r="B1" i="74" s="1"/>
  <c r="D3" i="3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F27" i="6"/>
  <c r="E51" i="40"/>
  <c r="E56" i="39"/>
  <c r="E16" i="6"/>
  <c r="F10" i="39"/>
  <c r="AA10" i="39" s="1"/>
  <c r="J10" i="40"/>
  <c r="W10" i="40" s="1"/>
  <c r="F27" i="11"/>
  <c r="F28" i="12"/>
  <c r="C29" i="12" s="1"/>
  <c r="D28" i="12" s="1"/>
  <c r="H16" i="1"/>
  <c r="M7" i="1"/>
  <c r="O7" i="1" s="1"/>
  <c r="P7" i="1" s="1"/>
  <c r="T8" i="1"/>
  <c r="E59" i="40"/>
  <c r="P6" i="1"/>
  <c r="O9" i="1"/>
  <c r="P9" i="1" s="1"/>
  <c r="O8" i="1"/>
  <c r="O14" i="1"/>
  <c r="P14" i="1" s="1"/>
  <c r="A15" i="62"/>
  <c r="B61" i="72" s="1"/>
  <c r="J10" i="39"/>
  <c r="F10" i="40"/>
  <c r="D10" i="52"/>
  <c r="D125" i="9"/>
  <c r="D11" i="52" s="1"/>
  <c r="H14" i="74"/>
  <c r="B7" i="74" s="1"/>
  <c r="D17" i="53"/>
  <c r="B36" i="72" s="1"/>
  <c r="L59" i="34"/>
  <c r="M59" i="34" s="1"/>
  <c r="N59" i="34" s="1"/>
  <c r="O59" i="34" s="1"/>
  <c r="S10" i="39"/>
  <c r="AC7" i="33"/>
  <c r="J7" i="34"/>
  <c r="F48" i="35"/>
  <c r="C70" i="39"/>
  <c r="D68" i="39"/>
  <c r="H10" i="40"/>
  <c r="H10" i="39"/>
  <c r="H7" i="34"/>
  <c r="G52" i="37"/>
  <c r="E46" i="36"/>
  <c r="D58" i="21"/>
  <c r="C94" i="9"/>
  <c r="C92" i="9"/>
  <c r="C20" i="43"/>
  <c r="F7" i="71"/>
  <c r="F6" i="71" s="1"/>
  <c r="F5" i="71" s="1"/>
  <c r="Y6" i="71"/>
  <c r="Z6" i="71" s="1"/>
  <c r="B7" i="49"/>
  <c r="E4" i="4" s="1"/>
  <c r="B5" i="62" s="1"/>
  <c r="B73" i="72" s="1"/>
  <c r="E7" i="49"/>
  <c r="B15" i="49"/>
  <c r="AB3" i="71"/>
  <c r="X3" i="71"/>
  <c r="E7" i="71"/>
  <c r="E6" i="71" s="1"/>
  <c r="E10" i="49"/>
  <c r="B6" i="49"/>
  <c r="E14" i="49"/>
  <c r="AF3" i="71"/>
  <c r="P24" i="43" s="1"/>
  <c r="B66" i="40" s="1"/>
  <c r="P22" i="43"/>
  <c r="C23" i="12"/>
  <c r="C29" i="69"/>
  <c r="D27" i="69" s="1"/>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C16" i="15"/>
  <c r="C16" i="67"/>
  <c r="D120" i="9" l="1"/>
  <c r="D8" i="53"/>
  <c r="U32" i="33"/>
  <c r="S32" i="33"/>
  <c r="S31" i="33"/>
  <c r="AA31" i="33"/>
  <c r="C9" i="71"/>
  <c r="T10" i="71"/>
  <c r="D10" i="71"/>
  <c r="U10" i="71" s="1"/>
  <c r="B52" i="71"/>
  <c r="N53" i="71"/>
  <c r="AZ550" i="3"/>
  <c r="AZ5" i="3" s="1"/>
  <c r="BL5" i="3"/>
  <c r="AB33" i="40"/>
  <c r="U33" i="40"/>
  <c r="AA27" i="37"/>
  <c r="S27" i="37"/>
  <c r="AC27" i="37"/>
  <c r="W27" i="37"/>
  <c r="W23" i="35"/>
  <c r="AC23" i="35"/>
  <c r="AB28" i="35"/>
  <c r="U28" i="35"/>
  <c r="AB14" i="35"/>
  <c r="U14" i="35"/>
  <c r="AB9" i="34"/>
  <c r="U9" i="34"/>
  <c r="AB42" i="33"/>
  <c r="U42" i="33"/>
  <c r="E60" i="40"/>
  <c r="E65" i="39"/>
  <c r="BA5" i="3"/>
  <c r="AB9" i="37"/>
  <c r="U9" i="37"/>
  <c r="U24" i="36"/>
  <c r="AB24" i="36"/>
  <c r="S12" i="36"/>
  <c r="AA12" i="36"/>
  <c r="W12" i="36"/>
  <c r="AC12" i="36"/>
  <c r="AA35" i="35"/>
  <c r="S35" i="35"/>
  <c r="AB25" i="35"/>
  <c r="U25" i="35"/>
  <c r="W25" i="35"/>
  <c r="AC25" i="35"/>
  <c r="AC13" i="35"/>
  <c r="W13" i="35"/>
  <c r="W47" i="34"/>
  <c r="AC47" i="34"/>
  <c r="U47" i="34"/>
  <c r="AB47" i="34"/>
  <c r="W45" i="34"/>
  <c r="AC45" i="34"/>
  <c r="S31" i="34"/>
  <c r="AA31" i="34"/>
  <c r="AC31" i="34"/>
  <c r="W31" i="34"/>
  <c r="S29" i="34"/>
  <c r="AA29" i="34"/>
  <c r="U30" i="33"/>
  <c r="AB30" i="33"/>
  <c r="U10" i="35"/>
  <c r="AB10" i="35"/>
  <c r="AB26" i="33"/>
  <c r="U26" i="33"/>
  <c r="AZ586" i="3"/>
  <c r="W28" i="34"/>
  <c r="AC28" i="34"/>
  <c r="E5" i="71"/>
  <c r="V6" i="71"/>
  <c r="P21" i="43"/>
  <c r="F7" i="34"/>
  <c r="AA7" i="34" s="1"/>
  <c r="R49" i="34" s="1"/>
  <c r="B9" i="71"/>
  <c r="B8" i="71" s="1"/>
  <c r="B7" i="71" s="1"/>
  <c r="B6" i="71" s="1"/>
  <c r="S10" i="71"/>
  <c r="T26" i="71"/>
  <c r="D26" i="71"/>
  <c r="C12" i="71"/>
  <c r="D12" i="71" s="1"/>
  <c r="D13" i="71"/>
  <c r="AA39" i="37"/>
  <c r="S39" i="37"/>
  <c r="AA33" i="40"/>
  <c r="S33" i="40"/>
  <c r="AA14" i="37"/>
  <c r="S14" i="37"/>
  <c r="W14" i="37"/>
  <c r="AC14" i="37"/>
  <c r="AA23" i="35"/>
  <c r="S23" i="35"/>
  <c r="AB23" i="35"/>
  <c r="U23" i="35"/>
  <c r="F64" i="35"/>
  <c r="G64" i="35" s="1"/>
  <c r="J14" i="35"/>
  <c r="F14" i="35"/>
  <c r="AC9" i="34"/>
  <c r="W9" i="34"/>
  <c r="F30" i="6"/>
  <c r="F31" i="6" s="1"/>
  <c r="E28" i="6"/>
  <c r="E58" i="40"/>
  <c r="E63" i="39"/>
  <c r="E66" i="39" s="1"/>
  <c r="AA9" i="37"/>
  <c r="S9" i="37"/>
  <c r="AC9" i="37"/>
  <c r="W9" i="37"/>
  <c r="AC24" i="36"/>
  <c r="W24" i="36"/>
  <c r="AB12" i="36"/>
  <c r="U12" i="36"/>
  <c r="U35" i="35"/>
  <c r="AB35" i="35"/>
  <c r="AC35" i="35"/>
  <c r="W35" i="35"/>
  <c r="S25" i="35"/>
  <c r="AA25" i="35"/>
  <c r="AB13" i="35"/>
  <c r="U13" i="35"/>
  <c r="S13" i="35"/>
  <c r="AA13" i="35"/>
  <c r="AA47" i="34"/>
  <c r="S47" i="34"/>
  <c r="S45" i="34"/>
  <c r="AA45" i="34"/>
  <c r="U45" i="34"/>
  <c r="AB45" i="34"/>
  <c r="U31" i="34"/>
  <c r="AB31" i="34"/>
  <c r="AB29" i="34"/>
  <c r="U29" i="34"/>
  <c r="AA30" i="33"/>
  <c r="S30" i="33"/>
  <c r="S10" i="35"/>
  <c r="AA10" i="35"/>
  <c r="W26" i="33"/>
  <c r="AC26" i="33"/>
  <c r="D65" i="40"/>
  <c r="E63" i="40"/>
  <c r="C47" i="68"/>
  <c r="D45" i="68" s="1"/>
  <c r="S29" i="35"/>
  <c r="AA29" i="35"/>
  <c r="G87" i="35"/>
  <c r="H87" i="35" s="1"/>
  <c r="I87" i="35" s="1"/>
  <c r="J87" i="35" s="1"/>
  <c r="K87" i="35" s="1"/>
  <c r="L87" i="35" s="1"/>
  <c r="M87" i="35" s="1"/>
  <c r="J29" i="35"/>
  <c r="H29" i="35"/>
  <c r="AC26" i="35"/>
  <c r="W26" i="35"/>
  <c r="AB26" i="35"/>
  <c r="U26" i="35"/>
  <c r="AA26" i="35"/>
  <c r="S26" i="35"/>
  <c r="D5" i="43"/>
  <c r="F1" i="67"/>
  <c r="F1" i="15"/>
  <c r="C30" i="68"/>
  <c r="C48" i="68"/>
  <c r="C48" i="69"/>
  <c r="C30" i="69"/>
  <c r="AC10" i="40"/>
  <c r="M109" i="43"/>
  <c r="M102" i="43"/>
  <c r="M103" i="43"/>
  <c r="M106" i="43"/>
  <c r="H6" i="3"/>
  <c r="AC6" i="3"/>
  <c r="M107" i="43"/>
  <c r="E104" i="43"/>
  <c r="E106" i="43"/>
  <c r="E102" i="43"/>
  <c r="E103" i="43"/>
  <c r="H107" i="43"/>
  <c r="H103" i="43"/>
  <c r="H102" i="43"/>
  <c r="H104" i="43"/>
  <c r="H109" i="43"/>
  <c r="J104" i="43"/>
  <c r="J105" i="43"/>
  <c r="J107" i="43"/>
  <c r="J102" i="43"/>
  <c r="J106" i="43"/>
  <c r="J109" i="43"/>
  <c r="J103" i="43"/>
  <c r="N102" i="43"/>
  <c r="N105" i="43"/>
  <c r="N107" i="43"/>
  <c r="N109" i="43"/>
  <c r="N103" i="43"/>
  <c r="N106" i="43"/>
  <c r="N104" i="43"/>
  <c r="I109" i="43"/>
  <c r="I102" i="43"/>
  <c r="I106" i="43"/>
  <c r="I103" i="43"/>
  <c r="I104" i="43"/>
  <c r="I107" i="43"/>
  <c r="I105" i="43"/>
  <c r="L109" i="43"/>
  <c r="L102" i="43"/>
  <c r="L105" i="43"/>
  <c r="L104" i="43"/>
  <c r="L106" i="43"/>
  <c r="L107" i="43"/>
  <c r="L103" i="43"/>
  <c r="C104" i="43"/>
  <c r="C107" i="43"/>
  <c r="C103" i="43"/>
  <c r="C102" i="43"/>
  <c r="C106" i="43"/>
  <c r="C105" i="43"/>
  <c r="C109" i="43"/>
  <c r="F104" i="43"/>
  <c r="F102" i="43"/>
  <c r="F103" i="43"/>
  <c r="F109" i="43"/>
  <c r="F107" i="43"/>
  <c r="F106" i="43"/>
  <c r="F105" i="43"/>
  <c r="G105" i="43"/>
  <c r="G102" i="43"/>
  <c r="G107" i="43"/>
  <c r="G104" i="43"/>
  <c r="G103" i="43"/>
  <c r="G106" i="43"/>
  <c r="G109" i="43"/>
  <c r="K103" i="43"/>
  <c r="K102" i="43"/>
  <c r="K106" i="43"/>
  <c r="K109" i="43"/>
  <c r="K107" i="43"/>
  <c r="K104" i="43"/>
  <c r="K105" i="43"/>
  <c r="D22" i="43"/>
  <c r="D109" i="43"/>
  <c r="D103" i="43"/>
  <c r="D104" i="43"/>
  <c r="D107" i="43"/>
  <c r="D105" i="43"/>
  <c r="D106" i="43"/>
  <c r="D102"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27" i="6"/>
  <c r="O16" i="1"/>
  <c r="C47" i="11"/>
  <c r="D45" i="11" s="1"/>
  <c r="C29" i="11"/>
  <c r="D27" i="11" s="1"/>
  <c r="P8" i="1"/>
  <c r="P16" i="1"/>
  <c r="C11" i="12" s="1"/>
  <c r="AA10" i="40"/>
  <c r="S10" i="40"/>
  <c r="AC10" i="39"/>
  <c r="W10" i="39"/>
  <c r="C7" i="74"/>
  <c r="B4" i="62"/>
  <c r="B71" i="72" s="1"/>
  <c r="K4" i="4"/>
  <c r="B46" i="48" s="1"/>
  <c r="B4" i="72" s="1"/>
  <c r="E58" i="21"/>
  <c r="F58" i="21" s="1"/>
  <c r="G58" i="21" s="1"/>
  <c r="H58" i="21" s="1"/>
  <c r="I58" i="21" s="1"/>
  <c r="J58" i="21" s="1"/>
  <c r="K58" i="21" s="1"/>
  <c r="L58" i="21" s="1"/>
  <c r="M58" i="21" s="1"/>
  <c r="N58" i="21" s="1"/>
  <c r="O58" i="21" s="1"/>
  <c r="H7" i="21"/>
  <c r="F46" i="36"/>
  <c r="G46" i="36" s="1"/>
  <c r="H46" i="36" s="1"/>
  <c r="I46" i="36" s="1"/>
  <c r="J46" i="36" s="1"/>
  <c r="K46" i="36" s="1"/>
  <c r="L46" i="36" s="1"/>
  <c r="M46" i="36" s="1"/>
  <c r="N46" i="36" s="1"/>
  <c r="O46" i="36" s="1"/>
  <c r="J7" i="36"/>
  <c r="F7" i="36"/>
  <c r="U7" i="34"/>
  <c r="AB7" i="34"/>
  <c r="T49" i="34" s="1"/>
  <c r="G49" i="34" s="1"/>
  <c r="AB10" i="40"/>
  <c r="U10" i="40"/>
  <c r="W7" i="34"/>
  <c r="AC7" i="34"/>
  <c r="V49" i="34" s="1"/>
  <c r="I49" i="34" s="1"/>
  <c r="S7" i="34"/>
  <c r="F7" i="21"/>
  <c r="H7" i="36"/>
  <c r="H52" i="37"/>
  <c r="AB10" i="39"/>
  <c r="U10" i="39"/>
  <c r="D70" i="39"/>
  <c r="E68" i="39"/>
  <c r="G48" i="35"/>
  <c r="P23" i="43"/>
  <c r="B71" i="39" s="1"/>
  <c r="P25" i="43"/>
  <c r="C49" i="67"/>
  <c r="C49" i="15"/>
  <c r="M11" i="15"/>
  <c r="J10" i="15" s="1"/>
  <c r="J5" i="15" s="1"/>
  <c r="F11" i="67"/>
  <c r="F11" i="15"/>
  <c r="M11" i="67"/>
  <c r="J10" i="67" s="1"/>
  <c r="J5" i="67" s="1"/>
  <c r="Q73" i="67"/>
  <c r="Q60" i="67"/>
  <c r="Q60" i="15"/>
  <c r="Q73" i="15"/>
  <c r="Q74" i="15"/>
  <c r="Q61" i="15"/>
  <c r="Q61" i="67"/>
  <c r="Q74" i="67"/>
  <c r="D7" i="73"/>
  <c r="D5" i="73"/>
  <c r="D3" i="73"/>
  <c r="D6" i="73"/>
  <c r="AE6" i="1"/>
  <c r="D4" i="73"/>
  <c r="AE7" i="1"/>
  <c r="D9" i="53" l="1"/>
  <c r="B25" i="72" s="1"/>
  <c r="B24" i="72"/>
  <c r="D6" i="52"/>
  <c r="D121" i="9"/>
  <c r="D7" i="52" s="1"/>
  <c r="K120" i="9"/>
  <c r="A18" i="62" s="1"/>
  <c r="B64" i="72" s="1"/>
  <c r="E20" i="43"/>
  <c r="E3" i="6"/>
  <c r="AY6" i="3"/>
  <c r="W14" i="35"/>
  <c r="AC14" i="35"/>
  <c r="B5" i="71"/>
  <c r="S6" i="71"/>
  <c r="N51" i="71"/>
  <c r="N52" i="71"/>
  <c r="J7" i="21"/>
  <c r="F63" i="40"/>
  <c r="E65" i="40"/>
  <c r="E30" i="6"/>
  <c r="K14" i="1"/>
  <c r="AA14" i="35"/>
  <c r="S14" i="35"/>
  <c r="C8" i="71"/>
  <c r="D9" i="71"/>
  <c r="W29" i="35"/>
  <c r="AC29" i="35"/>
  <c r="AB29" i="35"/>
  <c r="U29" i="35"/>
  <c r="C115" i="43"/>
  <c r="D113" i="43" s="1"/>
  <c r="E6" i="3"/>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4" i="6"/>
  <c r="M24" i="6" s="1"/>
  <c r="I24" i="6" s="1"/>
  <c r="S24" i="6" s="1"/>
  <c r="K20" i="6"/>
  <c r="C15" i="12"/>
  <c r="C12" i="12"/>
  <c r="H48" i="35"/>
  <c r="S7" i="21"/>
  <c r="AA7" i="21"/>
  <c r="R48" i="21" s="1"/>
  <c r="G53" i="34"/>
  <c r="H53" i="34" s="1"/>
  <c r="G54" i="34"/>
  <c r="H54" i="34" s="1"/>
  <c r="S7" i="36"/>
  <c r="AA7" i="36"/>
  <c r="R36" i="36" s="1"/>
  <c r="AC7" i="21"/>
  <c r="V48" i="21" s="1"/>
  <c r="I48" i="21" s="1"/>
  <c r="W7" i="21"/>
  <c r="F68" i="39"/>
  <c r="E70" i="39"/>
  <c r="I52" i="37"/>
  <c r="J52" i="37" s="1"/>
  <c r="K52" i="37" s="1"/>
  <c r="L52" i="37" s="1"/>
  <c r="M52" i="37" s="1"/>
  <c r="N52" i="37" s="1"/>
  <c r="O52" i="37" s="1"/>
  <c r="H7" i="37"/>
  <c r="U7" i="36"/>
  <c r="AB7" i="36"/>
  <c r="T36" i="36" s="1"/>
  <c r="G36" i="36" s="1"/>
  <c r="E49" i="34"/>
  <c r="R50" i="34"/>
  <c r="I53" i="34"/>
  <c r="J53" i="34" s="1"/>
  <c r="AC7" i="36"/>
  <c r="V36" i="36" s="1"/>
  <c r="I36" i="36" s="1"/>
  <c r="W7" i="36"/>
  <c r="AB7" i="21"/>
  <c r="T48" i="21" s="1"/>
  <c r="G48" i="21" s="1"/>
  <c r="U7" i="21"/>
  <c r="J24" i="67"/>
  <c r="J26" i="67"/>
  <c r="J18" i="67"/>
  <c r="C53" i="67"/>
  <c r="C48" i="67" s="1"/>
  <c r="C10" i="67"/>
  <c r="C5" i="67" s="1"/>
  <c r="J24" i="15"/>
  <c r="J18" i="15"/>
  <c r="J26" i="15"/>
  <c r="C53" i="15"/>
  <c r="C48" i="15" s="1"/>
  <c r="C10" i="15"/>
  <c r="C5" i="15" s="1"/>
  <c r="G1" i="73"/>
  <c r="F41" i="67"/>
  <c r="F41" i="15"/>
  <c r="C17" i="15"/>
  <c r="B40" i="1" l="1"/>
  <c r="F25" i="12" s="1"/>
  <c r="C26" i="12" s="1"/>
  <c r="D25" i="12" s="1"/>
  <c r="E6" i="70"/>
  <c r="D8" i="71"/>
  <c r="C7" i="71"/>
  <c r="F65" i="40"/>
  <c r="G63"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264" i="3"/>
  <c r="AY376"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44"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280" i="3"/>
  <c r="AY221" i="3"/>
  <c r="AY331"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P28" i="43"/>
  <c r="N28" i="43"/>
  <c r="M28" i="43"/>
  <c r="O28" i="43"/>
  <c r="J7" i="37"/>
  <c r="AC7" i="37" s="1"/>
  <c r="V42" i="37" s="1"/>
  <c r="I42" i="37" s="1"/>
  <c r="M14" i="1"/>
  <c r="M16" i="1" s="1"/>
  <c r="C34" i="69"/>
  <c r="K16" i="1"/>
  <c r="M18" i="85"/>
  <c r="B118" i="85" s="1"/>
  <c r="L18" i="85"/>
  <c r="D3" i="34"/>
  <c r="C17" i="4"/>
  <c r="B4" i="52" s="1"/>
  <c r="B43" i="72" s="1"/>
  <c r="D37" i="11"/>
  <c r="C37" i="11" s="1"/>
  <c r="E6" i="6"/>
  <c r="D3" i="21"/>
  <c r="D3" i="37"/>
  <c r="D14" i="12"/>
  <c r="D19" i="11"/>
  <c r="C19" i="11" s="1"/>
  <c r="C20" i="11" s="1"/>
  <c r="C28" i="11" s="1"/>
  <c r="C27" i="11" s="1"/>
  <c r="F69" i="67"/>
  <c r="F69" i="15"/>
  <c r="J29" i="67"/>
  <c r="J29" i="15"/>
  <c r="H23" i="6"/>
  <c r="M20" i="6"/>
  <c r="I20" i="6" s="1"/>
  <c r="S7" i="1"/>
  <c r="AQ6" i="1"/>
  <c r="T6" i="1"/>
  <c r="AR6" i="1"/>
  <c r="S16" i="1"/>
  <c r="H20" i="6"/>
  <c r="K27" i="6"/>
  <c r="M19" i="6"/>
  <c r="E54" i="34"/>
  <c r="F54" i="34" s="1"/>
  <c r="E53" i="34"/>
  <c r="F53" i="34" s="1"/>
  <c r="W7" i="37"/>
  <c r="R37" i="36"/>
  <c r="E36" i="36"/>
  <c r="F7" i="37"/>
  <c r="G52" i="21"/>
  <c r="H52" i="21" s="1"/>
  <c r="G53" i="21"/>
  <c r="H53" i="21" s="1"/>
  <c r="I40" i="36"/>
  <c r="J40" i="36" s="1"/>
  <c r="I54" i="34"/>
  <c r="J54" i="34" s="1"/>
  <c r="C49" i="34"/>
  <c r="C50" i="34"/>
  <c r="B2" i="34" s="1"/>
  <c r="B3" i="34" s="1"/>
  <c r="G40" i="36"/>
  <c r="H40" i="36" s="1"/>
  <c r="G41" i="36"/>
  <c r="H41" i="36" s="1"/>
  <c r="AB7" i="37"/>
  <c r="T42" i="37" s="1"/>
  <c r="G42" i="37" s="1"/>
  <c r="U7" i="37"/>
  <c r="G68" i="39"/>
  <c r="F70" i="39"/>
  <c r="I52" i="21"/>
  <c r="J52" i="21" s="1"/>
  <c r="R49" i="21"/>
  <c r="E48" i="21"/>
  <c r="I48" i="35"/>
  <c r="C38" i="15"/>
  <c r="C32" i="15"/>
  <c r="C66" i="15"/>
  <c r="C60" i="15"/>
  <c r="C60" i="67"/>
  <c r="C66" i="67"/>
  <c r="C38" i="67"/>
  <c r="C32" i="67"/>
  <c r="C14" i="67"/>
  <c r="C14" i="15"/>
  <c r="C17" i="67"/>
  <c r="F24" i="15" l="1"/>
  <c r="C24" i="15" s="1"/>
  <c r="F22" i="69"/>
  <c r="C44" i="69" s="1"/>
  <c r="D41" i="69" s="1"/>
  <c r="F22" i="11"/>
  <c r="F22" i="68"/>
  <c r="F24" i="67"/>
  <c r="C24" i="67" s="1"/>
  <c r="C25" i="11"/>
  <c r="C26" i="69"/>
  <c r="D22" i="69" s="1"/>
  <c r="C26" i="11"/>
  <c r="D22" i="11" s="1"/>
  <c r="C24" i="11"/>
  <c r="C18" i="15"/>
  <c r="C15" i="15"/>
  <c r="C18" i="67"/>
  <c r="C15" i="67"/>
  <c r="S20" i="6"/>
  <c r="L18" i="80"/>
  <c r="D17" i="12"/>
  <c r="C17" i="12" s="1"/>
  <c r="C14" i="12"/>
  <c r="C16" i="12" s="1"/>
  <c r="C38" i="69"/>
  <c r="C35" i="69"/>
  <c r="E7" i="70"/>
  <c r="D20" i="12"/>
  <c r="C20" i="12" s="1"/>
  <c r="C18" i="12" s="1"/>
  <c r="D10" i="68"/>
  <c r="D10" i="69"/>
  <c r="D10" i="11"/>
  <c r="C10" i="11" s="1"/>
  <c r="C34" i="68"/>
  <c r="N16" i="1"/>
  <c r="L16" i="1"/>
  <c r="C34" i="11"/>
  <c r="M19" i="85"/>
  <c r="C118" i="85" s="1"/>
  <c r="L19" i="85"/>
  <c r="D25" i="6"/>
  <c r="R25" i="6" s="1"/>
  <c r="D22" i="6"/>
  <c r="D24" i="6"/>
  <c r="D9" i="6"/>
  <c r="D26" i="6"/>
  <c r="D8" i="6"/>
  <c r="D20" i="6"/>
  <c r="D12" i="6"/>
  <c r="D13" i="6"/>
  <c r="E61" i="40"/>
  <c r="H24" i="6"/>
  <c r="R24" i="6" s="1"/>
  <c r="H25" i="6"/>
  <c r="H26" i="6"/>
  <c r="D15" i="6"/>
  <c r="D21" i="6"/>
  <c r="D6" i="6"/>
  <c r="D10" i="6"/>
  <c r="D29" i="6"/>
  <c r="D19" i="6"/>
  <c r="C18" i="4"/>
  <c r="D23" i="6"/>
  <c r="R23" i="6" s="1"/>
  <c r="D5" i="6"/>
  <c r="D11" i="6"/>
  <c r="D28" i="6"/>
  <c r="D30" i="6" s="1"/>
  <c r="H21" i="6"/>
  <c r="D14" i="6"/>
  <c r="H22" i="6"/>
  <c r="R22" i="6" s="1"/>
  <c r="G65" i="40"/>
  <c r="H63" i="40"/>
  <c r="C6" i="71"/>
  <c r="D7" i="71"/>
  <c r="E2" i="70"/>
  <c r="AQ7" i="1"/>
  <c r="T7" i="1"/>
  <c r="T16" i="1" s="1"/>
  <c r="AR7" i="1"/>
  <c r="I19" i="6"/>
  <c r="L18" i="9" s="1"/>
  <c r="M27" i="6"/>
  <c r="E52" i="21"/>
  <c r="F52" i="21" s="1"/>
  <c r="E53" i="21"/>
  <c r="F53" i="21" s="1"/>
  <c r="H68" i="39"/>
  <c r="G70" i="39"/>
  <c r="G46" i="37"/>
  <c r="H46" i="37" s="1"/>
  <c r="G47" i="37"/>
  <c r="H47" i="37" s="1"/>
  <c r="AA7" i="37"/>
  <c r="R42" i="37" s="1"/>
  <c r="S7" i="37"/>
  <c r="E40" i="36"/>
  <c r="F40" i="36" s="1"/>
  <c r="E41" i="36"/>
  <c r="F41" i="36" s="1"/>
  <c r="I46" i="37"/>
  <c r="J46" i="37" s="1"/>
  <c r="J48" i="35"/>
  <c r="C48" i="21"/>
  <c r="C49" i="21"/>
  <c r="B2" i="21" s="1"/>
  <c r="B3" i="21" s="1"/>
  <c r="I53" i="21"/>
  <c r="J53" i="21" s="1"/>
  <c r="I41" i="36"/>
  <c r="J41" i="36" s="1"/>
  <c r="C37" i="36"/>
  <c r="B2" i="36" s="1"/>
  <c r="B3" i="36" s="1"/>
  <c r="C36" i="36"/>
  <c r="C33" i="15"/>
  <c r="J59" i="15"/>
  <c r="J60" i="15" s="1"/>
  <c r="C33" i="67"/>
  <c r="J59" i="67"/>
  <c r="J60" i="67" s="1"/>
  <c r="C23" i="11" l="1"/>
  <c r="C44" i="11"/>
  <c r="D41" i="11" s="1"/>
  <c r="C44" i="68"/>
  <c r="D41" i="68" s="1"/>
  <c r="C26" i="68"/>
  <c r="D22" i="68" s="1"/>
  <c r="C23" i="68"/>
  <c r="C22" i="11"/>
  <c r="C31" i="11" s="1"/>
  <c r="C19" i="67"/>
  <c r="C19" i="15"/>
  <c r="C20" i="15" s="1"/>
  <c r="C26" i="15" s="1"/>
  <c r="H65" i="40"/>
  <c r="I63" i="40"/>
  <c r="M19" i="9"/>
  <c r="C118" i="9" s="1"/>
  <c r="C14" i="74" s="1"/>
  <c r="D27" i="6"/>
  <c r="R21" i="6"/>
  <c r="L19" i="80"/>
  <c r="M19" i="80"/>
  <c r="C118" i="80" s="1"/>
  <c r="C15" i="74" s="1"/>
  <c r="R26" i="6"/>
  <c r="C35" i="68"/>
  <c r="C38" i="68"/>
  <c r="D19" i="69"/>
  <c r="C10" i="69"/>
  <c r="C8" i="69" s="1"/>
  <c r="C5" i="69" s="1"/>
  <c r="C21" i="12"/>
  <c r="R20" i="6"/>
  <c r="R7" i="1" s="1"/>
  <c r="C20" i="67"/>
  <c r="C26" i="67" s="1"/>
  <c r="C5" i="71"/>
  <c r="D5" i="71" s="1"/>
  <c r="T6" i="71"/>
  <c r="D6" i="71"/>
  <c r="D31" i="6"/>
  <c r="C4" i="52"/>
  <c r="B45" i="72" s="1"/>
  <c r="A7" i="51"/>
  <c r="B7" i="72" s="1"/>
  <c r="A10" i="51"/>
  <c r="B9" i="72" s="1"/>
  <c r="D16" i="6"/>
  <c r="C38" i="11"/>
  <c r="C35" i="11"/>
  <c r="C33" i="11" s="1"/>
  <c r="F50" i="68"/>
  <c r="F50" i="11"/>
  <c r="F50" i="69"/>
  <c r="D19" i="68"/>
  <c r="C10" i="68"/>
  <c r="S19" i="6"/>
  <c r="S27" i="6" s="1"/>
  <c r="I27" i="6"/>
  <c r="H19" i="6"/>
  <c r="L19" i="9" s="1"/>
  <c r="K48" i="35"/>
  <c r="R43" i="37"/>
  <c r="E42" i="37"/>
  <c r="I68" i="39"/>
  <c r="H70" i="39"/>
  <c r="Q48" i="67"/>
  <c r="Q48" i="15"/>
  <c r="F35" i="67"/>
  <c r="M21" i="67"/>
  <c r="C23" i="15" l="1"/>
  <c r="C29" i="15" s="1"/>
  <c r="Q49" i="15" s="1"/>
  <c r="J20" i="67"/>
  <c r="F63" i="67"/>
  <c r="C62" i="67" s="1"/>
  <c r="C34" i="67"/>
  <c r="C31" i="67" s="1"/>
  <c r="C19" i="68"/>
  <c r="D37" i="68"/>
  <c r="C37" i="68" s="1"/>
  <c r="C33" i="68" s="1"/>
  <c r="C39" i="11"/>
  <c r="C43" i="11" s="1"/>
  <c r="C42" i="11"/>
  <c r="M20" i="43"/>
  <c r="C19" i="43" s="1"/>
  <c r="U6" i="71"/>
  <c r="C22" i="12"/>
  <c r="C30" i="12" s="1"/>
  <c r="C28" i="12" s="1"/>
  <c r="C19" i="69"/>
  <c r="C24" i="69" s="1"/>
  <c r="D37" i="69"/>
  <c r="C37" i="69" s="1"/>
  <c r="C33" i="69" s="1"/>
  <c r="B2" i="74"/>
  <c r="D7" i="74" s="1"/>
  <c r="I65" i="40"/>
  <c r="J63" i="40"/>
  <c r="C36" i="15"/>
  <c r="I5" i="6"/>
  <c r="I6" i="6"/>
  <c r="C11" i="33" s="1"/>
  <c r="C23" i="67"/>
  <c r="C29" i="67" s="1"/>
  <c r="F35" i="85" s="1"/>
  <c r="C23" i="69"/>
  <c r="H27" i="6"/>
  <c r="R19" i="6"/>
  <c r="E47" i="37"/>
  <c r="F47" i="37" s="1"/>
  <c r="E46" i="37"/>
  <c r="F46" i="37" s="1"/>
  <c r="I47" i="37"/>
  <c r="J47" i="37" s="1"/>
  <c r="J68" i="39"/>
  <c r="I70" i="39"/>
  <c r="C43" i="37"/>
  <c r="B2" i="37" s="1"/>
  <c r="B3" i="37" s="1"/>
  <c r="C42" i="37"/>
  <c r="L48" i="35"/>
  <c r="C13" i="15" l="1"/>
  <c r="C75" i="15" s="1"/>
  <c r="J19" i="15"/>
  <c r="C20" i="69"/>
  <c r="C28" i="69" s="1"/>
  <c r="C27" i="69" s="1"/>
  <c r="C57" i="15"/>
  <c r="C61" i="15" s="1"/>
  <c r="J14" i="15"/>
  <c r="J13" i="15" s="1"/>
  <c r="J23" i="15" s="1"/>
  <c r="C27" i="12"/>
  <c r="C25" i="12" s="1"/>
  <c r="C32" i="12" s="1"/>
  <c r="B2" i="12" s="1"/>
  <c r="B3" i="12" s="1"/>
  <c r="C41" i="11"/>
  <c r="C35" i="85"/>
  <c r="C57" i="67"/>
  <c r="J19" i="67"/>
  <c r="J17" i="67" s="1"/>
  <c r="C36" i="67"/>
  <c r="F35" i="80"/>
  <c r="J14" i="67"/>
  <c r="C13" i="67"/>
  <c r="Q49" i="67"/>
  <c r="C64" i="15"/>
  <c r="J22" i="15"/>
  <c r="C39" i="69"/>
  <c r="C42" i="69"/>
  <c r="C20" i="68"/>
  <c r="C24" i="68"/>
  <c r="J11" i="33"/>
  <c r="F11" i="33"/>
  <c r="H11" i="33"/>
  <c r="C56" i="15"/>
  <c r="C65" i="15" s="1"/>
  <c r="J65" i="40"/>
  <c r="K63" i="40"/>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46" i="11"/>
  <c r="C45" i="11" s="1"/>
  <c r="C39" i="68"/>
  <c r="C43" i="68" s="1"/>
  <c r="C42" i="68"/>
  <c r="R27" i="6"/>
  <c r="R6" i="1"/>
  <c r="M48" i="35"/>
  <c r="K68" i="39"/>
  <c r="J70" i="39"/>
  <c r="L57" i="67"/>
  <c r="L60" i="67" s="1"/>
  <c r="L46" i="67" s="1"/>
  <c r="F35" i="15"/>
  <c r="M21" i="15"/>
  <c r="C49" i="11" l="1"/>
  <c r="C51" i="11" s="1"/>
  <c r="C52" i="11" s="1"/>
  <c r="B2" i="11" s="1"/>
  <c r="B3" i="11" s="1"/>
  <c r="Q70" i="15"/>
  <c r="C37" i="15"/>
  <c r="C25" i="69"/>
  <c r="C22" i="69" s="1"/>
  <c r="C41" i="68"/>
  <c r="C31" i="69"/>
  <c r="G39" i="43"/>
  <c r="I39" i="43" s="1"/>
  <c r="E39" i="43"/>
  <c r="G33" i="43"/>
  <c r="I33" i="43" s="1"/>
  <c r="E33" i="43"/>
  <c r="G34" i="43"/>
  <c r="I34" i="43" s="1"/>
  <c r="E34" i="43"/>
  <c r="AA11" i="33"/>
  <c r="R48" i="33" s="1"/>
  <c r="S11" i="33"/>
  <c r="C46" i="69"/>
  <c r="C45" i="69" s="1"/>
  <c r="C43" i="69"/>
  <c r="J22" i="67"/>
  <c r="J13" i="67"/>
  <c r="J23" i="67" s="1"/>
  <c r="C64" i="67"/>
  <c r="C61" i="67"/>
  <c r="C59" i="67" s="1"/>
  <c r="C46" i="68"/>
  <c r="C45" i="68" s="1"/>
  <c r="E38" i="43"/>
  <c r="G38" i="43"/>
  <c r="I38" i="43" s="1"/>
  <c r="E29" i="43"/>
  <c r="C30" i="43"/>
  <c r="E30" i="43" s="1"/>
  <c r="G36" i="43"/>
  <c r="I36" i="43" s="1"/>
  <c r="E36" i="43"/>
  <c r="G35" i="43"/>
  <c r="I35" i="43" s="1"/>
  <c r="E35" i="43"/>
  <c r="G37" i="43"/>
  <c r="I37" i="43" s="1"/>
  <c r="E37" i="43"/>
  <c r="L63" i="40"/>
  <c r="K65" i="40"/>
  <c r="AB11" i="33"/>
  <c r="T48" i="33" s="1"/>
  <c r="G48" i="33" s="1"/>
  <c r="U11" i="33"/>
  <c r="W11" i="33"/>
  <c r="AC11" i="33"/>
  <c r="V48" i="33" s="1"/>
  <c r="I48" i="33" s="1"/>
  <c r="C28" i="68"/>
  <c r="C27" i="68" s="1"/>
  <c r="C25" i="68"/>
  <c r="C22" i="68" s="1"/>
  <c r="C41" i="69"/>
  <c r="C37" i="67"/>
  <c r="C30" i="67" s="1"/>
  <c r="C39" i="67" s="1"/>
  <c r="C56" i="67"/>
  <c r="C65" i="67" s="1"/>
  <c r="C75" i="67"/>
  <c r="Q70" i="67"/>
  <c r="F63" i="15"/>
  <c r="C62" i="15" s="1"/>
  <c r="C59" i="15" s="1"/>
  <c r="C58" i="15" s="1"/>
  <c r="C67" i="15" s="1"/>
  <c r="C68" i="15" s="1"/>
  <c r="C34" i="15"/>
  <c r="C31" i="15" s="1"/>
  <c r="J20" i="15"/>
  <c r="J17" i="15" s="1"/>
  <c r="J16" i="15" s="1"/>
  <c r="J25" i="15" s="1"/>
  <c r="R16" i="1"/>
  <c r="L68" i="39"/>
  <c r="K70" i="39"/>
  <c r="N48" i="35"/>
  <c r="Q66" i="67"/>
  <c r="Q57" i="67"/>
  <c r="C30" i="15" l="1"/>
  <c r="C39" i="15" s="1"/>
  <c r="C40" i="15" s="1"/>
  <c r="C46" i="15" s="1"/>
  <c r="C27" i="43"/>
  <c r="C26" i="43"/>
  <c r="B2" i="43" s="1"/>
  <c r="C31" i="68"/>
  <c r="C49" i="68"/>
  <c r="C51" i="68" s="1"/>
  <c r="J16" i="67"/>
  <c r="J25" i="67" s="1"/>
  <c r="Q69" i="67"/>
  <c r="Q68" i="67" s="1"/>
  <c r="C40" i="67"/>
  <c r="I52" i="33"/>
  <c r="J52" i="33" s="1"/>
  <c r="R49" i="33"/>
  <c r="E48" i="33"/>
  <c r="C80" i="67"/>
  <c r="C79" i="67" s="1"/>
  <c r="C49" i="69"/>
  <c r="C51" i="69" s="1"/>
  <c r="G52" i="33"/>
  <c r="H52" i="33" s="1"/>
  <c r="G53" i="33"/>
  <c r="H53" i="33" s="1"/>
  <c r="M63" i="40"/>
  <c r="L65" i="40"/>
  <c r="C58" i="67"/>
  <c r="C67" i="67" s="1"/>
  <c r="C68" i="67" s="1"/>
  <c r="C56" i="11"/>
  <c r="C57" i="11" s="1"/>
  <c r="L57" i="15"/>
  <c r="L60" i="15" s="1"/>
  <c r="Q69" i="15"/>
  <c r="Q68" i="15" s="1"/>
  <c r="C71" i="15"/>
  <c r="O48" i="35"/>
  <c r="J7" i="35" s="1"/>
  <c r="M68" i="39"/>
  <c r="L70" i="39"/>
  <c r="L51" i="15"/>
  <c r="L51" i="67"/>
  <c r="E6" i="76"/>
  <c r="B6" i="76"/>
  <c r="C80" i="15" l="1"/>
  <c r="C79" i="15" s="1"/>
  <c r="Q67" i="15"/>
  <c r="C52" i="68"/>
  <c r="B2" i="68" s="1"/>
  <c r="B3" i="68" s="1"/>
  <c r="E2" i="76"/>
  <c r="Q67" i="67"/>
  <c r="B2" i="76"/>
  <c r="B3" i="76" s="1"/>
  <c r="C45" i="67"/>
  <c r="C46" i="67" s="1"/>
  <c r="C71" i="67"/>
  <c r="C52" i="69"/>
  <c r="B2" i="69" s="1"/>
  <c r="B3" i="69" s="1"/>
  <c r="C48" i="33"/>
  <c r="C49" i="33"/>
  <c r="B3" i="43"/>
  <c r="M65" i="40"/>
  <c r="N63" i="40"/>
  <c r="E53" i="33"/>
  <c r="F53" i="33" s="1"/>
  <c r="E52" i="33"/>
  <c r="F52" i="33" s="1"/>
  <c r="I53" i="33"/>
  <c r="J53" i="33" s="1"/>
  <c r="Q47" i="67"/>
  <c r="Q53" i="67" s="1"/>
  <c r="C43" i="67"/>
  <c r="Q56" i="67"/>
  <c r="Q62" i="67" s="1"/>
  <c r="Q65" i="67"/>
  <c r="Q75" i="67" s="1"/>
  <c r="C83" i="67"/>
  <c r="C82" i="67" s="1"/>
  <c r="D2" i="67"/>
  <c r="Q47" i="15"/>
  <c r="Q53" i="15" s="1"/>
  <c r="C83" i="15"/>
  <c r="C82" i="15" s="1"/>
  <c r="Q65" i="15"/>
  <c r="C43" i="15"/>
  <c r="Q56" i="15"/>
  <c r="L46" i="15"/>
  <c r="B2" i="15" s="1"/>
  <c r="Q57" i="15"/>
  <c r="Q66" i="15"/>
  <c r="W7" i="35"/>
  <c r="AC7" i="35"/>
  <c r="V38" i="35" s="1"/>
  <c r="I38" i="35" s="1"/>
  <c r="N68" i="39"/>
  <c r="M70" i="39"/>
  <c r="H7" i="35"/>
  <c r="F7" i="35"/>
  <c r="C19" i="9"/>
  <c r="AO6" i="1"/>
  <c r="C57" i="68" l="1"/>
  <c r="C56" i="68" s="1"/>
  <c r="C57" i="69"/>
  <c r="C56" i="69" s="1"/>
  <c r="B2" i="67"/>
  <c r="B3" i="67"/>
  <c r="N65" i="40"/>
  <c r="O63" i="40"/>
  <c r="O65" i="40" s="1"/>
  <c r="B2" i="33"/>
  <c r="B3" i="33"/>
  <c r="R24" i="31" s="1"/>
  <c r="Q75" i="15"/>
  <c r="C35" i="80"/>
  <c r="C102" i="9"/>
  <c r="C21" i="9"/>
  <c r="B6" i="70"/>
  <c r="B3" i="15"/>
  <c r="Q62" i="15"/>
  <c r="AA7" i="35"/>
  <c r="R38" i="35" s="1"/>
  <c r="S7" i="35"/>
  <c r="I42" i="35"/>
  <c r="J42" i="35" s="1"/>
  <c r="U7" i="35"/>
  <c r="AB7" i="35"/>
  <c r="T38" i="35" s="1"/>
  <c r="G38" i="35" s="1"/>
  <c r="O68" i="39"/>
  <c r="O70" i="39" s="1"/>
  <c r="N70" i="39"/>
  <c r="AO7" i="1"/>
  <c r="D34" i="9"/>
  <c r="C20" i="80"/>
  <c r="C20" i="9"/>
  <c r="C19" i="85"/>
  <c r="D35" i="9"/>
  <c r="C19" i="80"/>
  <c r="C20" i="85"/>
  <c r="C103" i="85" l="1"/>
  <c r="C103" i="80"/>
  <c r="C102" i="80"/>
  <c r="C21" i="80"/>
  <c r="C102" i="85"/>
  <c r="C21" i="85"/>
  <c r="B7" i="70"/>
  <c r="B2" i="70" s="1"/>
  <c r="B3" i="70" s="1"/>
  <c r="S24" i="31"/>
  <c r="R26" i="31"/>
  <c r="S26" i="31" s="1"/>
  <c r="R25" i="31"/>
  <c r="S25" i="31" s="1"/>
  <c r="R28" i="31"/>
  <c r="S28" i="31" s="1"/>
  <c r="R27" i="31"/>
  <c r="S27" i="31" s="1"/>
  <c r="H7" i="40"/>
  <c r="F7" i="40"/>
  <c r="J7" i="40"/>
  <c r="F118" i="80"/>
  <c r="F119" i="80" s="1"/>
  <c r="C103" i="9"/>
  <c r="G42" i="35"/>
  <c r="H42" i="35" s="1"/>
  <c r="G43" i="35"/>
  <c r="H43" i="35" s="1"/>
  <c r="F7" i="39"/>
  <c r="H7" i="39"/>
  <c r="J7" i="39"/>
  <c r="R39" i="35"/>
  <c r="E38" i="35"/>
  <c r="G118" i="80" l="1"/>
  <c r="S7" i="40"/>
  <c r="AA7" i="40"/>
  <c r="R42" i="40" s="1"/>
  <c r="S22" i="31"/>
  <c r="W7" i="40"/>
  <c r="AC7" i="40"/>
  <c r="V42" i="40" s="1"/>
  <c r="I42" i="40" s="1"/>
  <c r="I46" i="40" s="1"/>
  <c r="J46" i="40" s="1"/>
  <c r="U7" i="40"/>
  <c r="AB7" i="40"/>
  <c r="T42" i="40" s="1"/>
  <c r="G42" i="40" s="1"/>
  <c r="C39" i="35"/>
  <c r="B2" i="35" s="1"/>
  <c r="B3" i="35" s="1"/>
  <c r="C38" i="35"/>
  <c r="AB7" i="39"/>
  <c r="T47" i="39" s="1"/>
  <c r="G47" i="39" s="1"/>
  <c r="U7" i="39"/>
  <c r="E43" i="35"/>
  <c r="F43" i="35" s="1"/>
  <c r="E42" i="35"/>
  <c r="F42" i="35" s="1"/>
  <c r="I43" i="35"/>
  <c r="J43" i="35" s="1"/>
  <c r="AC7" i="39"/>
  <c r="V47" i="39" s="1"/>
  <c r="I47" i="39" s="1"/>
  <c r="W7" i="39"/>
  <c r="S7" i="39"/>
  <c r="AA7" i="39"/>
  <c r="R47" i="39" s="1"/>
  <c r="G47" i="40" l="1"/>
  <c r="H47" i="40" s="1"/>
  <c r="G46" i="40"/>
  <c r="H46" i="40" s="1"/>
  <c r="S24" i="81"/>
  <c r="R25" i="81"/>
  <c r="S25" i="81" s="1"/>
  <c r="R27" i="81"/>
  <c r="S27" i="81" s="1"/>
  <c r="R29" i="81"/>
  <c r="S29" i="81" s="1"/>
  <c r="R31" i="81"/>
  <c r="S31" i="81" s="1"/>
  <c r="R33" i="81"/>
  <c r="S33" i="81" s="1"/>
  <c r="R35" i="81"/>
  <c r="S35" i="81" s="1"/>
  <c r="R37" i="81"/>
  <c r="S37" i="81" s="1"/>
  <c r="R39" i="81"/>
  <c r="S39" i="81" s="1"/>
  <c r="R41" i="81"/>
  <c r="S41" i="81" s="1"/>
  <c r="R43" i="81"/>
  <c r="S43" i="81" s="1"/>
  <c r="R45" i="81"/>
  <c r="S45" i="81" s="1"/>
  <c r="R47" i="81"/>
  <c r="S47" i="81" s="1"/>
  <c r="R49" i="81"/>
  <c r="S49" i="81" s="1"/>
  <c r="R51" i="81"/>
  <c r="S51" i="81" s="1"/>
  <c r="R53" i="81"/>
  <c r="S53" i="81" s="1"/>
  <c r="R55" i="81"/>
  <c r="S55" i="81" s="1"/>
  <c r="R57" i="81"/>
  <c r="S57" i="81" s="1"/>
  <c r="R59" i="81"/>
  <c r="S59" i="81" s="1"/>
  <c r="R61" i="81"/>
  <c r="S61" i="81" s="1"/>
  <c r="R63" i="81"/>
  <c r="S63" i="81" s="1"/>
  <c r="R65" i="81"/>
  <c r="S65" i="81" s="1"/>
  <c r="R67" i="81"/>
  <c r="S67" i="81" s="1"/>
  <c r="R69" i="81"/>
  <c r="S69" i="81" s="1"/>
  <c r="R71" i="81"/>
  <c r="S71" i="81" s="1"/>
  <c r="R73" i="81"/>
  <c r="S73" i="81" s="1"/>
  <c r="R75" i="81"/>
  <c r="S75" i="81" s="1"/>
  <c r="R77" i="81"/>
  <c r="S77" i="81" s="1"/>
  <c r="R79" i="81"/>
  <c r="S79" i="81" s="1"/>
  <c r="R81" i="81"/>
  <c r="S81" i="81" s="1"/>
  <c r="R83" i="81"/>
  <c r="S83" i="81" s="1"/>
  <c r="R85" i="81"/>
  <c r="S85" i="81" s="1"/>
  <c r="R87" i="81"/>
  <c r="S87" i="81" s="1"/>
  <c r="R89" i="81"/>
  <c r="S89" i="81" s="1"/>
  <c r="R91" i="81"/>
  <c r="S91" i="81" s="1"/>
  <c r="R93" i="81"/>
  <c r="S93" i="81" s="1"/>
  <c r="R95" i="81"/>
  <c r="S95" i="81" s="1"/>
  <c r="R97" i="81"/>
  <c r="S97" i="81" s="1"/>
  <c r="R99" i="81"/>
  <c r="S99" i="81" s="1"/>
  <c r="R101" i="81"/>
  <c r="S101" i="81" s="1"/>
  <c r="R103" i="81"/>
  <c r="S103" i="81" s="1"/>
  <c r="R105" i="81"/>
  <c r="S105" i="81" s="1"/>
  <c r="R107" i="81"/>
  <c r="S107" i="81" s="1"/>
  <c r="R109" i="81"/>
  <c r="S109" i="81" s="1"/>
  <c r="R111" i="81"/>
  <c r="S111" i="81" s="1"/>
  <c r="R113" i="81"/>
  <c r="S113" i="81" s="1"/>
  <c r="R115" i="81"/>
  <c r="S115" i="81" s="1"/>
  <c r="R117" i="81"/>
  <c r="S117" i="81" s="1"/>
  <c r="R119" i="81"/>
  <c r="S119" i="81" s="1"/>
  <c r="R121" i="81"/>
  <c r="S121" i="81" s="1"/>
  <c r="R123" i="81"/>
  <c r="S123" i="81" s="1"/>
  <c r="R26" i="81"/>
  <c r="S26" i="81" s="1"/>
  <c r="R28" i="81"/>
  <c r="S28" i="81" s="1"/>
  <c r="R30" i="81"/>
  <c r="S30" i="81" s="1"/>
  <c r="R32" i="81"/>
  <c r="S32" i="81" s="1"/>
  <c r="R34" i="81"/>
  <c r="S34" i="81" s="1"/>
  <c r="R36" i="81"/>
  <c r="S36" i="81" s="1"/>
  <c r="R38" i="81"/>
  <c r="S38" i="81" s="1"/>
  <c r="R40" i="81"/>
  <c r="S40" i="81" s="1"/>
  <c r="R42" i="81"/>
  <c r="S42" i="81" s="1"/>
  <c r="R44" i="81"/>
  <c r="S44" i="81" s="1"/>
  <c r="R46" i="81"/>
  <c r="S46" i="81" s="1"/>
  <c r="R48" i="81"/>
  <c r="S48" i="81" s="1"/>
  <c r="R50" i="81"/>
  <c r="S50" i="81" s="1"/>
  <c r="R52" i="81"/>
  <c r="S52" i="81" s="1"/>
  <c r="R54" i="81"/>
  <c r="S54" i="81" s="1"/>
  <c r="R56" i="81"/>
  <c r="S56" i="81" s="1"/>
  <c r="R58" i="81"/>
  <c r="S58" i="81" s="1"/>
  <c r="R60" i="81"/>
  <c r="S60" i="81" s="1"/>
  <c r="R62" i="81"/>
  <c r="S62" i="81" s="1"/>
  <c r="R64" i="81"/>
  <c r="S64" i="81" s="1"/>
  <c r="R66" i="81"/>
  <c r="S66" i="81" s="1"/>
  <c r="R68" i="81"/>
  <c r="S68" i="81" s="1"/>
  <c r="R70" i="81"/>
  <c r="S70" i="81" s="1"/>
  <c r="R72" i="81"/>
  <c r="S72" i="81" s="1"/>
  <c r="R74" i="81"/>
  <c r="S74" i="81" s="1"/>
  <c r="R76" i="81"/>
  <c r="S76" i="81" s="1"/>
  <c r="R78" i="81"/>
  <c r="S78" i="81" s="1"/>
  <c r="R80" i="81"/>
  <c r="S80" i="81" s="1"/>
  <c r="R82" i="81"/>
  <c r="S82" i="81" s="1"/>
  <c r="R84" i="81"/>
  <c r="S84" i="81" s="1"/>
  <c r="R86" i="81"/>
  <c r="S86" i="81" s="1"/>
  <c r="R88" i="81"/>
  <c r="S88" i="81" s="1"/>
  <c r="R90" i="81"/>
  <c r="S90" i="81" s="1"/>
  <c r="R92" i="81"/>
  <c r="S92" i="81" s="1"/>
  <c r="R94" i="81"/>
  <c r="S94" i="81" s="1"/>
  <c r="R96" i="81"/>
  <c r="S96" i="81" s="1"/>
  <c r="R98" i="81"/>
  <c r="S98" i="81" s="1"/>
  <c r="R100" i="81"/>
  <c r="S100" i="81" s="1"/>
  <c r="R102" i="81"/>
  <c r="S102" i="81" s="1"/>
  <c r="R104" i="81"/>
  <c r="S104" i="81" s="1"/>
  <c r="R106" i="81"/>
  <c r="S106" i="81" s="1"/>
  <c r="R108" i="81"/>
  <c r="S108" i="81" s="1"/>
  <c r="R110" i="81"/>
  <c r="S110" i="81" s="1"/>
  <c r="R112" i="81"/>
  <c r="S112" i="81" s="1"/>
  <c r="R114" i="81"/>
  <c r="S114" i="81" s="1"/>
  <c r="R116" i="81"/>
  <c r="S116" i="81" s="1"/>
  <c r="R118" i="81"/>
  <c r="S118" i="81" s="1"/>
  <c r="R120" i="81"/>
  <c r="S120" i="81" s="1"/>
  <c r="R122" i="81"/>
  <c r="S122" i="81" s="1"/>
  <c r="R124" i="81"/>
  <c r="S124" i="81" s="1"/>
  <c r="E42" i="40"/>
  <c r="R43" i="40"/>
  <c r="B20" i="31"/>
  <c r="R22" i="31"/>
  <c r="B21" i="31" s="1"/>
  <c r="I51" i="39"/>
  <c r="J51" i="39" s="1"/>
  <c r="E47" i="39"/>
  <c r="I52" i="39" s="1"/>
  <c r="J52" i="39" s="1"/>
  <c r="R48" i="39"/>
  <c r="G51" i="39"/>
  <c r="H51" i="39" s="1"/>
  <c r="G52" i="39"/>
  <c r="H52" i="39" s="1"/>
  <c r="D20" i="9"/>
  <c r="D19" i="9"/>
  <c r="D102" i="9" l="1"/>
  <c r="D21" i="9"/>
  <c r="D22" i="9"/>
  <c r="G19" i="9"/>
  <c r="D103" i="9"/>
  <c r="G20" i="9"/>
  <c r="I47" i="40"/>
  <c r="J47" i="40" s="1"/>
  <c r="E46" i="40"/>
  <c r="F46" i="40" s="1"/>
  <c r="E47" i="40"/>
  <c r="F47" i="40" s="1"/>
  <c r="C43" i="40"/>
  <c r="C42" i="40"/>
  <c r="S22" i="81"/>
  <c r="C48" i="39"/>
  <c r="C47" i="39"/>
  <c r="E51" i="39"/>
  <c r="F51" i="39" s="1"/>
  <c r="E52" i="39"/>
  <c r="F52" i="39" s="1"/>
  <c r="R22" i="81" l="1"/>
  <c r="B21" i="81" s="1"/>
  <c r="B20" i="81"/>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G21"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9" i="85"/>
  <c r="D19" i="80"/>
  <c r="D20" i="85"/>
  <c r="D20" i="80"/>
  <c r="D102" i="85" l="1"/>
  <c r="D21" i="85"/>
  <c r="D22" i="85"/>
  <c r="D102" i="80"/>
  <c r="D21" i="80"/>
  <c r="D22" i="80"/>
  <c r="G19" i="80"/>
  <c r="D103" i="85"/>
  <c r="G20" i="85"/>
  <c r="D103" i="80"/>
  <c r="G20" i="80"/>
  <c r="C35" i="9"/>
  <c r="F118" i="9" s="1"/>
  <c r="F122" i="77" s="1"/>
  <c r="H118" i="9"/>
  <c r="C34" i="9"/>
  <c r="D118" i="9" s="1"/>
  <c r="G122" i="77" l="1"/>
  <c r="F123" i="77"/>
  <c r="D119" i="9"/>
  <c r="D5" i="52" s="1"/>
  <c r="B49" i="72" s="1"/>
  <c r="D4" i="52"/>
  <c r="B47" i="72" s="1"/>
  <c r="F118" i="85"/>
  <c r="F4" i="52"/>
  <c r="B51" i="72" s="1"/>
  <c r="F119" i="9"/>
  <c r="F5" i="52" s="1"/>
  <c r="B53" i="72" s="1"/>
  <c r="G118" i="9"/>
  <c r="G4" i="52" s="1"/>
  <c r="B52" i="72" s="1"/>
  <c r="G19" i="85"/>
  <c r="F34" i="85" s="1"/>
  <c r="I118" i="9"/>
  <c r="H4" i="52"/>
  <c r="C104" i="9"/>
  <c r="H101" i="9"/>
  <c r="H119" i="9"/>
  <c r="H5" i="52" s="1"/>
  <c r="D14" i="74"/>
  <c r="F34" i="80"/>
  <c r="C34" i="80" s="1"/>
  <c r="C32" i="80"/>
  <c r="G21" i="80"/>
  <c r="C34" i="85" l="1"/>
  <c r="C32" i="85"/>
  <c r="D35" i="85" s="1"/>
  <c r="G21" i="85"/>
  <c r="G118" i="85"/>
  <c r="F119" i="85"/>
  <c r="D34" i="80"/>
  <c r="D118" i="80"/>
  <c r="D122" i="77" s="1"/>
  <c r="D123" i="77" s="1"/>
  <c r="H118" i="80"/>
  <c r="D35" i="80"/>
  <c r="F14" i="74"/>
  <c r="E14" i="74"/>
  <c r="H107" i="9"/>
  <c r="D45" i="9"/>
  <c r="D5" i="53"/>
  <c r="M48" i="9"/>
  <c r="C105" i="9"/>
  <c r="I4" i="52"/>
  <c r="H102" i="9"/>
  <c r="D7" i="53" s="1"/>
  <c r="B21" i="72" s="1"/>
  <c r="E118" i="9"/>
  <c r="E4" i="52" s="1"/>
  <c r="B48" i="72" s="1"/>
  <c r="E122" i="77" l="1"/>
  <c r="I122" i="77" s="1"/>
  <c r="H122" i="77"/>
  <c r="H108" i="9"/>
  <c r="D15" i="53" s="1"/>
  <c r="B31" i="72" s="1"/>
  <c r="D13" i="53"/>
  <c r="M49" i="9"/>
  <c r="D122" i="9"/>
  <c r="D119" i="80"/>
  <c r="E118" i="80"/>
  <c r="D118" i="85"/>
  <c r="C78" i="9"/>
  <c r="C73" i="9" s="1"/>
  <c r="D52" i="9"/>
  <c r="C72" i="9"/>
  <c r="C79" i="9" s="1"/>
  <c r="D53" i="9"/>
  <c r="D55" i="9"/>
  <c r="M53" i="9" s="1"/>
  <c r="C64" i="9"/>
  <c r="C63" i="9" s="1"/>
  <c r="C67" i="9" s="1"/>
  <c r="C68" i="9" s="1"/>
  <c r="D54" i="9" s="1"/>
  <c r="C85" i="9"/>
  <c r="C93" i="9"/>
  <c r="C86" i="9" s="1"/>
  <c r="D15" i="74"/>
  <c r="I118" i="80"/>
  <c r="C104" i="80"/>
  <c r="H119" i="80"/>
  <c r="H101" i="80"/>
  <c r="H118" i="85"/>
  <c r="D6" i="53"/>
  <c r="B22" i="72" s="1"/>
  <c r="B20" i="72"/>
  <c r="D34" i="85"/>
  <c r="H123" i="77" l="1"/>
  <c r="D127" i="77" s="1"/>
  <c r="D126" i="77"/>
  <c r="H107" i="80"/>
  <c r="M48" i="80"/>
  <c r="D45" i="80"/>
  <c r="E15" i="74"/>
  <c r="F15" i="74"/>
  <c r="B5" i="74"/>
  <c r="C95" i="9"/>
  <c r="C80" i="9"/>
  <c r="E80" i="9" s="1"/>
  <c r="E81" i="9" s="1"/>
  <c r="G14" i="74"/>
  <c r="D123" i="9"/>
  <c r="D9" i="52" s="1"/>
  <c r="D8" i="52"/>
  <c r="D14" i="53"/>
  <c r="B32" i="72" s="1"/>
  <c r="B30" i="72"/>
  <c r="H119" i="85"/>
  <c r="I118" i="85"/>
  <c r="H101" i="85"/>
  <c r="C104" i="85"/>
  <c r="C105" i="80"/>
  <c r="H102" i="80"/>
  <c r="E118" i="85"/>
  <c r="D119" i="85"/>
  <c r="L68" i="9"/>
  <c r="M68" i="9" s="1"/>
  <c r="L63" i="9"/>
  <c r="M63" i="9" s="1"/>
  <c r="L64" i="9"/>
  <c r="M64" i="9" s="1"/>
  <c r="L66" i="9"/>
  <c r="M66" i="9" s="1"/>
  <c r="L65" i="9"/>
  <c r="M65" i="9" s="1"/>
  <c r="L67" i="9"/>
  <c r="M67" i="9" s="1"/>
  <c r="C81" i="9" l="1"/>
  <c r="H107" i="85"/>
  <c r="D45" i="85"/>
  <c r="M48" i="85"/>
  <c r="M69" i="9"/>
  <c r="N69" i="9" s="1"/>
  <c r="H102" i="85"/>
  <c r="C105" i="85"/>
  <c r="D5" i="74"/>
  <c r="C5" i="74"/>
  <c r="C96" i="9"/>
  <c r="E96" i="9" s="1"/>
  <c r="E97" i="9" s="1"/>
  <c r="C93" i="80"/>
  <c r="C86" i="80" s="1"/>
  <c r="D52" i="80"/>
  <c r="C64" i="80"/>
  <c r="C63" i="80" s="1"/>
  <c r="C67" i="80" s="1"/>
  <c r="C68" i="80" s="1"/>
  <c r="D54" i="80" s="1"/>
  <c r="C72" i="80"/>
  <c r="C78" i="80"/>
  <c r="C73" i="80" s="1"/>
  <c r="D55" i="80"/>
  <c r="M53" i="80" s="1"/>
  <c r="C85" i="80"/>
  <c r="C95" i="80" s="1"/>
  <c r="D53" i="80"/>
  <c r="G15" i="74"/>
  <c r="B6" i="74" s="1"/>
  <c r="D122" i="80"/>
  <c r="D123" i="80" s="1"/>
  <c r="H108" i="80"/>
  <c r="M49" i="80"/>
  <c r="C6" i="74" l="1"/>
  <c r="D6" i="74"/>
  <c r="C96" i="80"/>
  <c r="E96" i="80" s="1"/>
  <c r="E97" i="80" s="1"/>
  <c r="C85" i="85"/>
  <c r="D53" i="85"/>
  <c r="C93" i="85"/>
  <c r="C86" i="85" s="1"/>
  <c r="D55" i="85"/>
  <c r="M53" i="85" s="1"/>
  <c r="D52" i="85"/>
  <c r="C64" i="85"/>
  <c r="C63" i="85" s="1"/>
  <c r="C67" i="85" s="1"/>
  <c r="C68" i="85" s="1"/>
  <c r="D54" i="85" s="1"/>
  <c r="D48" i="85" s="1"/>
  <c r="M52" i="85" s="1"/>
  <c r="C78" i="85"/>
  <c r="C73" i="85" s="1"/>
  <c r="C72" i="85"/>
  <c r="L66" i="80"/>
  <c r="M66" i="80" s="1"/>
  <c r="L67" i="80"/>
  <c r="M67" i="80" s="1"/>
  <c r="L68" i="80"/>
  <c r="M68" i="80" s="1"/>
  <c r="L64" i="80"/>
  <c r="M64" i="80" s="1"/>
  <c r="L65" i="80"/>
  <c r="M65" i="80" s="1"/>
  <c r="L63" i="80"/>
  <c r="M63" i="80" s="1"/>
  <c r="C79" i="80"/>
  <c r="C97" i="9"/>
  <c r="D58" i="9" s="1"/>
  <c r="D56" i="9" s="1"/>
  <c r="M54" i="9" s="1"/>
  <c r="N57" i="9" s="1"/>
  <c r="D122" i="85"/>
  <c r="D123" i="85" s="1"/>
  <c r="H108" i="85"/>
  <c r="M49" i="85"/>
  <c r="M69" i="80" l="1"/>
  <c r="N69" i="80" s="1"/>
  <c r="C79" i="85"/>
  <c r="C97" i="80"/>
  <c r="D58" i="80" s="1"/>
  <c r="D56" i="80" s="1"/>
  <c r="M54" i="80" s="1"/>
  <c r="N57" i="80" s="1"/>
  <c r="N59" i="80" s="1"/>
  <c r="N61" i="80" s="1"/>
  <c r="H112" i="80" s="1"/>
  <c r="L65" i="85"/>
  <c r="M65" i="85" s="1"/>
  <c r="L63" i="85"/>
  <c r="M63" i="85" s="1"/>
  <c r="L64" i="85"/>
  <c r="M64" i="85" s="1"/>
  <c r="L68" i="85"/>
  <c r="M68" i="85" s="1"/>
  <c r="L66" i="85"/>
  <c r="M66" i="85" s="1"/>
  <c r="L67" i="85"/>
  <c r="M67" i="85" s="1"/>
  <c r="C80" i="85"/>
  <c r="E80" i="85" s="1"/>
  <c r="E81" i="85" s="1"/>
  <c r="C80" i="80"/>
  <c r="E80" i="80" s="1"/>
  <c r="E81" i="80" s="1"/>
  <c r="N58" i="9"/>
  <c r="N59" i="9"/>
  <c r="P57" i="9"/>
  <c r="C95" i="85"/>
  <c r="N58" i="80" l="1"/>
  <c r="N60" i="80"/>
  <c r="H111" i="80"/>
  <c r="D126" i="80" s="1"/>
  <c r="D127" i="80" s="1"/>
  <c r="P57" i="80"/>
  <c r="M69" i="85"/>
  <c r="N69" i="85" s="1"/>
  <c r="C96" i="85"/>
  <c r="E96" i="85" s="1"/>
  <c r="E97" i="85" s="1"/>
  <c r="N61" i="9"/>
  <c r="H112" i="9" s="1"/>
  <c r="D21" i="53" s="1"/>
  <c r="B39" i="72" s="1"/>
  <c r="N60" i="9"/>
  <c r="H111" i="9"/>
  <c r="C81" i="80"/>
  <c r="C81" i="85"/>
  <c r="D19" i="53" l="1"/>
  <c r="D126" i="9"/>
  <c r="C97" i="85"/>
  <c r="D58" i="85" s="1"/>
  <c r="D56" i="85" s="1"/>
  <c r="M54" i="85" s="1"/>
  <c r="N57" i="85" s="1"/>
  <c r="D12" i="52" l="1"/>
  <c r="D127" i="9"/>
  <c r="D13" i="52" s="1"/>
  <c r="P57" i="85"/>
  <c r="N58" i="85"/>
  <c r="N59" i="85"/>
  <c r="B38" i="72"/>
  <c r="D20" i="53"/>
  <c r="B40" i="72" s="1"/>
  <c r="H111" i="85" l="1"/>
  <c r="N61" i="85"/>
  <c r="H112" i="85" s="1"/>
  <c r="N60" i="85"/>
  <c r="D126" i="85" l="1"/>
  <c r="D127" i="85" s="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<sst xmlns="http://schemas.openxmlformats.org/spreadsheetml/2006/main" count="8335" uniqueCount="3305">
  <si>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</si>
  <si>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</si>
  <si>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</si>
  <si>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</si>
  <si>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</si>
  <si>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</si>
  <si>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</si>
  <si>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</si>
  <si>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</si>
  <si>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</si>
  <si>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</si>
  <si>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</si>
  <si>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</si>
  <si>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</si>
  <si>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</si>
  <si>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</si>
  <si>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</si>
  <si>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</si>
  <si>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</si>
  <si>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</si>
  <si>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</si>
  <si>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</si>
  <si>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</si>
  <si>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</si>
  <si>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</si>
  <si>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</si>
  <si>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</si>
  <si>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</si>
  <si>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</si>
  <si>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</si>
  <si>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</si>
  <si>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</si>
  <si>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</si>
  <si>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</si>
  <si>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</si>
  <si>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</si>
  <si>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</si>
  <si>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</si>
  <si>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</si>
  <si>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</si>
  <si>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</si>
  <si>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</si>
  <si>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</si>
  <si>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</si>
  <si>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</si>
  <si>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</si>
  <si>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</si>
  <si>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</si>
  <si>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</si>
  <si>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</si>
  <si>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</si>
  <si>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</si>
  <si>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</si>
  <si>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</si>
  <si>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</si>
  <si>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</si>
  <si>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</si>
  <si>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</si>
  <si>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</si>
  <si>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</si>
  <si>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</si>
  <si>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</si>
  <si>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</si>
  <si>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</si>
  <si>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</si>
  <si>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</si>
  <si>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</si>
  <si>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</si>
  <si>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</si>
  <si>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</si>
  <si>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</si>
  <si>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</si>
  <si>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</si>
  <si>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</si>
  <si>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</si>
  <si>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</si>
  <si>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</si>
  <si>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</si>
  <si>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</si>
  <si>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</si>
  <si>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</si>
  <si>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</si>
  <si>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</si>
  <si>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</si>
  <si>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</si>
  <si>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</si>
  <si>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</si>
  <si>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</si>
  <si>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</si>
  <si>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</si>
  <si>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</si>
  <si>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</si>
  <si>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</si>
  <si>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</si>
  <si>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</si>
  <si>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</si>
  <si>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</si>
  <si>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</si>
  <si>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</si>
  <si>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</si>
  <si>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</si>
  <si>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</si>
  <si>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</si>
  <si>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</si>
  <si>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</si>
  <si>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</si>
  <si>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</si>
  <si>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</si>
  <si>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</si>
  <si>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</si>
  <si>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</si>
  <si>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</si>
  <si>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</si>
  <si>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</si>
  <si>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</si>
  <si>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</si>
  <si>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</si>
  <si>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</si>
  <si>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</si>
  <si>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</si>
  <si>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</si>
  <si>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</si>
  <si>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</si>
  <si>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</si>
  <si>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</si>
  <si>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</si>
  <si>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</si>
  <si>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</si>
  <si>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</si>
  <si>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</si>
  <si>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</si>
  <si>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</si>
  <si>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</si>
  <si>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</si>
  <si>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</si>
  <si>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</si>
  <si>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</si>
  <si>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</si>
  <si>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</si>
  <si>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</si>
  <si>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</si>
  <si>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</si>
  <si>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</si>
  <si>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</si>
  <si>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</si>
  <si>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</si>
  <si>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</si>
  <si>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</si>
  <si>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</si>
  <si>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</si>
  <si>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</si>
  <si>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</si>
  <si>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</si>
  <si>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</si>
  <si>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</si>
  <si>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</si>
  <si>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</si>
  <si>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</si>
  <si>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</si>
  <si>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</si>
  <si>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</si>
  <si>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</si>
  <si>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</si>
  <si>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</si>
  <si>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</si>
  <si>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</si>
  <si>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</si>
  <si>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</si>
  <si>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</si>
  <si>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</si>
  <si>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</si>
  <si>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</si>
  <si>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</si>
  <si>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</si>
  <si>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</si>
  <si>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</si>
  <si>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</si>
  <si>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</si>
  <si>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</si>
  <si>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</si>
  <si>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</si>
  <si>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</si>
  <si>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</si>
  <si>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</si>
  <si>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</si>
  <si>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</si>
  <si>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</si>
  <si>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</si>
  <si>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</si>
  <si>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</si>
  <si>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</si>
  <si>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</si>
  <si>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</si>
  <si>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</si>
  <si>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</si>
  <si>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</si>
  <si>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</si>
  <si>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</si>
  <si>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</si>
  <si>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</si>
  <si>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</si>
  <si>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</si>
  <si>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</si>
  <si>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</si>
  <si>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</si>
  <si>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</si>
  <si>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</si>
  <si>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</si>
  <si>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</si>
  <si>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</si>
  <si>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</si>
  <si>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</si>
  <si>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</si>
  <si>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</si>
  <si>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</si>
  <si>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</si>
  <si>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</si>
  <si>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</si>
  <si>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</si>
  <si>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</si>
  <si>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</si>
  <si>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</si>
  <si>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</si>
  <si>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</si>
  <si>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</si>
  <si>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</si>
  <si>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</si>
  <si>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</si>
  <si>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</si>
  <si>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</si>
  <si>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</si>
  <si>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</si>
  <si>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</si>
  <si>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</si>
  <si>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</si>
  <si>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</si>
  <si>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</si>
  <si>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</si>
  <si>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</si>
  <si>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</si>
  <si>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</si>
  <si>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</si>
  <si>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</si>
  <si>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</si>
  <si>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</si>
  <si>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</si>
  <si>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</si>
  <si>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</si>
  <si>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</si>
  <si>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</si>
  <si>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</si>
  <si>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</si>
  <si>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</si>
  <si>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</si>
  <si>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</si>
  <si>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</si>
  <si>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</si>
  <si>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</si>
  <si>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</si>
  <si>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</si>
  <si>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</si>
  <si>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</si>
  <si>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</si>
  <si>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</si>
  <si>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</si>
  <si>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</si>
  <si>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</si>
  <si>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</si>
  <si>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</si>
  <si>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</si>
  <si>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</si>
  <si>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</si>
  <si>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</si>
  <si>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</si>
  <si>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</si>
  <si>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</si>
  <si>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</si>
  <si>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</si>
  <si>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</si>
  <si>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</si>
  <si>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</si>
  <si>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</si>
  <si>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</si>
  <si>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</si>
  <si>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</si>
  <si>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</si>
  <si>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</si>
  <si>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</si>
  <si>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</si>
  <si>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</si>
  <si>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</si>
  <si>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</si>
  <si>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</si>
  <si>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</si>
  <si>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</si>
  <si>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</si>
  <si>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</si>
  <si>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</si>
  <si>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</si>
  <si>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</si>
  <si>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</si>
  <si>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</si>
  <si>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</si>
  <si>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</si>
  <si>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</si>
  <si>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</si>
  <si>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</si>
  <si>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</si>
  <si>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</si>
  <si>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</si>
  <si>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</si>
  <si>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</si>
  <si>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</si>
  <si>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</si>
  <si>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</si>
  <si>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</si>
  <si>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</si>
  <si>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</si>
  <si>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</si>
  <si>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</si>
  <si>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</si>
  <si>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</si>
  <si>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</si>
  <si>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</si>
  <si>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</si>
  <si>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</si>
  <si>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</si>
  <si>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</si>
  <si>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</si>
  <si>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</si>
  <si>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</si>
  <si>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</si>
  <si>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</si>
  <si>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</si>
  <si>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</si>
  <si>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</si>
  <si>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</si>
  <si>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</si>
  <si>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</si>
  <si>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</si>
  <si>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</si>
  <si>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</si>
  <si>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</si>
  <si>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</si>
  <si>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</si>
  <si>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</si>
  <si>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</si>
  <si>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</si>
  <si>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</si>
  <si>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</si>
  <si>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</si>
  <si>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</si>
  <si>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</si>
  <si>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</si>
  <si>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</si>
  <si>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</si>
  <si>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</si>
  <si>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</si>
  <si>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</si>
  <si>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</si>
  <si>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</si>
  <si>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</si>
  <si>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</si>
  <si>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</si>
  <si>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</si>
  <si>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</si>
  <si>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</si>
  <si>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</si>
  <si>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</si>
  <si>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</si>
  <si>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</si>
  <si>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</si>
  <si>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</si>
  <si>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</si>
  <si>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</si>
  <si>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</si>
  <si>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</si>
  <si>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</si>
  <si>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</si>
  <si>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</si>
  <si>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</si>
  <si>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</si>
  <si>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</si>
  <si>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</si>
  <si>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</si>
  <si>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</si>
  <si>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</si>
  <si>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</si>
  <si>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</si>
  <si>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</si>
  <si>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</si>
  <si>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</si>
  <si>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</si>
  <si>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</si>
  <si>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</si>
  <si>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</si>
  <si>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</si>
  <si>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</si>
  <si>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</si>
  <si>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</si>
  <si>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</si>
  <si>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</si>
  <si>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</si>
  <si>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</si>
  <si>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</si>
  <si>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</si>
  <si>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</si>
  <si>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</si>
  <si>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</si>
  <si>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</si>
  <si>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</si>
  <si>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</si>
  <si>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</si>
  <si>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</si>
  <si>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</si>
  <si>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</si>
  <si>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</si>
  <si>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</si>
  <si>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</si>
  <si>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</si>
  <si>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</si>
  <si>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</si>
  <si>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</si>
  <si>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</si>
  <si>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</si>
  <si>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</si>
  <si>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</si>
  <si>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</si>
  <si>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</si>
  <si>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</si>
  <si>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</si>
  <si>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</si>
  <si>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</si>
  <si>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</si>
  <si>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</si>
  <si>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</si>
  <si>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</si>
  <si>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</si>
  <si>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</si>
  <si>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</si>
  <si>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</si>
  <si>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</si>
  <si>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</si>
  <si>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</si>
  <si>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</si>
  <si>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</si>
  <si>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</si>
  <si>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</si>
  <si>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</si>
  <si>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</si>
  <si>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</si>
  <si>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</si>
  <si>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</si>
  <si>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</si>
  <si>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</si>
  <si>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</si>
  <si>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</si>
  <si>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</si>
  <si>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</si>
  <si>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</si>
  <si>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</si>
  <si>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</si>
  <si>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</si>
  <si>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</si>
  <si>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</si>
  <si>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</si>
  <si>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</si>
  <si>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</si>
  <si>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</si>
  <si>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</si>
  <si>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</si>
  <si>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</si>
  <si>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</si>
  <si>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</si>
  <si>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</si>
  <si>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</si>
  <si>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</si>
  <si>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</si>
  <si>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</si>
  <si>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</si>
  <si>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</si>
  <si>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</si>
  <si>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</si>
  <si>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</si>
  <si>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</si>
  <si>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</si>
  <si>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</si>
  <si>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</si>
  <si>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</si>
  <si>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</si>
  <si>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</si>
  <si>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</si>
  <si>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</si>
  <si>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</si>
  <si>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</si>
  <si>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</si>
  <si>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</si>
  <si>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</si>
  <si>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</si>
  <si>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</si>
  <si>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</si>
  <si>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</si>
  <si>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</si>
  <si>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</si>
  <si>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</si>
  <si>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</si>
  <si>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</si>
  <si>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</si>
  <si>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</si>
  <si>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</si>
  <si>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</si>
  <si>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</si>
  <si>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</si>
  <si>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</si>
  <si>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</si>
  <si>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</si>
  <si>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</si>
  <si>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</si>
  <si>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</si>
  <si>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</si>
  <si>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</si>
  <si>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</si>
  <si>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</si>
  <si>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</si>
  <si>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</si>
  <si>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</si>
  <si>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</si>
  <si>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</si>
  <si>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</si>
  <si>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</si>
  <si>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</si>
  <si>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</si>
  <si>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</si>
  <si>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</si>
  <si>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</si>
  <si>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</si>
  <si>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</si>
  <si>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</si>
  <si>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</si>
  <si>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</si>
  <si>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</si>
  <si>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</si>
  <si>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</si>
  <si>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</si>
  <si>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</si>
  <si>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</si>
  <si>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</si>
  <si>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</si>
  <si>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</si>
  <si>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</si>
  <si>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</si>
  <si>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</si>
  <si>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</si>
  <si>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</si>
  <si>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</si>
  <si>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</si>
  <si>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</si>
  <si>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</si>
  <si>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</si>
  <si>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</si>
  <si>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</si>
  <si>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</si>
  <si>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</si>
  <si>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</si>
  <si>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</si>
  <si>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</si>
  <si>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</si>
  <si>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</si>
  <si>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</si>
  <si>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</si>
  <si>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</si>
  <si>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</si>
  <si>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</si>
  <si>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</si>
  <si>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</si>
  <si>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</si>
  <si>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</si>
  <si>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</si>
  <si>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</si>
  <si>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</si>
  <si>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</si>
  <si>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</si>
  <si>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</si>
  <si>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</si>
  <si>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</si>
  <si>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</si>
  <si>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</si>
  <si>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</si>
  <si>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</si>
  <si>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</si>
  <si>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</si>
  <si>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</si>
  <si>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</si>
  <si>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</si>
  <si>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</si>
  <si>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</si>
  <si>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</si>
  <si>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</si>
  <si>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</si>
  <si>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</si>
  <si>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</si>
  <si>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</si>
  <si>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</si>
  <si>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</si>
  <si>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</si>
  <si>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</si>
  <si>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</si>
  <si>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</si>
  <si>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</si>
  <si>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</si>
  <si>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</si>
  <si>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</si>
  <si>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</si>
  <si>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</si>
  <si>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</si>
  <si>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</si>
  <si>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</si>
  <si>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</si>
  <si>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</si>
  <si>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</si>
  <si>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</si>
  <si>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</si>
  <si>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</si>
  <si>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</si>
  <si>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</si>
  <si>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</si>
  <si>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</si>
  <si>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</si>
  <si>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</si>
  <si>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</si>
  <si>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</si>
  <si>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</si>
  <si>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</si>
  <si>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</si>
  <si>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</si>
  <si>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</si>
  <si>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</si>
  <si>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</si>
  <si>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</si>
  <si>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</si>
  <si>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</si>
  <si>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</si>
  <si>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</si>
  <si>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</si>
  <si>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</si>
  <si>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</si>
  <si>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</si>
  <si>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</si>
  <si>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</si>
  <si>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</si>
  <si>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</si>
  <si>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</si>
  <si>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</si>
  <si>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</si>
  <si>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</si>
  <si>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</si>
  <si>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</si>
  <si>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</si>
  <si>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</si>
  <si>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</si>
  <si>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</si>
  <si>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</si>
  <si>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</si>
  <si>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</si>
  <si>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</si>
  <si>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</si>
  <si>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</si>
  <si>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</si>
  <si>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</si>
  <si>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</si>
  <si>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</si>
  <si>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</si>
  <si>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</si>
  <si>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</si>
  <si>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</si>
  <si>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</si>
  <si>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</si>
  <si>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</si>
  <si>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</si>
  <si>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</si>
  <si>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</si>
  <si>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</si>
  <si>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</si>
  <si>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</si>
  <si>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</si>
  <si>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</si>
  <si>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</si>
  <si>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</si>
  <si>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</si>
  <si>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</si>
  <si>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</si>
  <si>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</si>
  <si>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</si>
  <si>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</si>
  <si>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</si>
  <si>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</si>
  <si>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</si>
  <si>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</si>
  <si>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</si>
  <si>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</si>
  <si>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</si>
  <si>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</si>
  <si>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</si>
  <si>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</si>
  <si>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</si>
  <si>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</si>
  <si>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</si>
  <si>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</si>
  <si>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</si>
  <si>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</si>
  <si>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</si>
  <si>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</si>
  <si>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</si>
  <si>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</si>
  <si>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</si>
  <si>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</si>
  <si>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</si>
  <si>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</si>
  <si>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</si>
  <si>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</si>
  <si>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</si>
  <si>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</si>
  <si>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</si>
  <si>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</si>
  <si>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</si>
  <si>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</si>
  <si>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</si>
  <si>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</si>
  <si>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</si>
  <si>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</si>
  <si>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</si>
  <si>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</si>
  <si>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</si>
  <si>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</si>
  <si>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</si>
  <si>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</si>
  <si>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</si>
  <si>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</si>
  <si>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</si>
  <si>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</si>
  <si>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</si>
  <si>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</si>
  <si>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</si>
  <si>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</si>
  <si>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</si>
  <si>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</si>
  <si>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</si>
  <si>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</si>
  <si>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</si>
  <si>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</si>
  <si>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</si>
  <si>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</si>
  <si>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</si>
  <si>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</si>
  <si>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</si>
  <si>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</si>
  <si>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</si>
  <si>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</si>
  <si>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</si>
  <si>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</si>
  <si>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</si>
  <si>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</si>
  <si>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</si>
  <si>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</si>
  <si>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</si>
  <si>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</si>
  <si>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</si>
  <si>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</si>
  <si>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</si>
  <si>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</si>
  <si>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</si>
  <si>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</si>
  <si>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</si>
  <si>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</si>
  <si>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</si>
  <si>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</si>
  <si>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</si>
  <si>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</si>
  <si>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</si>
  <si>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</si>
  <si>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</si>
  <si>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</si>
  <si>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</si>
  <si>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</si>
  <si>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</si>
  <si>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</si>
  <si>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</si>
  <si>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</si>
  <si>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</si>
  <si>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</si>
  <si>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</si>
  <si>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</si>
  <si>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</si>
  <si>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</si>
  <si>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</si>
  <si>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</si>
  <si>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</si>
  <si>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</si>
  <si>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</si>
  <si>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</si>
  <si>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</si>
  <si>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</si>
  <si>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</si>
  <si>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</si>
  <si>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</si>
  <si>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</si>
  <si>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</si>
  <si>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</si>
  <si>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</si>
  <si>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</si>
  <si>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</si>
  <si>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</si>
  <si>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</si>
  <si>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</si>
  <si>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</si>
  <si>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</si>
  <si>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</si>
  <si>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</si>
  <si>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</si>
  <si>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</si>
  <si>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</si>
  <si>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</si>
  <si>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</si>
  <si>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</si>
  <si>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</si>
  <si>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</si>
  <si>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</si>
  <si>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</si>
  <si>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</si>
  <si>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</si>
  <si>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</si>
  <si>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</si>
  <si>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</si>
  <si>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</si>
  <si>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</si>
  <si>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</si>
  <si>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</si>
  <si>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</si>
  <si>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</si>
  <si>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</si>
  <si>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</si>
  <si>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</si>
  <si>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</si>
  <si>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</si>
  <si>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</si>
  <si>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</si>
  <si>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</si>
  <si>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</si>
  <si>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</si>
  <si>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</si>
  <si>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</si>
  <si>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</si>
  <si>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</si>
  <si>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</si>
  <si>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</si>
  <si>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</si>
  <si>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</si>
  <si>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</si>
  <si>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</si>
  <si>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</si>
  <si>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</si>
  <si>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</si>
  <si>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</si>
  <si>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</si>
  <si>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</si>
  <si>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</si>
  <si>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</si>
  <si>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</si>
  <si>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</si>
  <si>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</si>
  <si>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</si>
  <si>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</si>
  <si>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</si>
  <si>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</si>
  <si>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</si>
  <si>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</si>
  <si>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</si>
  <si>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</si>
  <si>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</si>
  <si>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</si>
  <si>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</si>
  <si>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</si>
  <si>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</si>
  <si>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</si>
  <si>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</si>
  <si>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</si>
  <si>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</si>
  <si>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</si>
  <si>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</si>
  <si>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</si>
  <si>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</si>
  <si>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</si>
  <si>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</si>
  <si>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</si>
  <si>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</si>
  <si>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</si>
  <si>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</si>
  <si>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</si>
  <si>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</si>
  <si>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</si>
  <si>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</si>
  <si>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</si>
  <si>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</si>
  <si>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</si>
  <si>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</si>
  <si>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</si>
  <si>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</si>
  <si>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</si>
  <si>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</si>
  <si>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</si>
  <si>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</si>
  <si>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</si>
  <si>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</si>
  <si>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</si>
  <si>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</si>
  <si>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</si>
  <si>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</si>
  <si>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</si>
  <si>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</si>
  <si>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</si>
  <si>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</si>
  <si>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</si>
  <si>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</si>
  <si>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</si>
  <si>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</si>
  <si>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</si>
  <si>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</si>
  <si>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</si>
  <si>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</si>
  <si>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</si>
  <si>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</si>
  <si>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</si>
  <si>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</si>
  <si>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</si>
  <si>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</si>
  <si>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</si>
  <si>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</si>
  <si>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</si>
  <si>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</si>
  <si>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</si>
  <si>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</si>
  <si>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</si>
  <si>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</si>
  <si>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</si>
  <si>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</si>
  <si>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</si>
  <si>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</si>
  <si>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</si>
  <si>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</si>
  <si>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</si>
  <si>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</si>
  <si>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</si>
  <si>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</si>
  <si>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</si>
  <si>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</si>
  <si>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</si>
  <si>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</si>
  <si>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</si>
  <si>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</si>
  <si>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</si>
  <si>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</si>
  <si>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</si>
  <si>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</si>
  <si>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</si>
  <si>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</si>
  <si>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</si>
  <si>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</si>
  <si>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</si>
  <si>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</si>
  <si>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</si>
  <si>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</si>
  <si>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</si>
  <si>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</si>
  <si>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</si>
  <si>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</si>
  <si>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</si>
  <si>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</si>
  <si>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</si>
  <si>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</si>
  <si>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</si>
  <si>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</si>
  <si>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</si>
  <si>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</si>
  <si>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</si>
  <si>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</si>
  <si>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</si>
  <si>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</si>
  <si>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</si>
  <si>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</si>
  <si>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</si>
  <si>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</si>
  <si>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</si>
  <si>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</si>
  <si>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</si>
  <si>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</si>
  <si>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</si>
  <si>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</si>
  <si>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</si>
  <si>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</si>
  <si>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</si>
  <si>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</si>
  <si>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</si>
  <si>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</si>
  <si>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</si>
  <si>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</si>
  <si>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</si>
  <si>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</si>
  <si>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</si>
  <si>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</si>
  <si>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</si>
  <si>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</si>
  <si>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</si>
  <si>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</si>
  <si>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</si>
  <si>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</si>
  <si>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</si>
  <si>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</si>
  <si>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</si>
  <si>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</si>
  <si>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</si>
  <si>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</si>
  <si>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</si>
  <si>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</si>
  <si>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</si>
  <si>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</si>
  <si>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</si>
  <si>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</si>
  <si>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</si>
  <si>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</si>
  <si>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</si>
  <si>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</si>
  <si>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</si>
  <si>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</si>
  <si>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</si>
  <si>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</si>
  <si>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</si>
  <si>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</si>
  <si>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</si>
  <si>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</si>
  <si>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</si>
  <si>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</si>
  <si>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</si>
  <si>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</si>
  <si>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</si>
  <si>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</si>
  <si>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</si>
  <si>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</si>
  <si>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</si>
  <si>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</si>
  <si>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</si>
  <si>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</si>
  <si>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</si>
  <si>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</si>
  <si>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</si>
  <si>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</si>
  <si>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</si>
  <si>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</si>
  <si>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</si>
  <si>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</si>
  <si>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</si>
  <si>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</si>
  <si>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</si>
  <si>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</si>
  <si>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</si>
  <si>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</si>
  <si>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</si>
  <si>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</si>
  <si>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</si>
  <si>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</si>
  <si>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</si>
  <si>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</si>
  <si>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</si>
  <si>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</si>
  <si>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</si>
  <si>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</si>
  <si>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</si>
  <si>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</si>
  <si>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</si>
  <si>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</si>
  <si>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</si>
  <si>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</si>
  <si>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</si>
  <si>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</si>
  <si>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</si>
  <si>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</si>
  <si>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</si>
  <si>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</si>
  <si>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</si>
  <si>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</si>
  <si>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</si>
  <si>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</si>
  <si>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</si>
  <si>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</si>
  <si>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</si>
  <si>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</si>
  <si>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</si>
  <si>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</si>
  <si>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</si>
  <si>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</si>
  <si>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</si>
  <si>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</si>
  <si>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</si>
  <si>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</si>
  <si>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</si>
  <si>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</si>
  <si>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</si>
  <si>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</si>
  <si>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</si>
  <si>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</si>
  <si>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</si>
  <si>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</si>
  <si>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</si>
  <si>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</si>
  <si>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</si>
  <si>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</si>
  <si>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</si>
  <si>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</si>
  <si>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</si>
  <si>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</si>
  <si>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</si>
  <si>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</si>
  <si>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</si>
  <si>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</si>
  <si>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</si>
  <si>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</si>
  <si>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</si>
  <si>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</si>
  <si>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</si>
  <si>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</si>
  <si>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</si>
  <si>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</si>
  <si>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</si>
  <si>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</si>
  <si>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</si>
  <si>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</si>
  <si>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</si>
  <si>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</si>
  <si>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</si>
  <si>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</si>
  <si>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</si>
  <si>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</si>
  <si>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</si>
  <si>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</si>
  <si>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</si>
  <si>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</si>
  <si>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</si>
  <si>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</si>
  <si>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</si>
  <si>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</si>
  <si>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</si>
  <si>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</si>
  <si>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</si>
  <si>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</si>
  <si>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</si>
  <si>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</si>
  <si>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</si>
  <si>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</si>
  <si>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</si>
  <si>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</si>
  <si>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</si>
  <si>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</si>
  <si>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</si>
  <si>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</si>
  <si>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</si>
  <si>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</si>
  <si>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</si>
  <si>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</si>
  <si>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</si>
  <si>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</si>
  <si>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</si>
  <si>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</si>
  <si>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</si>
  <si>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</si>
  <si>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</si>
  <si>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</si>
  <si>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</si>
  <si>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</si>
  <si>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</si>
  <si>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</si>
  <si>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</si>
  <si>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</si>
  <si>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</si>
  <si>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</si>
  <si>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</si>
  <si>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</si>
  <si>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</si>
  <si>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</si>
  <si>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</si>
  <si>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</si>
  <si>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</si>
  <si>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</si>
  <si>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</si>
  <si>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</si>
  <si>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</si>
  <si>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</si>
  <si>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</si>
  <si>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</si>
  <si>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</si>
  <si>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</si>
  <si>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</si>
  <si>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</si>
  <si>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</si>
  <si>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</si>
  <si>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</si>
  <si>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</si>
  <si>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</si>
  <si>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</si>
  <si>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</si>
  <si>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</si>
  <si>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</si>
  <si>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</si>
  <si>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</si>
  <si>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</si>
  <si>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</si>
  <si>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</si>
  <si>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</si>
  <si>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</si>
  <si>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</si>
  <si>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</si>
  <si>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</si>
  <si>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</si>
  <si>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</si>
  <si>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</si>
  <si>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</si>
  <si>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</si>
  <si>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</si>
  <si>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</si>
  <si>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</si>
  <si>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</si>
  <si>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</si>
  <si>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</si>
  <si>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</si>
  <si>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</si>
  <si>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</si>
  <si>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</si>
  <si>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</si>
  <si>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</si>
  <si>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</si>
  <si>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</si>
  <si>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</si>
  <si>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</si>
  <si>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</si>
  <si>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</si>
  <si>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</si>
  <si>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</si>
  <si>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</si>
  <si>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</si>
  <si>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</si>
  <si>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</si>
  <si>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</si>
  <si>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</si>
  <si>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</si>
  <si>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</si>
  <si>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</si>
  <si>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</si>
  <si>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</si>
  <si>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</si>
  <si>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</si>
  <si>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</si>
  <si>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</si>
  <si>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</si>
  <si>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</si>
  <si>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</si>
  <si>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</si>
  <si>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</si>
  <si>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</si>
  <si>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</si>
  <si>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</si>
  <si>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</si>
  <si>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</si>
  <si>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</si>
  <si>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</si>
  <si>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</si>
  <si>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</si>
  <si>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</si>
  <si>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</si>
  <si>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</si>
  <si>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</si>
  <si>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</si>
  <si>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</si>
  <si>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</si>
  <si>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</si>
  <si>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</si>
  <si>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</si>
  <si>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</si>
  <si>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</si>
  <si>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</si>
  <si>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</si>
  <si>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</si>
  <si>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</si>
  <si>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</si>
  <si>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</si>
  <si>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</si>
  <si>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</si>
  <si>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</si>
  <si>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</si>
  <si>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</si>
  <si>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</si>
  <si>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</si>
  <si>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</si>
  <si>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</si>
  <si>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</si>
  <si>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</si>
  <si>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</si>
  <si>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</si>
  <si>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</si>
  <si>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</si>
  <si>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</si>
  <si>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</si>
  <si>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</si>
  <si>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</si>
  <si>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</si>
  <si>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</si>
  <si>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</si>
  <si>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</si>
  <si>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</si>
  <si>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</si>
  <si>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</si>
  <si>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</si>
  <si>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</si>
  <si>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</si>
  <si>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</si>
  <si>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</si>
  <si>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</si>
  <si>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</si>
  <si>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</si>
  <si>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</si>
  <si>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</si>
  <si>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</si>
  <si>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</si>
  <si>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</si>
  <si>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</si>
  <si>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</si>
  <si>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</si>
  <si>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</si>
  <si>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</si>
  <si>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</si>
  <si>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</si>
  <si>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</si>
  <si>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</si>
  <si>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</si>
  <si>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</si>
  <si>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</si>
  <si>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</si>
  <si>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</si>
  <si>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</si>
  <si>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</si>
  <si>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</si>
  <si>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</si>
  <si>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</si>
  <si>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</si>
  <si>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</si>
  <si>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</si>
  <si>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</si>
  <si>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</si>
  <si>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</si>
  <si>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</si>
  <si>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</si>
  <si>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</si>
  <si>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</si>
  <si>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</si>
  <si>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</si>
  <si>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</si>
  <si>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</si>
  <si>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</si>
  <si>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</si>
  <si>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</si>
  <si>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</si>
  <si>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</si>
  <si>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</si>
  <si>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</si>
  <si>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</si>
  <si>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</si>
  <si>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</si>
  <si>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</si>
  <si>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</si>
  <si>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</si>
  <si>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</si>
  <si>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</si>
  <si>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</si>
  <si>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</si>
  <si>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</si>
  <si>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</si>
  <si>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</si>
  <si>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</si>
  <si>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</si>
  <si>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</si>
  <si>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</si>
  <si>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</si>
  <si>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</si>
  <si>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</si>
  <si>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</si>
  <si>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</si>
  <si>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</si>
  <si>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</si>
  <si>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</si>
  <si>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</si>
  <si>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</si>
  <si>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</si>
  <si>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</si>
  <si>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</si>
  <si>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</si>
  <si>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</si>
  <si>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</si>
  <si>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</si>
  <si>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</si>
  <si>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</si>
  <si>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</si>
  <si>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</si>
  <si>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</si>
  <si>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</si>
  <si>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</si>
  <si>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</si>
  <si>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</si>
  <si>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</si>
  <si>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</si>
  <si>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</si>
  <si>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</si>
  <si>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</si>
  <si>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</si>
  <si>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</si>
  <si>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</si>
  <si>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</si>
  <si>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</si>
  <si>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</si>
  <si>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</si>
  <si>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</si>
  <si>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</si>
  <si>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</si>
  <si>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</si>
  <si>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</si>
  <si>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</si>
  <si>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</si>
  <si>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</si>
  <si>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</si>
  <si>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</si>
  <si>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</si>
  <si>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</si>
  <si>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</si>
  <si>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</si>
  <si>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</si>
  <si>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</si>
  <si>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</si>
  <si>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</si>
  <si>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</si>
  <si>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</si>
  <si>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</si>
  <si>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</si>
  <si>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</si>
  <si>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</si>
  <si>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</si>
  <si>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</si>
  <si>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</si>
  <si>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</si>
  <si>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</si>
  <si>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</si>
  <si>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</si>
  <si>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</si>
  <si>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</si>
  <si>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</si>
  <si>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</si>
  <si>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</si>
  <si>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</si>
  <si>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</si>
  <si>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</si>
  <si>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</si>
  <si>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</si>
  <si>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</si>
  <si>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</si>
  <si>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</si>
  <si>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</si>
  <si>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</si>
  <si>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</si>
  <si>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</si>
  <si>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</si>
  <si>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</si>
  <si>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</si>
  <si>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</si>
  <si>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</si>
  <si>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</si>
  <si>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</si>
  <si>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</si>
  <si>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</si>
  <si>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</si>
  <si>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</si>
  <si>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</si>
  <si>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</si>
  <si>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</si>
  <si>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</si>
  <si>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</si>
  <si>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</si>
  <si>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</si>
  <si>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</si>
  <si>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</si>
  <si>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</si>
  <si>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</si>
  <si>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</si>
  <si>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</si>
  <si>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</si>
  <si>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</si>
  <si>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</si>
  <si>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</si>
  <si>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</si>
  <si>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</si>
  <si>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</si>
  <si>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</si>
  <si>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</si>
  <si>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</si>
  <si>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</si>
  <si>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</si>
  <si>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</si>
  <si>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</si>
  <si>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</si>
  <si>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</si>
  <si>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</si>
  <si>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</si>
  <si>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</si>
  <si>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</si>
  <si>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</si>
  <si>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</si>
  <si>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</si>
  <si>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</si>
  <si>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</si>
  <si>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</si>
  <si>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</si>
  <si>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</si>
  <si>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</si>
  <si>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</si>
  <si>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</si>
  <si>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</si>
  <si>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</si>
  <si>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</si>
  <si>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</si>
  <si>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</si>
  <si>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</si>
  <si>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</si>
  <si>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</si>
  <si>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</si>
  <si>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</si>
  <si>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</si>
  <si>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</si>
  <si>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</si>
  <si>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</si>
  <si>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</si>
  <si>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</si>
  <si>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</si>
  <si>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</si>
  <si>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</si>
  <si>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</si>
  <si>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</si>
  <si>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</si>
  <si>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</si>
  <si>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</si>
  <si>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</si>
  <si>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</si>
  <si>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</si>
  <si>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</si>
  <si>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</si>
  <si>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</si>
  <si>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</si>
  <si>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</si>
  <si>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</si>
  <si>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</si>
  <si>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</si>
  <si>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</si>
  <si>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</si>
  <si>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</si>
  <si>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</si>
  <si>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</si>
  <si>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</si>
  <si>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</si>
  <si>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</si>
  <si>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</si>
  <si>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</si>
  <si>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</si>
  <si>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</si>
  <si>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</si>
  <si>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</si>
  <si>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</si>
  <si>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</si>
  <si>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</si>
  <si>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</si>
  <si>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</si>
  <si>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</si>
  <si>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</si>
  <si>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</si>
  <si>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</si>
  <si>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</si>
  <si>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</si>
  <si>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</si>
  <si>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</si>
  <si>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</si>
  <si>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</si>
  <si>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</si>
  <si>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</si>
  <si>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</si>
  <si>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</si>
  <si>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</si>
  <si>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</si>
  <si>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</si>
  <si>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</si>
  <si>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</si>
  <si>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</si>
  <si>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</si>
  <si>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</si>
  <si>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</si>
  <si>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</si>
  <si>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</si>
  <si>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</si>
  <si>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</si>
  <si>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</si>
  <si>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</si>
  <si>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</si>
  <si>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</si>
  <si>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</si>
  <si>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</si>
  <si>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</si>
  <si>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</si>
  <si>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</si>
  <si>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</si>
  <si>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</si>
  <si>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</si>
  <si>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</si>
  <si>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</si>
  <si>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</si>
  <si>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</si>
  <si>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</si>
  <si>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</si>
  <si>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</si>
  <si>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</si>
  <si>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</si>
  <si>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</si>
  <si>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</si>
  <si>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</si>
  <si>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</si>
  <si>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</si>
  <si>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</si>
  <si>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</si>
  <si>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</si>
  <si>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</si>
  <si>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</si>
  <si>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</si>
  <si>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</si>
  <si>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</si>
  <si>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</si>
  <si>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</si>
  <si>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</si>
  <si>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</si>
  <si>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</si>
  <si>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</si>
  <si>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</si>
  <si>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</si>
  <si>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</si>
  <si>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</si>
  <si>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</si>
  <si>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</si>
  <si>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</si>
  <si>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</si>
  <si>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</si>
  <si>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</si>
  <si>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</si>
  <si>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</si>
  <si>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</si>
  <si>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</si>
  <si>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</si>
  <si>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</si>
  <si>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</si>
  <si>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</si>
  <si>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</si>
  <si>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</si>
  <si>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</si>
  <si>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</si>
  <si>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</si>
  <si>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</si>
  <si>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</si>
  <si>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</si>
  <si>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</si>
  <si>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</si>
  <si>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</si>
  <si>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</si>
  <si>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</si>
  <si>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</si>
  <si>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</si>
  <si>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</si>
  <si>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</si>
  <si>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</si>
  <si>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</si>
  <si>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</si>
  <si>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</si>
  <si>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</si>
  <si>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</si>
  <si>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</si>
  <si>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</si>
  <si>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</si>
  <si>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</si>
  <si>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</si>
  <si>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</si>
  <si>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</si>
  <si>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</si>
  <si>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</si>
  <si>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</si>
  <si>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</si>
  <si>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</si>
  <si>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</si>
  <si>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</si>
  <si>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</si>
  <si>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</si>
  <si>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</si>
  <si>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</si>
  <si>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</si>
  <si>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</si>
  <si>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</si>
  <si>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</si>
  <si>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</si>
  <si>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</si>
  <si>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</si>
  <si>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</si>
  <si>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</si>
  <si>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</si>
  <si>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</si>
  <si>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</si>
  <si>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</si>
  <si>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</si>
  <si>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</si>
  <si>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</si>
  <si>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</si>
  <si>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</si>
  <si>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</si>
  <si>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</si>
  <si>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</si>
  <si>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</si>
  <si>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</si>
  <si>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</si>
  <si>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</si>
  <si>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</si>
  <si>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</si>
  <si>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</si>
  <si>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</si>
  <si>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</si>
  <si>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</si>
  <si>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</si>
  <si>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</si>
  <si>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</si>
  <si>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</si>
  <si>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</si>
  <si>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</si>
  <si>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</si>
  <si>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</si>
  <si>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</si>
  <si>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</si>
  <si>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</si>
  <si>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</si>
  <si>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</si>
  <si>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</si>
  <si>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</si>
  <si>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</si>
  <si>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</si>
  <si>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</si>
  <si>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</si>
  <si>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</si>
  <si>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</si>
  <si>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</si>
  <si>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</si>
  <si>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</si>
  <si>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</si>
  <si>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</si>
  <si>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</si>
  <si>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</si>
  <si>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</si>
  <si>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</si>
  <si>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</si>
  <si>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</si>
  <si>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</si>
  <si>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</si>
  <si>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</si>
  <si>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</si>
  <si>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</si>
  <si>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</si>
  <si>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</si>
  <si>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</si>
  <si>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</si>
  <si>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</si>
  <si>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</si>
  <si>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</si>
  <si>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</si>
  <si>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</si>
  <si>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</si>
  <si>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</si>
  <si>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</si>
  <si>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</si>
  <si>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</si>
  <si>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</si>
  <si>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</si>
  <si>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</si>
  <si>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</si>
  <si>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</si>
  <si>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</si>
  <si>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</si>
  <si>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</si>
  <si>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</si>
  <si>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</si>
  <si>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</si>
  <si>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</si>
  <si>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</si>
  <si>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</si>
  <si>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</si>
  <si>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</si>
  <si>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</si>
  <si>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</si>
  <si>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</si>
  <si>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</si>
  <si>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</si>
  <si>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</si>
  <si>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</si>
  <si>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</si>
  <si>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</si>
  <si>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</si>
  <si>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</si>
  <si>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</si>
  <si>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</si>
  <si>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</si>
  <si>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</si>
  <si>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</si>
  <si>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</si>
  <si>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</si>
  <si>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</si>
  <si>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</si>
  <si>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</si>
  <si>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</si>
  <si>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</si>
  <si>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</si>
  <si>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</si>
  <si>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</si>
  <si>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</si>
  <si>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</si>
  <si>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</si>
  <si>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</si>
  <si>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</si>
  <si>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</si>
  <si>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</si>
  <si>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</si>
  <si>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</si>
  <si>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</si>
  <si>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</si>
  <si>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</si>
  <si>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</si>
  <si>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</si>
  <si>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</si>
  <si>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</si>
  <si>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</si>
  <si>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</si>
  <si>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</si>
  <si>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</si>
  <si>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</si>
  <si>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</si>
  <si>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</si>
  <si>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</si>
  <si>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</si>
  <si>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</si>
  <si>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</si>
  <si>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</si>
  <si>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</si>
  <si>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</si>
  <si>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</si>
  <si>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</si>
  <si>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</si>
  <si>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</si>
  <si>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</si>
  <si>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</si>
  <si>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</si>
  <si>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</si>
  <si>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</si>
  <si>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</si>
  <si>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</si>
  <si>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</si>
  <si>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</si>
  <si>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</si>
  <si>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</si>
  <si>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</si>
  <si>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</si>
  <si>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</si>
  <si>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</si>
  <si>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</si>
  <si>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</si>
  <si>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</si>
  <si>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</si>
  <si>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</si>
  <si>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</si>
  <si>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</si>
  <si>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</si>
  <si>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</si>
  <si>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</si>
  <si>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</si>
  <si>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</si>
  <si>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</si>
  <si>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</si>
  <si>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</si>
  <si>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</si>
  <si>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</si>
  <si>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</si>
  <si>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</si>
  <si>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</si>
  <si>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</si>
  <si>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</si>
  <si>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</si>
  <si>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</si>
  <si>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</si>
  <si>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</si>
  <si>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</si>
  <si>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</si>
  <si>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</si>
  <si>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</si>
  <si>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</si>
  <si>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</si>
  <si>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</si>
  <si>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</si>
  <si>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</si>
  <si>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</si>
  <si>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</si>
  <si>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</si>
  <si>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</si>
  <si>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</si>
  <si>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</si>
  <si>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</si>
  <si>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</si>
  <si>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</si>
  <si>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</si>
  <si>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</si>
  <si>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</si>
  <si>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</si>
  <si>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</si>
  <si>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</si>
  <si>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</si>
  <si>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</si>
  <si>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</si>
  <si>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</si>
  <si>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</si>
  <si>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</si>
  <si>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</si>
  <si>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</si>
  <si>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</si>
  <si>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</si>
  <si>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</si>
  <si>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</si>
  <si>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</si>
  <si>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</si>
  <si>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</si>
  <si>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</si>
  <si>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</si>
  <si>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</si>
  <si>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</si>
  <si>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</si>
  <si>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</si>
  <si>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</si>
  <si>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</si>
  <si>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</si>
  <si>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</si>
  <si>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</si>
  <si>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</si>
  <si>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</si>
  <si>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</si>
  <si>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</si>
  <si>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</si>
  <si>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</si>
  <si>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</si>
  <si>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</si>
  <si>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</si>
  <si>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</si>
  <si>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</si>
  <si>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</si>
  <si>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</si>
  <si>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</si>
  <si>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</si>
  <si>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</si>
  <si>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</si>
  <si>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</si>
  <si>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</si>
  <si>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</si>
  <si>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</si>
  <si>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</si>
  <si>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</si>
  <si>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</si>
  <si>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</si>
  <si>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</si>
  <si>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</si>
  <si>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</si>
  <si>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</si>
  <si>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</si>
  <si>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</si>
  <si>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</si>
  <si>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</si>
  <si>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</si>
  <si>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</si>
  <si>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</si>
  <si>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</si>
  <si>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</si>
  <si>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</si>
  <si>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</si>
  <si>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</si>
  <si>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</si>
  <si>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</si>
  <si>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</si>
  <si>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</si>
  <si>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</si>
  <si>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</si>
  <si>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</si>
  <si>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</si>
  <si>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</si>
  <si>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</si>
  <si>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</si>
  <si>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</si>
  <si>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</si>
  <si>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</si>
  <si>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</si>
  <si>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</si>
  <si>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</si>
  <si>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</si>
  <si>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</si>
  <si>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</si>
  <si>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</si>
  <si>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</si>
  <si>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</si>
  <si>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</si>
  <si>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</si>
  <si>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</si>
  <si>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</si>
  <si>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</si>
  <si>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</si>
  <si>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</si>
  <si>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</si>
  <si>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</si>
  <si>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</si>
  <si>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</si>
  <si>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</si>
  <si>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</si>
  <si>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</si>
  <si>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</si>
  <si>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</si>
  <si>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</si>
  <si>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</si>
  <si>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</si>
  <si>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</si>
  <si>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</si>
  <si>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</si>
  <si>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</si>
  <si>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</si>
  <si>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</si>
  <si>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</si>
  <si>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</si>
  <si>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</si>
  <si>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</si>
  <si>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</si>
  <si>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</si>
  <si>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</si>
  <si>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</si>
  <si>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</si>
  <si>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</si>
  <si>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</si>
  <si>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</si>
  <si>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</si>
  <si>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</si>
  <si>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</si>
  <si>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</si>
  <si>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</si>
  <si>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</si>
  <si>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</si>
  <si>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</si>
  <si>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</si>
  <si>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</si>
  <si>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</si>
  <si>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</si>
  <si>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</si>
  <si>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</si>
  <si>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</si>
  <si>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</si>
  <si>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</si>
  <si>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</si>
  <si>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</si>
  <si>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</si>
  <si>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</si>
  <si>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</si>
  <si>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</si>
  <si>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</si>
  <si>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</si>
  <si>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</si>
  <si>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</si>
  <si>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</si>
  <si>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</si>
  <si>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</si>
  <si>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</si>
  <si>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</si>
  <si>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</si>
  <si>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</si>
  <si>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</si>
  <si>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</si>
  <si>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</si>
  <si>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</si>
  <si>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</si>
  <si>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</si>
  <si>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</si>
  <si>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</si>
  <si>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</si>
  <si>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</si>
  <si>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</si>
  <si>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</si>
  <si>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</si>
  <si>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</si>
  <si>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</si>
  <si>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</si>
  <si>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</si>
  <si>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</si>
  <si>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</si>
  <si>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</si>
  <si>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</si>
  <si>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</si>
  <si>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</si>
  <si>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</si>
  <si>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</si>
  <si>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</si>
  <si>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</si>
  <si>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</si>
  <si>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</si>
  <si>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</si>
  <si>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</si>
  <si>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</si>
  <si>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</si>
  <si>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</si>
  <si>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</si>
  <si>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</si>
  <si>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</si>
  <si>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</si>
  <si>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</si>
  <si>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</si>
  <si>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</si>
  <si>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</si>
  <si>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</si>
  <si>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</si>
  <si>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</si>
  <si>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</si>
  <si>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</si>
  <si>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</si>
  <si>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</si>
  <si>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</si>
  <si>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</si>
  <si>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</si>
  <si>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</si>
  <si>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</si>
  <si>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</si>
  <si>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</si>
  <si>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</si>
  <si>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</si>
  <si>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</si>
  <si>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</si>
  <si>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</si>
  <si>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</si>
  <si>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</si>
  <si>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</si>
  <si>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</si>
  <si>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</si>
  <si>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</si>
  <si>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</si>
  <si>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</si>
  <si>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</si>
  <si>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</si>
  <si>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</si>
  <si>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</si>
  <si>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</si>
  <si>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</si>
  <si>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</si>
  <si>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</si>
  <si>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</si>
  <si>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</si>
  <si>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</si>
  <si>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</si>
  <si>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</si>
  <si>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</si>
  <si>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</si>
  <si>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</si>
  <si>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</si>
  <si>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</si>
  <si>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</si>
  <si>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</si>
  <si>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</si>
  <si>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</si>
  <si>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</si>
  <si>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</si>
  <si>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</si>
  <si>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</si>
  <si>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</si>
  <si>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</si>
  <si>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</si>
  <si>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</si>
  <si>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</si>
  <si>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</si>
  <si>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</si>
  <si>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</si>
  <si>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</si>
  <si>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</si>
  <si>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</si>
  <si>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</si>
  <si>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</si>
  <si>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</si>
  <si>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</si>
  <si>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</si>
  <si>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</si>
  <si>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</si>
  <si>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</si>
  <si>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</si>
  <si>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</si>
  <si>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</si>
  <si>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</si>
  <si>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</si>
  <si>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</si>
  <si>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</si>
  <si>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</si>
  <si>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</si>
  <si>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</si>
  <si>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</si>
  <si>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</si>
  <si>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</si>
  <si>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</si>
  <si>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</si>
  <si>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</si>
  <si>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</si>
  <si>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</si>
  <si>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</si>
  <si>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</si>
  <si>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</si>
  <si>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</si>
  <si>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</si>
  <si>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</si>
  <si>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</si>
  <si>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</si>
  <si>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</si>
  <si>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</si>
  <si>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</si>
  <si>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</si>
  <si>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</si>
  <si>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</si>
  <si>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</si>
  <si>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</si>
  <si>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</si>
  <si>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</si>
  <si>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</si>
  <si>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</si>
  <si>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</si>
  <si>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</si>
  <si>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</si>
  <si>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</si>
  <si>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</si>
  <si>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</si>
  <si>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</si>
  <si>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</si>
  <si>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</si>
  <si>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</si>
  <si>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</si>
  <si>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</si>
  <si>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</si>
  <si>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</si>
  <si>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</si>
  <si>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</si>
  <si>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</si>
  <si>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</si>
  <si>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</si>
  <si>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</si>
  <si>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</si>
  <si>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</si>
  <si>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</si>
  <si>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</si>
  <si>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</si>
  <si>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</si>
  <si>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</si>
  <si>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</si>
  <si>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</si>
  <si>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</si>
  <si>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</si>
  <si>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</si>
  <si>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</si>
  <si>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</si>
  <si>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</si>
  <si>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</si>
  <si>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</si>
  <si>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</si>
  <si>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</si>
  <si>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</si>
  <si>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</si>
  <si>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</si>
  <si>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</si>
  <si>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</si>
  <si>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</si>
  <si>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</si>
  <si>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</si>
  <si>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</si>
  <si>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</si>
  <si>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</si>
  <si>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</si>
  <si>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</si>
  <si>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</si>
  <si>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</si>
  <si>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</si>
  <si>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</si>
  <si>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</si>
  <si>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</si>
  <si>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</si>
  <si>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</si>
  <si>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</si>
  <si>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</si>
  <si>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</si>
  <si>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</si>
  <si>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</si>
  <si>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</si>
  <si>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</si>
  <si>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</si>
  <si>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</si>
  <si>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</si>
  <si>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</si>
  <si>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</si>
  <si>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</si>
  <si>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</si>
  <si>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</si>
  <si>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</si>
  <si>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</si>
  <si>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</si>
  <si>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</si>
  <si>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</si>
  <si>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</si>
  <si>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</si>
  <si>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</si>
  <si>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</si>
  <si>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</si>
  <si>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</si>
  <si>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</si>
  <si>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</si>
  <si>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</si>
  <si>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</si>
  <si>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</si>
  <si>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</si>
  <si>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</si>
  <si>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</si>
  <si>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</si>
  <si>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</si>
  <si>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</si>
  <si>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</si>
  <si>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</si>
  <si>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</si>
  <si>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</si>
  <si>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</si>
  <si>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</si>
  <si>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</si>
  <si>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</si>
  <si>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</si>
  <si>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</si>
  <si>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</si>
  <si>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</si>
  <si>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</si>
  <si>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</si>
  <si>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</si>
  <si>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</si>
  <si>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</si>
  <si>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</si>
  <si>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</si>
  <si>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</si>
  <si>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</si>
  <si>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</si>
  <si>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</si>
  <si>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</si>
  <si>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</si>
  <si>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</si>
  <si>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</si>
  <si>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</si>
  <si>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</si>
  <si>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</si>
  <si>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</si>
  <si>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</si>
  <si>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</si>
  <si>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</si>
  <si>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</si>
  <si>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</si>
  <si>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</si>
  <si>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</si>
  <si>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</si>
  <si>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</si>
  <si>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</si>
  <si>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</si>
  <si>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</si>
  <si>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</si>
  <si>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</si>
  <si>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</si>
  <si>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</si>
  <si>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</si>
  <si>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</si>
  <si>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</si>
  <si>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</si>
  <si>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</si>
  <si>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</si>
  <si>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</si>
  <si>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</si>
  <si>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</si>
  <si>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</si>
  <si>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</si>
  <si>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</si>
  <si>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</si>
  <si>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</si>
  <si>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</si>
  <si>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</si>
  <si>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</si>
  <si>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</si>
  <si>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</si>
  <si>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</si>
  <si>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</si>
  <si>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</si>
  <si>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</si>
  <si>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</si>
  <si>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</si>
  <si>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</si>
  <si>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</si>
  <si>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</si>
  <si>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</si>
  <si>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</si>
  <si>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</si>
  <si>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</si>
  <si>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</si>
  <si>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</si>
  <si>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</si>
  <si>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</si>
  <si>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</si>
  <si>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</si>
  <si>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</si>
  <si>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</si>
  <si>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</si>
  <si>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</si>
  <si>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</si>
  <si>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</si>
  <si>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</si>
  <si>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</si>
  <si>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</si>
  <si>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</si>
  <si>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</si>
  <si>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</si>
  <si>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</si>
  <si>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</si>
  <si>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</si>
  <si>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</si>
  <si>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</si>
  <si>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</si>
  <si>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</si>
  <si>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</si>
  <si>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</si>
  <si>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</si>
  <si>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</si>
  <si>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</si>
  <si>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</si>
  <si>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</si>
  <si>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</si>
  <si>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</si>
  <si>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</si>
  <si>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</si>
  <si>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</si>
  <si>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</si>
  <si>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</si>
  <si>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</si>
  <si>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</si>
  <si>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</si>
  <si>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</si>
  <si>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</si>
  <si>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</si>
  <si>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</si>
  <si>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</si>
  <si>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</si>
  <si>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</si>
  <si>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</si>
  <si>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</si>
  <si>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</si>
  <si>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</si>
  <si>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</si>
  <si>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</si>
  <si>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</si>
  <si>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</si>
  <si>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</si>
  <si>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</si>
  <si>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</si>
  <si>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</si>
  <si>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</si>
  <si>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</si>
  <si>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</si>
  <si>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</si>
  <si>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</si>
  <si>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</si>
  <si>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</si>
  <si>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</si>
  <si>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</si>
  <si>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</si>
  <si>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</si>
  <si>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</si>
  <si>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</si>
  <si>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</si>
  <si>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</si>
  <si>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</si>
  <si>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</si>
  <si>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</si>
  <si>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</si>
  <si>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</si>
  <si>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</si>
  <si>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</si>
  <si>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</si>
  <si>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</si>
  <si>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</si>
  <si>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</si>
  <si>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</si>
  <si>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</si>
  <si>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</si>
  <si>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</si>
  <si>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</si>
  <si>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</si>
  <si>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</si>
  <si>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</si>
  <si>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</si>
  <si>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</si>
  <si>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</si>
  <si>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</si>
  <si>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</si>
  <si>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</si>
  <si>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</si>
  <si>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</si>
  <si>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</si>
  <si>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</si>
  <si>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</si>
  <si>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</si>
  <si>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</si>
  <si>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</si>
  <si>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</si>
  <si>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</si>
  <si>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</si>
  <si>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</si>
  <si>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</si>
  <si>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</si>
  <si>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</si>
  <si>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</si>
  <si>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</si>
  <si>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</si>
  <si>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</si>
  <si>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</si>
  <si>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</si>
  <si>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</si>
  <si>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</si>
  <si>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</si>
  <si>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</si>
  <si>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</si>
  <si>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</si>
  <si>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</si>
  <si>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</si>
  <si>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</si>
  <si>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</si>
  <si>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</si>
  <si>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</si>
  <si>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</si>
  <si>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</si>
  <si>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</si>
  <si>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</si>
  <si>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</si>
  <si>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</si>
  <si>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</si>
  <si>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</si>
  <si>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</si>
  <si>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</si>
  <si>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</si>
  <si>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</si>
  <si>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</si>
  <si>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</si>
  <si>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</si>
  <si>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</si>
  <si>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</si>
  <si>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</si>
  <si>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</si>
  <si>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</si>
  <si>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</si>
  <si>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</si>
  <si>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</si>
  <si>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</si>
  <si>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</si>
  <si>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</si>
  <si>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</si>
  <si>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</si>
  <si>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</si>
  <si>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</si>
  <si>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</si>
  <si>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</si>
  <si>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</si>
  <si>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</si>
  <si>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</si>
  <si>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</si>
  <si>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</si>
  <si>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</si>
  <si>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</si>
  <si>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</si>
  <si>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</si>
  <si>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</si>
  <si>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</si>
  <si>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</si>
  <si>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</si>
  <si>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</si>
  <si>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</si>
  <si>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</si>
  <si>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</si>
  <si>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</si>
  <si>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</si>
  <si>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</si>
  <si>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</si>
  <si>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</si>
  <si>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</si>
  <si>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</si>
  <si>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</si>
  <si>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</si>
  <si>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</si>
  <si>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</si>
  <si>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</si>
  <si>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</si>
  <si>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</si>
  <si>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</si>
  <si>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</si>
  <si>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</si>
  <si>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</si>
  <si>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</si>
  <si>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</si>
  <si>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</si>
  <si>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</si>
  <si>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</si>
  <si>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</si>
  <si>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</si>
  <si>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</si>
  <si>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</si>
  <si>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</si>
  <si>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</si>
  <si>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</si>
  <si>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</si>
  <si>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</si>
  <si>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</si>
  <si>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</si>
  <si>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</si>
  <si>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</si>
  <si>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</si>
  <si>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</si>
  <si>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</si>
  <si>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</si>
  <si>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</si>
  <si>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</si>
  <si>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</si>
  <si>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</si>
  <si>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</si>
  <si>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</si>
  <si>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</si>
  <si>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</si>
  <si>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</si>
  <si>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</si>
  <si>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</si>
  <si>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</si>
  <si>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</si>
  <si>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</si>
  <si>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</si>
  <si>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</si>
  <si>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</si>
  <si>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</si>
  <si>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</si>
  <si>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</si>
  <si>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</si>
  <si>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</si>
  <si>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</si>
  <si>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</si>
  <si>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</si>
  <si>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</si>
  <si>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</si>
  <si>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</si>
  <si>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</si>
  <si>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</si>
  <si>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</si>
  <si>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</si>
  <si>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</si>
  <si>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</si>
  <si>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</si>
  <si>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</si>
  <si>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</si>
  <si>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</si>
  <si>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</si>
  <si>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</si>
  <si>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</si>
  <si>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</si>
  <si>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</si>
  <si>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</si>
  <si>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</si>
  <si>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</si>
  <si>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</si>
  <si>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</si>
  <si>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</si>
  <si>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</si>
  <si>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</si>
  <si>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</si>
  <si>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</si>
  <si>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</si>
  <si>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</si>
  <si>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</si>
  <si>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</si>
  <si>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</si>
  <si>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</si>
  <si>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</si>
  <si>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</si>
  <si>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</si>
  <si>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</si>
  <si>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</si>
  <si>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</si>
  <si>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</si>
  <si>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</si>
  <si>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</si>
  <si>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</si>
  <si>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</si>
  <si>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</si>
  <si>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</si>
  <si>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</si>
  <si>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</si>
  <si>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</si>
  <si>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</si>
  <si>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</si>
  <si>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</si>
  <si>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</si>
  <si>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</si>
  <si>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</si>
  <si>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</si>
  <si>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</si>
  <si>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</si>
  <si>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</si>
  <si>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</si>
  <si>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</si>
  <si>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</si>
  <si>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</si>
  <si>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</si>
  <si>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</si>
  <si>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</si>
  <si>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</si>
  <si>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</si>
  <si>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</si>
  <si>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</si>
  <si>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</si>
  <si>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</si>
  <si>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</si>
  <si>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</si>
  <si>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</si>
  <si>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</si>
  <si>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</si>
  <si>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</si>
  <si>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</si>
  <si>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</si>
  <si>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</si>
  <si>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</si>
  <si>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</si>
  <si>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</si>
  <si>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</si>
  <si>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</si>
  <si>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</si>
  <si>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</si>
  <si>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</si>
  <si>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</si>
  <si>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</si>
  <si>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</si>
  <si>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</si>
  <si>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</si>
  <si>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</si>
  <si>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</si>
  <si>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</si>
  <si>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</si>
  <si>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</si>
  <si>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</si>
  <si>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</si>
  <si>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</si>
  <si>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</si>
  <si>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</si>
  <si>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</si>
  <si>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</si>
  <si>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</si>
  <si>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</si>
  <si>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</si>
  <si>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</si>
  <si>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</si>
  <si>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</si>
  <si>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</si>
  <si>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</si>
  <si>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</si>
  <si>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</si>
  <si>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</si>
  <si>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</si>
  <si>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</si>
  <si>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</si>
  <si>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</si>
  <si>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</si>
  <si>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</si>
  <si>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</si>
  <si>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</si>
  <si>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</si>
  <si>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</si>
  <si>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</si>
  <si>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</si>
  <si>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</si>
  <si>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</si>
  <si>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</si>
  <si>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</si>
  <si>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</si>
  <si>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</si>
  <si>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</si>
  <si>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</si>
  <si>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</si>
  <si>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</si>
  <si>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</si>
  <si>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</si>
  <si>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</si>
  <si>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</si>
  <si>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</si>
  <si>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</si>
  <si>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</si>
  <si>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</si>
  <si>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</si>
  <si>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</si>
  <si>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</si>
  <si>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</si>
  <si>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</si>
  <si>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</si>
  <si>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</si>
  <si>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</si>
  <si>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</si>
  <si>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</si>
  <si>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</si>
  <si>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</si>
  <si>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</si>
  <si>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</si>
  <si>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</si>
  <si>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</si>
  <si>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</si>
  <si>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</si>
  <si>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</si>
  <si>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</si>
  <si>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</si>
  <si>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</si>
  <si>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</si>
  <si>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</si>
  <si>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</si>
  <si>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</si>
  <si>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</si>
  <si>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</si>
  <si>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</si>
  <si>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</si>
  <si>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</si>
  <si>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</si>
  <si>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</si>
  <si>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</si>
  <si>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</si>
  <si>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</si>
  <si>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</si>
  <si>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</si>
  <si>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</si>
  <si>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</si>
  <si>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</si>
  <si>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</si>
  <si>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</si>
  <si>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</si>
  <si>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</si>
  <si>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</si>
  <si>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</si>
  <si>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</si>
  <si>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</si>
  <si>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</si>
  <si>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</si>
  <si>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</si>
  <si>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</si>
  <si>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</si>
  <si>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</si>
  <si>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</si>
  <si>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</si>
  <si>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</si>
  <si>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</si>
  <si>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</si>
  <si>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</si>
  <si>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</si>
  <si>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</si>
  <si>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</si>
  <si>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</si>
  <si>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</si>
  <si>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</si>
  <si>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</si>
  <si>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</si>
  <si>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</si>
  <si>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</si>
  <si>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</si>
  <si>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</si>
  <si>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</si>
  <si>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</si>
  <si>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</si>
  <si>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</si>
  <si>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</si>
  <si>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</si>
  <si>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</si>
  <si>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</si>
  <si>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</si>
  <si>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</si>
  <si>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</si>
  <si>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</si>
  <si>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</si>
  <si>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</si>
  <si>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</si>
  <si>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</si>
  <si>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</si>
  <si>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</si>
  <si>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</si>
  <si>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</si>
  <si>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</si>
  <si>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</si>
  <si>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</si>
  <si>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</si>
  <si>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</si>
  <si>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</si>
  <si>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</si>
  <si>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</si>
  <si>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</si>
  <si>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</si>
  <si>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</si>
  <si>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</si>
  <si>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</si>
  <si>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</si>
  <si>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</si>
  <si>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</si>
  <si>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</si>
  <si>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</si>
  <si>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</si>
  <si>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</si>
  <si>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</si>
  <si>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</si>
  <si>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</si>
  <si>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</si>
  <si>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</si>
  <si>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</si>
  <si>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</si>
  <si>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</si>
  <si>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</si>
  <si>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</si>
  <si>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</si>
  <si>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</si>
  <si>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</si>
  <si>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</si>
  <si>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</si>
  <si>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</si>
  <si>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</si>
  <si>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</si>
  <si>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</si>
  <si>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</si>
  <si>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</si>
  <si>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</si>
  <si>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</si>
  <si>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</si>
  <si>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</si>
  <si>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</si>
  <si>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</si>
  <si>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</si>
  <si>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</si>
  <si>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</si>
  <si>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</si>
  <si>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</si>
  <si>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</si>
  <si>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</si>
  <si>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</si>
  <si>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</si>
  <si>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</si>
  <si>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</si>
  <si>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</si>
  <si>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</si>
  <si>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</si>
  <si>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</si>
  <si>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</si>
  <si>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</si>
  <si>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</si>
  <si>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</si>
  <si>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</si>
  <si>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</si>
  <si>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</si>
  <si>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</si>
  <si>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</si>
  <si>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</si>
  <si>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</si>
  <si>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</si>
  <si>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</si>
  <si>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</si>
  <si>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</si>
  <si>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</si>
  <si>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</si>
  <si>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</si>
  <si>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</si>
  <si>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</si>
  <si>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</si>
  <si>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</si>
  <si>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</si>
  <si>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</si>
  <si>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</si>
  <si>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</si>
  <si>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</si>
  <si>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</si>
  <si>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</si>
  <si>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</si>
  <si>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</si>
  <si>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</si>
  <si>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</si>
  <si>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</si>
  <si>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</si>
  <si>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</si>
  <si>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</si>
  <si>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</si>
  <si>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</si>
  <si>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</si>
  <si>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</si>
  <si>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</si>
  <si>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</si>
  <si>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</si>
  <si>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</si>
  <si>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</si>
  <si>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</si>
  <si>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</si>
  <si>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</si>
  <si>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</si>
  <si>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</si>
  <si>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</si>
  <si>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</si>
  <si>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</si>
  <si>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</si>
  <si>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</si>
  <si>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</si>
  <si>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</si>
  <si>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</si>
  <si>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</si>
  <si>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</si>
  <si>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</si>
  <si>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</si>
  <si>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</si>
  <si>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</si>
  <si>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</si>
  <si>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</si>
  <si>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</si>
  <si>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</si>
  <si>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</si>
  <si>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</si>
  <si>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</si>
  <si>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</si>
  <si>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</si>
  <si>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</si>
  <si>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</si>
  <si>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</si>
  <si>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</si>
  <si>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</si>
  <si>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</si>
  <si>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王鹏</t>
  </si>
  <si>
    <t>北京道乐科技发展有限公司</t>
    <phoneticPr fontId="6" type="noConversion"/>
  </si>
  <si>
    <t>抵押</t>
  </si>
  <si>
    <t>房地产抵押价值</t>
  </si>
  <si>
    <t>北京市</t>
  </si>
  <si>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</si>
  <si>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</si>
  <si>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</si>
  <si>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车位，商业</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</si>
  <si>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年，车位</t>
    </r>
    <r>
      <rPr>
        <sz val="12"/>
        <color theme="9" tint="-0.249977111117893"/>
        <rFont val="Arial"/>
        <family val="2"/>
      </rPr>
      <t>36.6</t>
    </r>
    <r>
      <rPr>
        <sz val="12"/>
        <color theme="9" tint="-0.249977111117893"/>
        <rFont val="宋体"/>
        <family val="3"/>
        <charset val="134"/>
      </rPr>
      <t>年</t>
    </r>
    <phoneticPr fontId="6" type="noConversion"/>
  </si>
  <si>
    <t>是</t>
  </si>
  <si>
    <t>否</t>
  </si>
  <si>
    <t>地上</t>
  </si>
  <si>
    <t>底商</t>
  </si>
  <si>
    <t>地下</t>
  </si>
  <si>
    <t>车库</t>
  </si>
  <si>
    <t>商业</t>
    <phoneticPr fontId="3" type="noConversion"/>
  </si>
  <si>
    <t>车位</t>
  </si>
  <si>
    <t>车位</t>
    <phoneticPr fontId="3" type="noConversion"/>
  </si>
  <si>
    <t>成新度</t>
  </si>
  <si>
    <t>（-2）层</t>
  </si>
  <si>
    <t>楼层</t>
    <phoneticPr fontId="143" type="noConversion"/>
  </si>
  <si>
    <t>面积</t>
    <phoneticPr fontId="143" type="noConversion"/>
  </si>
  <si>
    <t>租金</t>
    <phoneticPr fontId="143" type="noConversion"/>
  </si>
  <si>
    <t>（-1）层</t>
  </si>
  <si>
    <t>合计</t>
    <phoneticPr fontId="143" type="noConversion"/>
  </si>
  <si>
    <t>是否在租</t>
  </si>
  <si>
    <t>是否重复</t>
  </si>
  <si>
    <t>行标签</t>
  </si>
  <si>
    <t>求和项:计租面积</t>
  </si>
  <si>
    <t>求和项:加权平均日租金</t>
  </si>
  <si>
    <t>求和项:租金*面积</t>
  </si>
  <si>
    <t>计数项:租户</t>
  </si>
  <si>
    <t>总计</t>
  </si>
  <si>
    <t>业态</t>
    <phoneticPr fontId="143" type="noConversion"/>
  </si>
  <si>
    <t>是否在租</t>
    <phoneticPr fontId="143" type="noConversion"/>
  </si>
  <si>
    <t>是否沿街</t>
    <phoneticPr fontId="143" type="noConversion"/>
  </si>
  <si>
    <t>是否重复</t>
    <phoneticPr fontId="143" type="noConversion"/>
  </si>
  <si>
    <r>
      <rPr>
        <b/>
        <sz val="10"/>
        <color theme="1"/>
        <rFont val="FangSong"/>
        <family val="3"/>
        <charset val="134"/>
      </rPr>
      <t>租户</t>
    </r>
    <phoneticPr fontId="143" type="noConversion"/>
  </si>
  <si>
    <r>
      <rPr>
        <b/>
        <sz val="10"/>
        <color theme="1"/>
        <rFont val="FangSong"/>
        <family val="3"/>
        <charset val="134"/>
      </rPr>
      <t>层</t>
    </r>
    <phoneticPr fontId="143" type="noConversion"/>
  </si>
  <si>
    <r>
      <rPr>
        <b/>
        <sz val="10"/>
        <color theme="1"/>
        <rFont val="FangSong"/>
        <family val="3"/>
        <charset val="134"/>
      </rPr>
      <t>单元</t>
    </r>
    <phoneticPr fontId="143" type="noConversion"/>
  </si>
  <si>
    <r>
      <rPr>
        <b/>
        <sz val="10"/>
        <color theme="1"/>
        <rFont val="FangSong"/>
        <family val="3"/>
        <charset val="134"/>
      </rPr>
      <t>计租面积</t>
    </r>
    <phoneticPr fontId="143" type="noConversion"/>
  </si>
  <si>
    <r>
      <rPr>
        <b/>
        <sz val="10"/>
        <color theme="1"/>
        <rFont val="FangSong"/>
        <family val="3"/>
        <charset val="134"/>
      </rPr>
      <t>开始日</t>
    </r>
    <phoneticPr fontId="143" type="noConversion"/>
  </si>
  <si>
    <r>
      <rPr>
        <b/>
        <sz val="10"/>
        <color theme="1"/>
        <rFont val="FangSong"/>
        <family val="3"/>
        <charset val="134"/>
      </rPr>
      <t>结束日</t>
    </r>
    <phoneticPr fontId="143" type="noConversion"/>
  </si>
  <si>
    <r>
      <rPr>
        <b/>
        <sz val="10"/>
        <color theme="1"/>
        <rFont val="FangSong"/>
        <family val="3"/>
        <charset val="134"/>
      </rPr>
      <t>日租金</t>
    </r>
    <phoneticPr fontId="143" type="noConversion"/>
  </si>
  <si>
    <t>租金*面积</t>
    <phoneticPr fontId="143" type="noConversion"/>
  </si>
  <si>
    <r>
      <rPr>
        <b/>
        <sz val="10"/>
        <color theme="1"/>
        <rFont val="等线"/>
        <family val="2"/>
      </rPr>
      <t>涨幅</t>
    </r>
    <phoneticPr fontId="143" type="noConversion"/>
  </si>
  <si>
    <t>商业</t>
    <phoneticPr fontId="143" type="noConversion"/>
  </si>
  <si>
    <r>
      <rPr>
        <sz val="10"/>
        <color theme="1"/>
        <rFont val="FangSong"/>
        <family val="3"/>
        <charset val="134"/>
      </rPr>
      <t>必胜客</t>
    </r>
    <phoneticPr fontId="143" type="noConversion"/>
  </si>
  <si>
    <t>1F</t>
    <phoneticPr fontId="143" type="noConversion"/>
  </si>
  <si>
    <t>商业</t>
    <phoneticPr fontId="143" type="noConversion"/>
  </si>
  <si>
    <r>
      <rPr>
        <sz val="10"/>
        <rFont val="FangSong"/>
        <family val="3"/>
        <charset val="134"/>
      </rPr>
      <t>和合谷</t>
    </r>
    <phoneticPr fontId="143" type="noConversion"/>
  </si>
  <si>
    <t>1F</t>
    <phoneticPr fontId="143" type="noConversion"/>
  </si>
  <si>
    <t>品聚成功（李连贵）</t>
    <phoneticPr fontId="143" type="noConversion"/>
  </si>
  <si>
    <t>商业</t>
    <phoneticPr fontId="143" type="noConversion"/>
  </si>
  <si>
    <t>邻鲜</t>
    <phoneticPr fontId="143" type="noConversion"/>
  </si>
  <si>
    <t>1F</t>
    <phoneticPr fontId="143" type="noConversion"/>
  </si>
  <si>
    <t>商业</t>
    <phoneticPr fontId="143" type="noConversion"/>
  </si>
  <si>
    <t>商业</t>
    <phoneticPr fontId="143" type="noConversion"/>
  </si>
  <si>
    <t>邻鲜</t>
    <phoneticPr fontId="143" type="noConversion"/>
  </si>
  <si>
    <t>1F</t>
    <phoneticPr fontId="143" type="noConversion"/>
  </si>
  <si>
    <t>商业</t>
    <phoneticPr fontId="143" type="noConversion"/>
  </si>
  <si>
    <r>
      <rPr>
        <sz val="10"/>
        <color theme="1"/>
        <rFont val="FangSong"/>
        <family val="3"/>
        <charset val="134"/>
      </rPr>
      <t>拾锅百味</t>
    </r>
    <phoneticPr fontId="143" type="noConversion"/>
  </si>
  <si>
    <t>1F</t>
    <phoneticPr fontId="143" type="noConversion"/>
  </si>
  <si>
    <t>商业</t>
    <phoneticPr fontId="143" type="noConversion"/>
  </si>
  <si>
    <t>大鸡合大利</t>
    <phoneticPr fontId="143" type="noConversion"/>
  </si>
  <si>
    <t>1F</t>
    <phoneticPr fontId="143" type="noConversion"/>
  </si>
  <si>
    <t>2F</t>
  </si>
  <si>
    <t>商业</t>
    <phoneticPr fontId="143" type="noConversion"/>
  </si>
  <si>
    <r>
      <rPr>
        <sz val="10"/>
        <color theme="1"/>
        <rFont val="FangSong"/>
        <family val="3"/>
        <charset val="134"/>
      </rPr>
      <t>秦面轩</t>
    </r>
    <phoneticPr fontId="143" type="noConversion"/>
  </si>
  <si>
    <t>1F</t>
    <phoneticPr fontId="143" type="noConversion"/>
  </si>
  <si>
    <t>商业</t>
    <phoneticPr fontId="143" type="noConversion"/>
  </si>
  <si>
    <r>
      <rPr>
        <sz val="10"/>
        <color theme="1"/>
        <rFont val="FangSong"/>
        <family val="3"/>
        <charset val="134"/>
      </rPr>
      <t>三和屋</t>
    </r>
    <phoneticPr fontId="143" type="noConversion"/>
  </si>
  <si>
    <t>1F</t>
    <phoneticPr fontId="143" type="noConversion"/>
  </si>
  <si>
    <t>商业</t>
    <phoneticPr fontId="143" type="noConversion"/>
  </si>
  <si>
    <r>
      <rPr>
        <sz val="10"/>
        <color theme="1"/>
        <rFont val="FangSong"/>
        <family val="3"/>
        <charset val="134"/>
      </rPr>
      <t>赣悦汤厨</t>
    </r>
    <phoneticPr fontId="143" type="noConversion"/>
  </si>
  <si>
    <t>1F</t>
    <phoneticPr fontId="143" type="noConversion"/>
  </si>
  <si>
    <t>商业</t>
    <phoneticPr fontId="143" type="noConversion"/>
  </si>
  <si>
    <r>
      <rPr>
        <sz val="10"/>
        <color theme="1"/>
        <rFont val="FangSong"/>
        <family val="3"/>
        <charset val="134"/>
      </rPr>
      <t>小院食光</t>
    </r>
    <phoneticPr fontId="143" type="noConversion"/>
  </si>
  <si>
    <t>1F</t>
    <phoneticPr fontId="143" type="noConversion"/>
  </si>
  <si>
    <t>商业</t>
    <phoneticPr fontId="143" type="noConversion"/>
  </si>
  <si>
    <r>
      <rPr>
        <sz val="10"/>
        <color theme="1"/>
        <rFont val="FangSong"/>
        <family val="3"/>
        <charset val="134"/>
      </rPr>
      <t>雕刻时光</t>
    </r>
    <phoneticPr fontId="143" type="noConversion"/>
  </si>
  <si>
    <t>1F</t>
    <phoneticPr fontId="143" type="noConversion"/>
  </si>
  <si>
    <t>商业</t>
    <phoneticPr fontId="143" type="noConversion"/>
  </si>
  <si>
    <t>商业</t>
    <phoneticPr fontId="143" type="noConversion"/>
  </si>
  <si>
    <r>
      <rPr>
        <sz val="10"/>
        <color theme="1"/>
        <rFont val="FangSong"/>
        <family val="3"/>
        <charset val="134"/>
      </rPr>
      <t>保护地友好生态科技</t>
    </r>
    <phoneticPr fontId="143" type="noConversion"/>
  </si>
  <si>
    <t>1F</t>
    <phoneticPr fontId="143" type="noConversion"/>
  </si>
  <si>
    <t>商业</t>
    <phoneticPr fontId="143" type="noConversion"/>
  </si>
  <si>
    <t>汉口码头（包房）</t>
    <phoneticPr fontId="143" type="noConversion"/>
  </si>
  <si>
    <t>1F</t>
    <phoneticPr fontId="143" type="noConversion"/>
  </si>
  <si>
    <t>商业</t>
    <phoneticPr fontId="143" type="noConversion"/>
  </si>
  <si>
    <t>商业</t>
    <phoneticPr fontId="143" type="noConversion"/>
  </si>
  <si>
    <t>汉口码头</t>
    <phoneticPr fontId="143" type="noConversion"/>
  </si>
  <si>
    <t>1F</t>
    <phoneticPr fontId="143" type="noConversion"/>
  </si>
  <si>
    <t>商业</t>
    <phoneticPr fontId="143" type="noConversion"/>
  </si>
  <si>
    <t>空置</t>
    <phoneticPr fontId="143" type="noConversion"/>
  </si>
  <si>
    <t>1F</t>
    <phoneticPr fontId="143" type="noConversion"/>
  </si>
  <si>
    <r>
      <rPr>
        <sz val="10"/>
        <color theme="1"/>
        <rFont val="FangSong"/>
        <family val="3"/>
        <charset val="134"/>
      </rPr>
      <t>众信旅游</t>
    </r>
    <phoneticPr fontId="143" type="noConversion"/>
  </si>
  <si>
    <r>
      <rPr>
        <sz val="10"/>
        <color theme="1"/>
        <rFont val="FangSong"/>
        <family val="3"/>
        <charset val="134"/>
      </rPr>
      <t>物美超市</t>
    </r>
    <phoneticPr fontId="143" type="noConversion"/>
  </si>
  <si>
    <t>B1</t>
    <phoneticPr fontId="143" type="noConversion"/>
  </si>
  <si>
    <t>B105</t>
    <phoneticPr fontId="143" type="noConversion"/>
  </si>
  <si>
    <t>商业</t>
    <phoneticPr fontId="143" type="noConversion"/>
  </si>
  <si>
    <t>商业</t>
    <phoneticPr fontId="143" type="noConversion"/>
  </si>
  <si>
    <t>商业</t>
    <phoneticPr fontId="143" type="noConversion"/>
  </si>
  <si>
    <r>
      <rPr>
        <sz val="10"/>
        <color theme="1"/>
        <rFont val="FangSong"/>
        <family val="3"/>
        <charset val="134"/>
      </rPr>
      <t>西贝万家餐饮</t>
    </r>
    <phoneticPr fontId="143" type="noConversion"/>
  </si>
  <si>
    <t>B1</t>
    <phoneticPr fontId="143" type="noConversion"/>
  </si>
  <si>
    <t>B101a</t>
    <phoneticPr fontId="143" type="noConversion"/>
  </si>
  <si>
    <t>商业</t>
    <phoneticPr fontId="143" type="noConversion"/>
  </si>
  <si>
    <t>商业</t>
    <phoneticPr fontId="143" type="noConversion"/>
  </si>
  <si>
    <t>空置</t>
    <phoneticPr fontId="143" type="noConversion"/>
  </si>
  <si>
    <t>B1</t>
    <phoneticPr fontId="143" type="noConversion"/>
  </si>
  <si>
    <t>B101b</t>
    <phoneticPr fontId="143" type="noConversion"/>
  </si>
  <si>
    <t>北京开盛餐饮（鱼你在一起）</t>
    <phoneticPr fontId="143" type="noConversion"/>
  </si>
  <si>
    <t>B102</t>
    <phoneticPr fontId="143" type="noConversion"/>
  </si>
  <si>
    <t>商业</t>
    <phoneticPr fontId="143" type="noConversion"/>
  </si>
  <si>
    <t>北京开盛餐饮（鱼你在一起）</t>
    <phoneticPr fontId="143" type="noConversion"/>
  </si>
  <si>
    <t>B1</t>
    <phoneticPr fontId="143" type="noConversion"/>
  </si>
  <si>
    <t>B102</t>
    <phoneticPr fontId="143" type="noConversion"/>
  </si>
  <si>
    <t>商业</t>
    <phoneticPr fontId="143" type="noConversion"/>
  </si>
  <si>
    <t>中讯通和商贸（中国移动）</t>
    <phoneticPr fontId="143" type="noConversion"/>
  </si>
  <si>
    <t>B106</t>
    <phoneticPr fontId="143" type="noConversion"/>
  </si>
  <si>
    <r>
      <rPr>
        <sz val="10"/>
        <color theme="1"/>
        <rFont val="FangSong"/>
        <family val="3"/>
        <charset val="134"/>
      </rPr>
      <t>招商证券</t>
    </r>
    <phoneticPr fontId="143" type="noConversion"/>
  </si>
  <si>
    <t>B103</t>
    <phoneticPr fontId="143" type="noConversion"/>
  </si>
  <si>
    <t>商业</t>
    <phoneticPr fontId="143" type="noConversion"/>
  </si>
  <si>
    <t>办公</t>
    <phoneticPr fontId="143" type="noConversion"/>
  </si>
  <si>
    <r>
      <rPr>
        <sz val="10"/>
        <color theme="1"/>
        <rFont val="FangSong"/>
        <family val="3"/>
        <charset val="134"/>
      </rPr>
      <t>百佑科技</t>
    </r>
    <phoneticPr fontId="143" type="noConversion"/>
  </si>
  <si>
    <t>2F</t>
    <phoneticPr fontId="143" type="noConversion"/>
  </si>
  <si>
    <t>租约5年，每两年涨10%</t>
    <phoneticPr fontId="143" type="noConversion"/>
  </si>
  <si>
    <t>办公</t>
    <phoneticPr fontId="143" type="noConversion"/>
  </si>
  <si>
    <t>办公</t>
    <phoneticPr fontId="143" type="noConversion"/>
  </si>
  <si>
    <r>
      <rPr>
        <sz val="10"/>
        <color theme="1"/>
        <rFont val="FangSong"/>
        <family val="3"/>
        <charset val="134"/>
      </rPr>
      <t>蓝图时代科技</t>
    </r>
    <phoneticPr fontId="143" type="noConversion"/>
  </si>
  <si>
    <t>3F</t>
    <phoneticPr fontId="143" type="noConversion"/>
  </si>
  <si>
    <t>301B-01</t>
    <phoneticPr fontId="143" type="noConversion"/>
  </si>
  <si>
    <t>剩余租约2年，2020年涨10%</t>
    <phoneticPr fontId="143" type="noConversion"/>
  </si>
  <si>
    <t>办公</t>
    <phoneticPr fontId="143" type="noConversion"/>
  </si>
  <si>
    <r>
      <rPr>
        <sz val="10"/>
        <color theme="1"/>
        <rFont val="FangSong"/>
        <family val="3"/>
        <charset val="134"/>
      </rPr>
      <t>优格华恒资本管理</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</si>
  <si>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</si>
  <si>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</si>
  <si>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</si>
  <si>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</si>
  <si>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</si>
  <si>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</si>
  <si>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</si>
  <si>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</si>
  <si>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</si>
  <si>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</si>
  <si>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</si>
  <si>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</si>
  <si>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4F</t>
    <phoneticPr fontId="143" type="noConversion"/>
  </si>
  <si>
    <t>剩余租约2年，2020年涨10%</t>
    <phoneticPr fontId="143" type="noConversion"/>
  </si>
  <si>
    <t>办公</t>
    <phoneticPr fontId="143" type="noConversion"/>
  </si>
  <si>
    <r>
      <rPr>
        <sz val="10"/>
        <rFont val="FangSong"/>
        <family val="3"/>
        <charset val="134"/>
      </rPr>
      <t>嗨学网教育科技</t>
    </r>
    <phoneticPr fontId="143" type="noConversion"/>
  </si>
  <si>
    <t>4F</t>
    <phoneticPr fontId="143" type="noConversion"/>
  </si>
  <si>
    <t>剩余租约2年，2020年涨10%</t>
    <phoneticPr fontId="143" type="noConversion"/>
  </si>
  <si>
    <t>4F</t>
    <phoneticPr fontId="143" type="noConversion"/>
  </si>
  <si>
    <t>办公</t>
    <phoneticPr fontId="143" type="noConversion"/>
  </si>
  <si>
    <t>乔戈文化</t>
    <phoneticPr fontId="143" type="noConversion"/>
  </si>
  <si>
    <t>剩余租约2年，2020年涨10%</t>
    <phoneticPr fontId="143" type="noConversion"/>
  </si>
  <si>
    <t>收益法</t>
  </si>
  <si>
    <t>收益法 (元)</t>
  </si>
  <si>
    <t>押一</t>
  </si>
  <si>
    <t>按租金收入计税</t>
  </si>
  <si>
    <t>钢混</t>
  </si>
  <si>
    <t>非生产用房</t>
  </si>
  <si>
    <t>现房</t>
  </si>
  <si>
    <t>典型户型修正商业</t>
  </si>
  <si>
    <t>典型户型修正商业</t>
    <phoneticPr fontId="16" type="noConversion"/>
  </si>
  <si>
    <t>典型户型修正车位</t>
  </si>
  <si>
    <t>典型户型修正车位</t>
    <phoneticPr fontId="16" type="noConversion"/>
  </si>
  <si>
    <t>售价</t>
  </si>
  <si>
    <t>序号</t>
    <phoneticPr fontId="143" type="noConversion"/>
  </si>
  <si>
    <t>部位及房号</t>
    <phoneticPr fontId="143" type="noConversion"/>
  </si>
  <si>
    <t>建筑面积</t>
    <phoneticPr fontId="143" type="noConversion"/>
  </si>
  <si>
    <t>北京青年城</t>
    <phoneticPr fontId="3" type="noConversion"/>
  </si>
  <si>
    <t>正常</t>
  </si>
  <si>
    <t>车位</t>
    <phoneticPr fontId="32" type="noConversion"/>
  </si>
  <si>
    <t>30-40（含）</t>
  </si>
  <si>
    <t>较好</t>
  </si>
  <si>
    <t>七通</t>
  </si>
  <si>
    <t>多面临街</t>
  </si>
  <si>
    <t>双面临街</t>
  </si>
  <si>
    <t>单面临街</t>
  </si>
  <si>
    <t>不临街</t>
  </si>
  <si>
    <t>商业</t>
    <phoneticPr fontId="31" type="noConversion"/>
  </si>
  <si>
    <t>20-30（含）</t>
  </si>
  <si>
    <t>大</t>
  </si>
  <si>
    <t>较大</t>
  </si>
  <si>
    <t>一般</t>
  </si>
  <si>
    <t>较少</t>
  </si>
  <si>
    <t>少</t>
  </si>
  <si>
    <t>立体车位</t>
  </si>
  <si>
    <t>平面车位</t>
  </si>
  <si>
    <t>是</t>
    <phoneticPr fontId="32" type="noConversion"/>
  </si>
  <si>
    <t>否</t>
    <phoneticPr fontId="32" type="noConversion"/>
  </si>
  <si>
    <t>元/车位</t>
  </si>
  <si>
    <t>住宅</t>
  </si>
  <si>
    <t>住宅</t>
    <phoneticPr fontId="32" type="noConversion"/>
  </si>
  <si>
    <t>专业物业</t>
  </si>
  <si>
    <t>专业物业</t>
    <phoneticPr fontId="32" type="noConversion"/>
  </si>
  <si>
    <t>普通物业</t>
  </si>
  <si>
    <t>普通物业</t>
    <phoneticPr fontId="32" type="noConversion"/>
  </si>
  <si>
    <t>精装修</t>
  </si>
  <si>
    <t>普通装修</t>
  </si>
  <si>
    <t>简装</t>
  </si>
  <si>
    <t>毛坯</t>
  </si>
  <si>
    <t>世华泊郡</t>
    <phoneticPr fontId="3" type="noConversion"/>
  </si>
  <si>
    <t>40-50（含）</t>
  </si>
  <si>
    <t>亚奥金茂悦</t>
    <phoneticPr fontId="3" type="noConversion"/>
  </si>
  <si>
    <t>独栋商业</t>
  </si>
  <si>
    <t>钢混</t>
    <phoneticPr fontId="31" type="noConversion"/>
  </si>
  <si>
    <t>七通</t>
    <phoneticPr fontId="31" type="noConversion"/>
  </si>
  <si>
    <t>六通</t>
    <phoneticPr fontId="31" type="noConversion"/>
  </si>
  <si>
    <t>五通</t>
    <phoneticPr fontId="31" type="noConversion"/>
  </si>
  <si>
    <t>可明火</t>
  </si>
  <si>
    <t>可明火</t>
    <phoneticPr fontId="31" type="noConversion"/>
  </si>
  <si>
    <t>不可明火</t>
    <phoneticPr fontId="31" type="noConversion"/>
  </si>
  <si>
    <t>超高层高</t>
    <phoneticPr fontId="31" type="noConversion"/>
  </si>
  <si>
    <t>标准层高</t>
  </si>
  <si>
    <t>标准层高</t>
    <phoneticPr fontId="31" type="noConversion"/>
  </si>
  <si>
    <t>华贸城</t>
    <phoneticPr fontId="3" type="noConversion"/>
  </si>
  <si>
    <t>中国铁建广场</t>
    <phoneticPr fontId="3" type="noConversion"/>
  </si>
  <si>
    <t>北苑家园</t>
    <phoneticPr fontId="3" type="noConversion"/>
  </si>
  <si>
    <t>10-20（含）</t>
  </si>
  <si>
    <r>
      <t>（</t>
    </r>
    <r>
      <rPr>
        <sz val="10"/>
        <color rgb="FF000000"/>
        <rFont val="Arial"/>
        <family val="2"/>
      </rPr>
      <t>-1</t>
    </r>
    <r>
      <rPr>
        <sz val="10"/>
        <color rgb="FF000000"/>
        <rFont val="宋体"/>
        <family val="3"/>
        <charset val="134"/>
      </rPr>
      <t>）</t>
    </r>
  </si>
  <si>
    <t>（-1）</t>
  </si>
  <si>
    <t>收益比率</t>
  </si>
  <si>
    <t>自定义</t>
  </si>
  <si>
    <t>情况4</t>
  </si>
  <si>
    <t>转让取得</t>
  </si>
  <si>
    <t>建筑物价值</t>
  </si>
  <si>
    <t>建筑面积</t>
  </si>
  <si>
    <t>分摊土地面积</t>
  </si>
  <si>
    <t>较好</t>
    <phoneticPr fontId="25" type="noConversion"/>
  </si>
  <si>
    <t>七通</t>
    <phoneticPr fontId="25" type="noConversion"/>
  </si>
  <si>
    <t>一般</t>
    <phoneticPr fontId="25" type="noConversion"/>
  </si>
  <si>
    <t>商业街</t>
    <phoneticPr fontId="31" type="noConversion"/>
  </si>
  <si>
    <t>独栋商业</t>
    <phoneticPr fontId="31" type="noConversion"/>
  </si>
  <si>
    <t>办公配套商业</t>
    <phoneticPr fontId="31" type="noConversion"/>
  </si>
  <si>
    <t>住宅配套商业</t>
  </si>
  <si>
    <t>住宅配套商业</t>
    <phoneticPr fontId="3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</si>
  <si>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</si>
  <si>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t>分摊土地面积</t>
    </r>
    <r>
      <rPr>
        <sz val="10.5"/>
        <color theme="1"/>
        <rFont val="Times New Roman"/>
        <family val="1"/>
      </rPr>
      <t> </t>
    </r>
  </si>
  <si>
    <t>出让国有建设用地使用权价值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</si>
  <si>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</si>
  <si>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</si>
  <si>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</si>
  <si>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</si>
  <si>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</si>
  <si>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</si>
  <si>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</si>
  <si>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</si>
  <si>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</si>
  <si>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t> </t>
    </r>
    <r>
      <rPr>
        <sz val="12"/>
        <color theme="1"/>
        <rFont val="宋体"/>
        <family val="3"/>
        <charset val="134"/>
      </rPr>
      <t>全称</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</si>
</sst>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Red]\(#,##0.00\)"/>
    <numFmt numFmtId="199" formatCode="#,##0_);[Red]\(#,##0\)"/>
    <numFmt numFmtId="200"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Calibri"/>
      <family val="2"/>
    </font>
    <font>
      <b/>
      <sz val="10"/>
      <color theme="1"/>
      <name val="FangSong"/>
      <family val="3"/>
      <charset val="134"/>
    </font>
    <font>
      <b/>
      <sz val="10"/>
      <color theme="1"/>
      <name val="等线"/>
      <family val="2"/>
    </font>
    <font>
      <sz val="10"/>
      <color theme="1"/>
      <name val="Calibri"/>
      <family val="2"/>
    </font>
    <font>
      <sz val="10"/>
      <color theme="1"/>
      <name val="FangSong"/>
      <family val="3"/>
      <charset val="134"/>
    </font>
    <font>
      <sz val="10"/>
      <name val="Calibri"/>
      <family val="2"/>
    </font>
    <font>
      <sz val="10"/>
      <color rgb="FF000000"/>
      <name val="Calibri"/>
      <family val="2"/>
    </font>
    <font>
      <sz val="10"/>
      <name val="FangSong"/>
      <family val="3"/>
      <charset val="134"/>
    </font>
    <font>
      <sz val="10"/>
      <color theme="1"/>
      <name val="Calibri"/>
      <family val="3"/>
      <charset val="134"/>
    </font>
    <font>
      <sz val="9"/>
      <color theme="1"/>
      <name val="宋体"/>
      <family val="3"/>
      <charset val="134"/>
      <scheme val="minor"/>
    </font>
    <font>
      <sz val="9"/>
      <color theme="1"/>
      <name val="华文细黑"/>
      <family val="3"/>
      <charset val="134"/>
    </font>
    <font>
      <sz val="9"/>
      <color theme="1"/>
      <name val="Arial"/>
      <family val="2"/>
    </font>
    <font>
      <sz val="10.5"/>
      <color theme="1"/>
      <name val="Times New Roman"/>
      <family val="1"/>
    </font>
    <font>
      <sz val="9"/>
      <color theme="1"/>
      <name val="宋体"/>
      <family val="3"/>
      <charset val="134"/>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170" fillId="0" borderId="0" applyFont="0" applyFill="0" applyBorder="0" applyAlignment="0" applyProtection="0">
      <alignment vertical="center"/>
    </xf>
    <xf numFmtId="41" fontId="99" fillId="0" borderId="0" applyFont="0" applyFill="0" applyBorder="0" applyAlignment="0" applyProtection="0">
      <alignment vertical="center"/>
    </xf>
    <xf numFmtId="4" fontId="263" fillId="0" borderId="1">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83" fillId="0" borderId="0" xfId="0" applyFont="1" applyAlignment="1">
      <alignment horizontal="center" vertical="center"/>
    </xf>
    <xf numFmtId="0" fontId="170" fillId="0" borderId="0" xfId="12" applyAlignment="1">
      <alignment horizontal="left"/>
    </xf>
    <xf numFmtId="0" fontId="170" fillId="0" borderId="0" xfId="12" applyNumberFormat="1"/>
    <xf numFmtId="197" fontId="170" fillId="0" borderId="0" xfId="12" applyNumberFormat="1"/>
    <xf numFmtId="198" fontId="170" fillId="0" borderId="0" xfId="12" applyNumberFormat="1"/>
    <xf numFmtId="178" fontId="170" fillId="0" borderId="0" xfId="12" applyNumberFormat="1"/>
    <xf numFmtId="199" fontId="170" fillId="0" borderId="0" xfId="12" applyNumberFormat="1"/>
    <xf numFmtId="0" fontId="254" fillId="0" borderId="0" xfId="12" applyFont="1" applyAlignment="1">
      <alignment horizontal="center"/>
    </xf>
    <xf numFmtId="0" fontId="254" fillId="0" borderId="0" xfId="12" applyFont="1" applyFill="1" applyAlignment="1">
      <alignment horizontal="center"/>
    </xf>
    <xf numFmtId="0" fontId="145" fillId="0" borderId="0" xfId="12" applyFont="1" applyFill="1" applyAlignment="1">
      <alignment horizontal="center"/>
    </xf>
    <xf numFmtId="0" fontId="257" fillId="0" borderId="0" xfId="12" applyFont="1"/>
    <xf numFmtId="0" fontId="257" fillId="0" borderId="0" xfId="12" applyFont="1" applyFill="1" applyAlignment="1">
      <alignment horizontal="center" vertical="center"/>
    </xf>
    <xf numFmtId="0" fontId="254" fillId="0" borderId="0" xfId="12" applyFont="1" applyFill="1" applyAlignment="1">
      <alignment horizontal="right" vertical="center"/>
    </xf>
    <xf numFmtId="200" fontId="257" fillId="0" borderId="0" xfId="17" applyNumberFormat="1" applyFont="1" applyFill="1" applyAlignment="1">
      <alignment vertical="center"/>
    </xf>
    <xf numFmtId="14" fontId="259" fillId="0" borderId="0" xfId="12" applyNumberFormat="1" applyFont="1" applyFill="1" applyAlignment="1">
      <alignment vertical="center"/>
    </xf>
    <xf numFmtId="43" fontId="257" fillId="0" borderId="0" xfId="17" applyFont="1" applyFill="1" applyAlignment="1"/>
    <xf numFmtId="197" fontId="257" fillId="0" borderId="0" xfId="17" applyNumberFormat="1" applyFont="1" applyFill="1" applyAlignment="1"/>
    <xf numFmtId="0" fontId="257" fillId="17" borderId="0" xfId="12" applyFont="1" applyFill="1"/>
    <xf numFmtId="0" fontId="257" fillId="17" borderId="0" xfId="12" applyFont="1" applyFill="1" applyAlignment="1">
      <alignment horizontal="center"/>
    </xf>
    <xf numFmtId="0" fontId="257" fillId="17" borderId="0" xfId="12" applyFont="1" applyFill="1" applyAlignment="1">
      <alignment horizontal="right"/>
    </xf>
    <xf numFmtId="200" fontId="257" fillId="17" borderId="0" xfId="17" applyNumberFormat="1" applyFont="1" applyFill="1" applyAlignment="1"/>
    <xf numFmtId="14" fontId="257" fillId="0" borderId="0" xfId="12" applyNumberFormat="1" applyFont="1" applyAlignment="1">
      <alignment vertical="center"/>
    </xf>
    <xf numFmtId="14" fontId="260" fillId="0" borderId="0" xfId="12" applyNumberFormat="1" applyFont="1" applyFill="1" applyBorder="1" applyAlignment="1">
      <alignment vertical="center"/>
    </xf>
    <xf numFmtId="200" fontId="257" fillId="0" borderId="0" xfId="17" applyNumberFormat="1" applyFont="1" applyAlignment="1"/>
    <xf numFmtId="43" fontId="259" fillId="0" borderId="0" xfId="17" applyFont="1" applyFill="1" applyAlignment="1">
      <alignment vertical="center"/>
    </xf>
    <xf numFmtId="43" fontId="257" fillId="0" borderId="0" xfId="17" applyFont="1" applyFill="1" applyAlignment="1">
      <alignment vertical="center"/>
    </xf>
    <xf numFmtId="0" fontId="170" fillId="0" borderId="0" xfId="12" applyFill="1"/>
    <xf numFmtId="0" fontId="258" fillId="0" borderId="0" xfId="12" applyFont="1"/>
    <xf numFmtId="0" fontId="257" fillId="0" borderId="0" xfId="12" applyFont="1" applyAlignment="1">
      <alignment horizontal="right"/>
    </xf>
    <xf numFmtId="0" fontId="130" fillId="18" borderId="0" xfId="12" applyFont="1" applyFill="1"/>
    <xf numFmtId="0" fontId="257" fillId="18" borderId="0" xfId="12" applyFont="1" applyFill="1" applyAlignment="1">
      <alignment horizontal="center" vertical="center"/>
    </xf>
    <xf numFmtId="0" fontId="257" fillId="18" borderId="0" xfId="12" applyFont="1" applyFill="1" applyAlignment="1">
      <alignment horizontal="right"/>
    </xf>
    <xf numFmtId="200" fontId="257" fillId="18" borderId="0" xfId="17" applyNumberFormat="1" applyFont="1" applyFill="1" applyAlignment="1"/>
    <xf numFmtId="14" fontId="260" fillId="18" borderId="0" xfId="12" applyNumberFormat="1" applyFont="1" applyFill="1" applyBorder="1" applyAlignment="1">
      <alignment vertical="center"/>
    </xf>
    <xf numFmtId="43" fontId="257" fillId="18" borderId="0" xfId="17" applyFont="1" applyFill="1" applyAlignment="1">
      <alignment vertical="center"/>
    </xf>
    <xf numFmtId="0" fontId="130" fillId="0" borderId="0" xfId="12" applyFont="1" applyFill="1"/>
    <xf numFmtId="0" fontId="130" fillId="17" borderId="0" xfId="12" applyFont="1" applyFill="1"/>
    <xf numFmtId="0" fontId="257" fillId="17" borderId="0" xfId="12" applyFont="1" applyFill="1" applyAlignment="1">
      <alignment horizontal="center" vertical="center"/>
    </xf>
    <xf numFmtId="197" fontId="257" fillId="18" borderId="0" xfId="17" applyNumberFormat="1" applyFont="1" applyFill="1" applyAlignment="1"/>
    <xf numFmtId="0" fontId="257" fillId="0" borderId="0" xfId="12" applyFont="1" applyAlignment="1">
      <alignment horizontal="center"/>
    </xf>
    <xf numFmtId="0" fontId="258" fillId="18" borderId="0" xfId="12" applyFont="1" applyFill="1"/>
    <xf numFmtId="0" fontId="257" fillId="18" borderId="0" xfId="12" applyFont="1" applyFill="1" applyAlignment="1">
      <alignment horizontal="center"/>
    </xf>
    <xf numFmtId="0" fontId="258" fillId="0" borderId="0" xfId="12" applyFont="1" applyFill="1"/>
    <xf numFmtId="0" fontId="258" fillId="17" borderId="0" xfId="12" applyFont="1" applyFill="1"/>
    <xf numFmtId="14" fontId="259" fillId="17" borderId="0" xfId="12" applyNumberFormat="1" applyFont="1" applyFill="1" applyAlignment="1">
      <alignment vertical="center"/>
    </xf>
    <xf numFmtId="0" fontId="257" fillId="0" borderId="0" xfId="12" applyFont="1" applyFill="1" applyAlignment="1">
      <alignment horizontal="right" vertical="center"/>
    </xf>
    <xf numFmtId="14" fontId="257" fillId="17" borderId="0" xfId="12" applyNumberFormat="1" applyFont="1" applyFill="1"/>
    <xf numFmtId="0" fontId="257" fillId="17" borderId="0" xfId="12" applyFont="1" applyFill="1" applyAlignment="1">
      <alignment horizontal="right" vertical="center"/>
    </xf>
    <xf numFmtId="14" fontId="257" fillId="0" borderId="0" xfId="12" applyNumberFormat="1" applyFont="1"/>
    <xf numFmtId="0" fontId="170" fillId="17" borderId="0" xfId="12" applyFill="1"/>
    <xf numFmtId="14" fontId="170" fillId="0" borderId="0" xfId="12" applyNumberFormat="1" applyFill="1"/>
    <xf numFmtId="43" fontId="257" fillId="0" borderId="0" xfId="12" applyNumberFormat="1" applyFont="1" applyFill="1"/>
    <xf numFmtId="197" fontId="257" fillId="0" borderId="0" xfId="12" applyNumberFormat="1" applyFont="1" applyFill="1"/>
    <xf numFmtId="43" fontId="170" fillId="0" borderId="0" xfId="12" applyNumberFormat="1"/>
    <xf numFmtId="0" fontId="130" fillId="0" borderId="0" xfId="12" applyFont="1"/>
    <xf numFmtId="0" fontId="262" fillId="0" borderId="0" xfId="12" applyFont="1"/>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174" fillId="10" borderId="9" xfId="0" applyNumberFormat="1" applyFont="1" applyFill="1" applyBorder="1" applyAlignment="1" applyProtection="1">
      <alignment horizontal="center" vertical="center" wrapText="1"/>
      <protection locked="0"/>
    </xf>
    <xf numFmtId="200" fontId="170" fillId="0" borderId="0" xfId="12" applyNumberFormat="1"/>
    <xf numFmtId="177" fontId="50" fillId="19" borderId="1" xfId="1" applyNumberFormat="1" applyFont="1" applyFill="1" applyBorder="1" applyAlignment="1" applyProtection="1">
      <alignment horizontal="center" vertical="center"/>
      <protection locked="0"/>
    </xf>
    <xf numFmtId="0" fontId="56" fillId="19" borderId="10" xfId="1"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19" borderId="5" xfId="0" applyFont="1" applyFill="1" applyBorder="1" applyAlignment="1" applyProtection="1">
      <alignment horizontal="center" vertical="center" wrapText="1"/>
    </xf>
    <xf numFmtId="181" fontId="55" fillId="19" borderId="61" xfId="0" applyNumberFormat="1" applyFont="1" applyFill="1" applyBorder="1" applyAlignment="1" applyProtection="1">
      <alignment horizontal="center" vertical="center"/>
      <protection locked="0"/>
    </xf>
    <xf numFmtId="0" fontId="47" fillId="19" borderId="24" xfId="0" applyFont="1" applyFill="1" applyBorder="1" applyAlignment="1" applyProtection="1">
      <alignment horizontal="center" vertical="center" wrapText="1"/>
    </xf>
    <xf numFmtId="0" fontId="63" fillId="19" borderId="1" xfId="0" applyNumberFormat="1" applyFont="1" applyFill="1" applyBorder="1" applyAlignment="1" applyProtection="1">
      <alignment horizontal="center" vertical="center"/>
      <protection locked="0"/>
    </xf>
    <xf numFmtId="0" fontId="183" fillId="19" borderId="0" xfId="0" applyFont="1" applyFill="1" applyAlignment="1">
      <alignment horizontal="center" vertical="center"/>
    </xf>
    <xf numFmtId="0" fontId="264" fillId="0" borderId="159" xfId="0" applyFont="1" applyBorder="1" applyAlignment="1">
      <alignment vertical="center" wrapText="1"/>
    </xf>
    <xf numFmtId="0" fontId="264" fillId="0" borderId="157" xfId="0" applyFont="1" applyBorder="1" applyAlignment="1">
      <alignment vertical="center" wrapText="1"/>
    </xf>
    <xf numFmtId="0" fontId="265" fillId="0" borderId="159" xfId="0" applyFont="1" applyBorder="1" applyAlignment="1">
      <alignment vertical="center" wrapText="1"/>
    </xf>
    <xf numFmtId="0" fontId="266" fillId="0" borderId="0" xfId="0" applyFont="1">
      <alignment vertical="center"/>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47" fillId="19" borderId="28"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4" fillId="0" borderId="160" xfId="0" applyFont="1" applyBorder="1" applyAlignment="1">
      <alignment vertical="center" wrapText="1"/>
    </xf>
    <xf numFmtId="0" fontId="264" fillId="0" borderId="158" xfId="0" applyFont="1" applyBorder="1" applyAlignment="1">
      <alignment vertical="center" wrapText="1"/>
    </xf>
    <xf numFmtId="0" fontId="264" fillId="0" borderId="156" xfId="0" applyFont="1" applyBorder="1" applyAlignment="1">
      <alignment vertical="center" wrapText="1"/>
    </xf>
    <xf numFmtId="0" fontId="264" fillId="0" borderId="157" xfId="0" applyFont="1" applyBorder="1" applyAlignment="1">
      <alignment vertical="center" wrapText="1"/>
    </xf>
    <xf numFmtId="0" fontId="264" fillId="0" borderId="161" xfId="0" applyFont="1" applyBorder="1" applyAlignment="1">
      <alignment vertical="center" wrapText="1"/>
    </xf>
    <xf numFmtId="0" fontId="264" fillId="0" borderId="162" xfId="0" applyFont="1" applyBorder="1" applyAlignment="1">
      <alignment vertical="center" wrapText="1"/>
    </xf>
    <xf numFmtId="0" fontId="264" fillId="0" borderId="163" xfId="0" applyFont="1" applyBorder="1" applyAlignment="1">
      <alignment vertical="center" wrapText="1"/>
    </xf>
    <xf numFmtId="182" fontId="267" fillId="0" borderId="161" xfId="0" applyNumberFormat="1" applyFont="1" applyBorder="1" applyAlignment="1">
      <alignment vertical="center" wrapText="1"/>
    </xf>
    <xf numFmtId="182" fontId="267" fillId="0" borderId="163" xfId="0" applyNumberFormat="1" applyFont="1" applyBorder="1" applyAlignment="1">
      <alignment vertical="center" wrapText="1"/>
    </xf>
    <xf numFmtId="182" fontId="264" fillId="0" borderId="161" xfId="0" applyNumberFormat="1" applyFont="1" applyBorder="1" applyAlignment="1">
      <alignment vertical="center" wrapText="1"/>
    </xf>
    <xf numFmtId="182" fontId="264" fillId="0" borderId="163" xfId="0" applyNumberFormat="1" applyFont="1" applyBorder="1" applyAlignment="1">
      <alignment vertical="center" wrapText="1"/>
    </xf>
    <xf numFmtId="0" fontId="268" fillId="0" borderId="161" xfId="0" applyFont="1" applyBorder="1" applyAlignment="1">
      <alignment vertical="center" wrapText="1"/>
    </xf>
    <xf numFmtId="0" fontId="268" fillId="0" borderId="162" xfId="0" applyFont="1" applyBorder="1" applyAlignment="1">
      <alignment vertical="center" wrapText="1"/>
    </xf>
    <xf numFmtId="0" fontId="268" fillId="0" borderId="163" xfId="0" applyFont="1" applyBorder="1" applyAlignment="1">
      <alignment vertical="center" wrapText="1"/>
    </xf>
    <xf numFmtId="0" fontId="269" fillId="0" borderId="161" xfId="0" applyFont="1" applyBorder="1" applyAlignment="1">
      <alignment vertical="center" wrapText="1"/>
    </xf>
    <xf numFmtId="0" fontId="269" fillId="0" borderId="162" xfId="0" applyFont="1" applyBorder="1" applyAlignment="1">
      <alignment vertical="center" wrapText="1"/>
    </xf>
    <xf numFmtId="0" fontId="269" fillId="0" borderId="163" xfId="0" applyFont="1" applyBorder="1" applyAlignment="1">
      <alignment vertical="center" wrapText="1"/>
    </xf>
    <xf numFmtId="0" fontId="267" fillId="0" borderId="161" xfId="0" applyFont="1" applyBorder="1" applyAlignment="1">
      <alignment vertical="center" wrapText="1"/>
    </xf>
    <xf numFmtId="0" fontId="267" fillId="0" borderId="162" xfId="0" applyFont="1" applyBorder="1" applyAlignment="1">
      <alignment vertical="center" wrapText="1"/>
    </xf>
    <xf numFmtId="0" fontId="267"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5" fillId="0" borderId="163" xfId="0" applyFont="1" applyBorder="1" applyAlignment="1">
      <alignment vertical="center" wrapText="1"/>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 name="千位分隔[0] 2" xfId="18"/>
    <cellStyle name="样式 1" xfId="19"/>
  </cellStyles>
  <dxfs count="231">
    <dxf>
      <numFmt numFmtId="198" formatCode="#,##0.00_);[Red]\(#,##0.00\)"/>
    </dxf>
    <dxf>
      <numFmt numFmtId="178" formatCode="0.0_ "/>
    </dxf>
    <dxf>
      <numFmt numFmtId="199" formatCode="#,##0_);[Red]\(#,##0\)"/>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10</xdr:col>
      <xdr:colOff>471522</xdr:colOff>
      <xdr:row>23</xdr:row>
      <xdr:rowOff>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33701"/>
          <a:ext cx="6824697" cy="1885950"/>
        </a:xfrm>
        <a:prstGeom prst="rect">
          <a:avLst/>
        </a:prstGeom>
      </xdr:spPr>
    </xdr:pic>
    <xdr:clientData/>
  </xdr:twoCellAnchor>
  <xdr:twoCellAnchor editAs="oneCell">
    <xdr:from>
      <xdr:col>1</xdr:col>
      <xdr:colOff>0</xdr:colOff>
      <xdr:row>25</xdr:row>
      <xdr:rowOff>0</xdr:rowOff>
    </xdr:from>
    <xdr:to>
      <xdr:col>9</xdr:col>
      <xdr:colOff>476250</xdr:colOff>
      <xdr:row>43</xdr:row>
      <xdr:rowOff>74109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238750"/>
          <a:ext cx="6143625" cy="3846009"/>
        </a:xfrm>
        <a:prstGeom prst="rect">
          <a:avLst/>
        </a:prstGeom>
      </xdr:spPr>
    </xdr:pic>
    <xdr:clientData/>
  </xdr:twoCellAnchor>
  <xdr:twoCellAnchor editAs="oneCell">
    <xdr:from>
      <xdr:col>1</xdr:col>
      <xdr:colOff>0</xdr:colOff>
      <xdr:row>45</xdr:row>
      <xdr:rowOff>0</xdr:rowOff>
    </xdr:from>
    <xdr:to>
      <xdr:col>12</xdr:col>
      <xdr:colOff>414565</xdr:colOff>
      <xdr:row>55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429750"/>
          <a:ext cx="8139340" cy="2114550"/>
        </a:xfrm>
        <a:prstGeom prst="rect">
          <a:avLst/>
        </a:prstGeom>
      </xdr:spPr>
    </xdr:pic>
    <xdr:clientData/>
  </xdr:twoCellAnchor>
  <xdr:twoCellAnchor editAs="oneCell">
    <xdr:from>
      <xdr:col>1</xdr:col>
      <xdr:colOff>0</xdr:colOff>
      <xdr:row>57</xdr:row>
      <xdr:rowOff>1</xdr:rowOff>
    </xdr:from>
    <xdr:to>
      <xdr:col>10</xdr:col>
      <xdr:colOff>152400</xdr:colOff>
      <xdr:row>77</xdr:row>
      <xdr:rowOff>36325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944351"/>
          <a:ext cx="6505575" cy="4227324"/>
        </a:xfrm>
        <a:prstGeom prst="rect">
          <a:avLst/>
        </a:prstGeom>
      </xdr:spPr>
    </xdr:pic>
    <xdr:clientData/>
  </xdr:twoCellAnchor>
  <xdr:twoCellAnchor editAs="oneCell">
    <xdr:from>
      <xdr:col>1</xdr:col>
      <xdr:colOff>0</xdr:colOff>
      <xdr:row>79</xdr:row>
      <xdr:rowOff>0</xdr:rowOff>
    </xdr:from>
    <xdr:to>
      <xdr:col>13</xdr:col>
      <xdr:colOff>74865</xdr:colOff>
      <xdr:row>90</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6554450"/>
          <a:ext cx="8485440" cy="2390775"/>
        </a:xfrm>
        <a:prstGeom prst="rect">
          <a:avLst/>
        </a:prstGeom>
      </xdr:spPr>
    </xdr:pic>
    <xdr:clientData/>
  </xdr:twoCellAnchor>
  <xdr:twoCellAnchor editAs="oneCell">
    <xdr:from>
      <xdr:col>1</xdr:col>
      <xdr:colOff>0</xdr:colOff>
      <xdr:row>92</xdr:row>
      <xdr:rowOff>0</xdr:rowOff>
    </xdr:from>
    <xdr:to>
      <xdr:col>11</xdr:col>
      <xdr:colOff>65787</xdr:colOff>
      <xdr:row>112</xdr:row>
      <xdr:rowOff>104238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278600"/>
          <a:ext cx="7104762" cy="4295238"/>
        </a:xfrm>
        <a:prstGeom prst="rect">
          <a:avLst/>
        </a:prstGeom>
      </xdr:spPr>
    </xdr:pic>
    <xdr:clientData/>
  </xdr:twoCellAnchor>
  <xdr:twoCellAnchor editAs="oneCell">
    <xdr:from>
      <xdr:col>12</xdr:col>
      <xdr:colOff>1</xdr:colOff>
      <xdr:row>1</xdr:row>
      <xdr:rowOff>0</xdr:rowOff>
    </xdr:from>
    <xdr:to>
      <xdr:col>23</xdr:col>
      <xdr:colOff>114301</xdr:colOff>
      <xdr:row>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1" y="209550"/>
          <a:ext cx="7658100" cy="1743075"/>
        </a:xfrm>
        <a:prstGeom prst="rect">
          <a:avLst/>
        </a:prstGeom>
      </xdr:spPr>
    </xdr:pic>
    <xdr:clientData/>
  </xdr:twoCellAnchor>
  <xdr:twoCellAnchor editAs="oneCell">
    <xdr:from>
      <xdr:col>12</xdr:col>
      <xdr:colOff>0</xdr:colOff>
      <xdr:row>10</xdr:row>
      <xdr:rowOff>0</xdr:rowOff>
    </xdr:from>
    <xdr:to>
      <xdr:col>23</xdr:col>
      <xdr:colOff>285749</xdr:colOff>
      <xdr:row>18</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2095500"/>
          <a:ext cx="7829549" cy="1838325"/>
        </a:xfrm>
        <a:prstGeom prst="rect">
          <a:avLst/>
        </a:prstGeom>
      </xdr:spPr>
    </xdr:pic>
    <xdr:clientData/>
  </xdr:twoCellAnchor>
  <xdr:twoCellAnchor editAs="oneCell">
    <xdr:from>
      <xdr:col>12</xdr:col>
      <xdr:colOff>0</xdr:colOff>
      <xdr:row>20</xdr:row>
      <xdr:rowOff>0</xdr:rowOff>
    </xdr:from>
    <xdr:to>
      <xdr:col>23</xdr:col>
      <xdr:colOff>371475</xdr:colOff>
      <xdr:row>28</xdr:row>
      <xdr:rowOff>85725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4191000"/>
          <a:ext cx="7915275" cy="1762125"/>
        </a:xfrm>
        <a:prstGeom prst="rect">
          <a:avLst/>
        </a:prstGeom>
      </xdr:spPr>
    </xdr:pic>
    <xdr:clientData/>
  </xdr:twoCellAnchor>
  <xdr:twoCellAnchor editAs="oneCell">
    <xdr:from>
      <xdr:col>11</xdr:col>
      <xdr:colOff>438150</xdr:colOff>
      <xdr:row>29</xdr:row>
      <xdr:rowOff>190501</xdr:rowOff>
    </xdr:from>
    <xdr:to>
      <xdr:col>24</xdr:col>
      <xdr:colOff>142875</xdr:colOff>
      <xdr:row>36</xdr:row>
      <xdr:rowOff>204453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981950" y="6267451"/>
          <a:ext cx="8620125" cy="1480802"/>
        </a:xfrm>
        <a:prstGeom prst="rect">
          <a:avLst/>
        </a:prstGeom>
      </xdr:spPr>
    </xdr:pic>
    <xdr:clientData/>
  </xdr:twoCellAnchor>
  <xdr:twoCellAnchor editAs="oneCell">
    <xdr:from>
      <xdr:col>18</xdr:col>
      <xdr:colOff>0</xdr:colOff>
      <xdr:row>60</xdr:row>
      <xdr:rowOff>0</xdr:rowOff>
    </xdr:from>
    <xdr:to>
      <xdr:col>29</xdr:col>
      <xdr:colOff>456201</xdr:colOff>
      <xdr:row>80</xdr:row>
      <xdr:rowOff>75667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2344400" y="12573000"/>
          <a:ext cx="8000001" cy="4266667"/>
        </a:xfrm>
        <a:prstGeom prst="rect">
          <a:avLst/>
        </a:prstGeom>
      </xdr:spPr>
    </xdr:pic>
    <xdr:clientData/>
  </xdr:twoCellAnchor>
  <xdr:twoCellAnchor editAs="oneCell">
    <xdr:from>
      <xdr:col>18</xdr:col>
      <xdr:colOff>0</xdr:colOff>
      <xdr:row>49</xdr:row>
      <xdr:rowOff>0</xdr:rowOff>
    </xdr:from>
    <xdr:to>
      <xdr:col>31</xdr:col>
      <xdr:colOff>360791</xdr:colOff>
      <xdr:row>58</xdr:row>
      <xdr:rowOff>85479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2344400" y="10267950"/>
          <a:ext cx="9276191" cy="197142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26397;&#38451;&#21306;&#21271;&#33489;&#36335;28&#21495;&#38498;1&#21495;&#27004;/P01/&#36164;&#26009;/&#21271;&#33489;&#39033;&#30446;&#31199;&#37329;&#26126;&#3245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3523.583342708334" createdVersion="6" refreshedVersion="4" minRefreshableVersion="3" recordCount="73">
  <cacheSource type="worksheet">
    <worksheetSource ref="B4:P79" sheet="Adj RR" r:id="rId2"/>
  </cacheSource>
  <cacheFields count="16">
    <cacheField name="业态" numFmtId="0">
      <sharedItems containsBlank="1" count="3">
        <s v="商业"/>
        <m/>
        <s v="办公"/>
      </sharedItems>
    </cacheField>
    <cacheField name="是否在租" numFmtId="0">
      <sharedItems containsString="0" containsBlank="1" containsNumber="1" containsInteger="1" minValue="0" maxValue="1" count="3">
        <n v="1"/>
        <n v="0"/>
        <m/>
      </sharedItems>
    </cacheField>
    <cacheField name="是否沿街" numFmtId="0">
      <sharedItems containsString="0" containsBlank="1" containsNumber="1" containsInteger="1" minValue="0" maxValue="1"/>
    </cacheField>
    <cacheField name="是否重复" numFmtId="0">
      <sharedItems containsString="0" containsBlank="1" containsNumber="1" containsInteger="1" minValue="0" maxValue="1" count="3">
        <n v="0"/>
        <n v="1"/>
        <m/>
      </sharedItems>
    </cacheField>
    <cacheField name="租户" numFmtId="0">
      <sharedItems containsBlank="1"/>
    </cacheField>
    <cacheField name="层" numFmtId="0">
      <sharedItems containsBlank="1"/>
    </cacheField>
    <cacheField name="单元" numFmtId="0">
      <sharedItems containsBlank="1" containsMixedTypes="1" containsNumber="1" containsInteger="1" minValue="101" maxValue="409"/>
    </cacheField>
    <cacheField name="计租面积" numFmtId="0">
      <sharedItems containsString="0" containsBlank="1" containsNumber="1" minValue="27.1" maxValue="6540"/>
    </cacheField>
    <cacheField name="开始日" numFmtId="14">
      <sharedItems containsNonDate="0" containsDate="1" containsString="0" containsBlank="1" minDate="2017-05-01T00:00:00" maxDate="2028-01-02T00:00:00"/>
    </cacheField>
    <cacheField name="结束日" numFmtId="14">
      <sharedItems containsNonDate="0" containsDate="1" containsString="0" containsBlank="1" minDate="2019-04-30T00:00:00" maxDate="2028-07-01T00:00:00"/>
    </cacheField>
    <cacheField name="日租金" numFmtId="43">
      <sharedItems containsString="0" containsBlank="1" containsNumber="1" minValue="2.6" maxValue="18.7"/>
    </cacheField>
    <cacheField name="租金*面积" numFmtId="178">
      <sharedItems containsString="0" containsBlank="1" containsNumber="1" minValue="0" maxValue="49063.013698630151"/>
    </cacheField>
    <cacheField name="违约成本1" numFmtId="0">
      <sharedItems containsString="0" containsBlank="1" containsNumber="1" minValue="3.01" maxValue="400"/>
    </cacheField>
    <cacheField name="违约成本2" numFmtId="0">
      <sharedItems containsBlank="1"/>
    </cacheField>
    <cacheField name="备注" numFmtId="0">
      <sharedItems containsBlank="1" containsMixedTypes="1" containsNumber="1" minValue="260703.89" maxValue="403207.3"/>
    </cacheField>
    <cacheField name="加权平均日租金" numFmtId="0" formula="'租金*面积'/计租面积"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
  <r>
    <x v="0"/>
    <x v="0"/>
    <n v="1"/>
    <x v="0"/>
    <s v="必胜客"/>
    <s v="1F"/>
    <n v="101"/>
    <n v="320"/>
    <d v="2019-01-01T00:00:00"/>
    <d v="2019-12-31T00:00:00"/>
    <n v="9.237419520547947"/>
    <n v="2955.9742465753429"/>
    <m/>
    <s v="合同载“任何单方面终止本合同皆视为违约，违约方应向对方赔偿因本合同提前终止而遭受的一切损失"/>
    <m/>
  </r>
  <r>
    <x v="0"/>
    <x v="0"/>
    <n v="1"/>
    <x v="1"/>
    <s v="必胜客"/>
    <s v="1F"/>
    <n v="101"/>
    <n v="320"/>
    <d v="2020-01-01T00:00:00"/>
    <d v="2020-12-31T00:00:00"/>
    <n v="10.222054452054795"/>
    <n v="3271.0574246575343"/>
    <m/>
    <m/>
    <m/>
  </r>
  <r>
    <x v="0"/>
    <x v="0"/>
    <n v="1"/>
    <x v="1"/>
    <s v="必胜客"/>
    <s v="1F"/>
    <n v="101"/>
    <n v="320"/>
    <d v="2021-01-01T00:00:00"/>
    <d v="2021-12-31T00:00:00"/>
    <n v="10.374506849315068"/>
    <n v="3319.8421917808218"/>
    <m/>
    <m/>
    <m/>
  </r>
  <r>
    <x v="0"/>
    <x v="0"/>
    <n v="1"/>
    <x v="1"/>
    <s v="必胜客"/>
    <s v="1F"/>
    <n v="101"/>
    <n v="320"/>
    <d v="2022-01-01T00:00:00"/>
    <d v="2022-12-31T00:00:00"/>
    <n v="11.24425993150685"/>
    <n v="3598.1631780821917"/>
    <m/>
    <m/>
    <m/>
  </r>
  <r>
    <x v="0"/>
    <x v="0"/>
    <n v="1"/>
    <x v="1"/>
    <s v="必胜客"/>
    <s v="1F"/>
    <n v="101"/>
    <n v="320"/>
    <d v="2023-01-01T00:00:00"/>
    <d v="2023-12-31T00:00:00"/>
    <n v="11.411957534246575"/>
    <n v="3651.826410958904"/>
    <m/>
    <m/>
    <m/>
  </r>
  <r>
    <x v="0"/>
    <x v="0"/>
    <n v="1"/>
    <x v="1"/>
    <s v="必胜客"/>
    <s v="1F"/>
    <n v="101"/>
    <n v="320"/>
    <d v="2024-01-01T00:00:00"/>
    <d v="2024-12-31T00:00:00"/>
    <n v="12.368685958904109"/>
    <n v="3957.9795068493149"/>
    <m/>
    <m/>
    <n v="361165.63"/>
  </r>
  <r>
    <x v="0"/>
    <x v="0"/>
    <n v="1"/>
    <x v="1"/>
    <s v="必胜客"/>
    <s v="1F"/>
    <n v="101"/>
    <n v="320"/>
    <d v="2025-01-01T00:00:00"/>
    <d v="2025-12-31T00:00:00"/>
    <n v="12.552126027397261"/>
    <n v="4016.6803287671237"/>
    <m/>
    <m/>
    <n v="366522.08"/>
  </r>
  <r>
    <x v="0"/>
    <x v="0"/>
    <n v="1"/>
    <x v="1"/>
    <s v="必胜客"/>
    <s v="1F"/>
    <n v="101"/>
    <n v="320"/>
    <d v="2026-01-01T00:00:00"/>
    <d v="2026-12-31T00:00:00"/>
    <n v="13.605554794520549"/>
    <n v="4353.7775342465757"/>
    <m/>
    <m/>
    <n v="397282.2"/>
  </r>
  <r>
    <x v="0"/>
    <x v="0"/>
    <n v="1"/>
    <x v="1"/>
    <s v="必胜客"/>
    <s v="1F"/>
    <n v="101"/>
    <n v="320"/>
    <d v="2027-01-01T00:00:00"/>
    <d v="2027-12-31T00:00:00"/>
    <n v="13.808469178082191"/>
    <n v="4418.7101369863012"/>
    <m/>
    <m/>
    <n v="403207.3"/>
  </r>
  <r>
    <x v="0"/>
    <x v="0"/>
    <n v="1"/>
    <x v="1"/>
    <s v="必胜客"/>
    <s v="1F"/>
    <n v="101"/>
    <n v="320"/>
    <d v="2028-01-01T00:00:00"/>
    <d v="2028-02-29T00:00:00"/>
    <n v="13.578327604166669"/>
    <n v="4345.0648333333338"/>
    <m/>
    <m/>
    <n v="260703.89"/>
  </r>
  <r>
    <x v="0"/>
    <x v="0"/>
    <n v="1"/>
    <x v="0"/>
    <s v="和合谷"/>
    <s v="1F"/>
    <n v="102"/>
    <n v="80"/>
    <d v="2018-03-21T00:00:00"/>
    <d v="2020-03-20T00:00:00"/>
    <n v="14.74"/>
    <n v="1179.2"/>
    <n v="9.782"/>
    <s v="赔偿所有损失"/>
    <m/>
  </r>
  <r>
    <x v="0"/>
    <x v="0"/>
    <n v="1"/>
    <x v="1"/>
    <s v="和合谷"/>
    <s v="1F"/>
    <n v="102"/>
    <n v="80"/>
    <d v="2020-03-21T00:00:00"/>
    <d v="2021-03-21T00:00:00"/>
    <n v="16.21"/>
    <n v="1296.8000000000002"/>
    <m/>
    <m/>
    <m/>
  </r>
  <r>
    <x v="0"/>
    <x v="0"/>
    <n v="1"/>
    <x v="0"/>
    <s v="品聚成功（李连贵）"/>
    <s v="1F"/>
    <n v="103"/>
    <n v="158"/>
    <d v="2018-03-01T00:00:00"/>
    <d v="2020-02-29T00:00:00"/>
    <n v="14.74"/>
    <n v="2328.92"/>
    <n v="19.319400000000002"/>
    <s v="赔偿装修损失"/>
    <m/>
  </r>
  <r>
    <x v="0"/>
    <x v="0"/>
    <n v="1"/>
    <x v="1"/>
    <s v="品聚成功（李连贵）"/>
    <s v="1F"/>
    <n v="103"/>
    <n v="158"/>
    <d v="2020-03-01T00:00:00"/>
    <d v="2022-02-28T00:00:00"/>
    <n v="16.21"/>
    <n v="2561.1800000000003"/>
    <m/>
    <m/>
    <m/>
  </r>
  <r>
    <x v="0"/>
    <x v="0"/>
    <n v="1"/>
    <x v="0"/>
    <s v="无"/>
    <s v="1F"/>
    <n v="105"/>
    <n v="78"/>
    <m/>
    <m/>
    <m/>
    <m/>
    <m/>
    <m/>
    <s v="邻里家已于2018年12月6日签订退租协议，台账中显示为2018年12月新签邻鲜便利店，但是一直未进驻"/>
  </r>
  <r>
    <x v="0"/>
    <x v="0"/>
    <n v="0"/>
    <x v="0"/>
    <s v="拾锅百味"/>
    <s v="1F"/>
    <n v="106"/>
    <n v="196"/>
    <d v="2018-02-01T00:00:00"/>
    <d v="2020-01-31T00:00:00"/>
    <n v="8.0299999999999994"/>
    <n v="1573.8799999999999"/>
    <n v="13.055999999999999"/>
    <s v="赔偿装修损失"/>
    <m/>
  </r>
  <r>
    <x v="0"/>
    <x v="0"/>
    <n v="0"/>
    <x v="1"/>
    <s v="拾锅百味"/>
    <s v="1F"/>
    <n v="106"/>
    <n v="196"/>
    <d v="2020-02-01T00:00:00"/>
    <d v="2021-01-31T00:00:00"/>
    <n v="8.83"/>
    <n v="1730.68"/>
    <m/>
    <m/>
    <m/>
  </r>
  <r>
    <x v="0"/>
    <x v="0"/>
    <n v="0"/>
    <x v="0"/>
    <s v="大鸡合大利"/>
    <s v="1F"/>
    <n v="107"/>
    <n v="171"/>
    <d v="2018-09-01T00:00:00"/>
    <d v="2020-08-31T00:00:00"/>
    <n v="7.8"/>
    <n v="1333.8"/>
    <n v="12.1709"/>
    <s v="赔偿装修损失"/>
    <m/>
  </r>
  <r>
    <x v="1"/>
    <x v="0"/>
    <n v="1"/>
    <x v="1"/>
    <s v="大鸡合大利"/>
    <s v="2F"/>
    <n v="107"/>
    <n v="171"/>
    <d v="2020-09-01T00:00:00"/>
    <d v="2022-06-24T00:00:00"/>
    <n v="8.58"/>
    <n v="1467.18"/>
    <m/>
    <m/>
    <m/>
  </r>
  <r>
    <x v="0"/>
    <x v="0"/>
    <n v="0"/>
    <x v="0"/>
    <s v="秦面轩"/>
    <s v="1F"/>
    <n v="108"/>
    <n v="171"/>
    <d v="2018-05-16T00:00:00"/>
    <d v="2020-05-15T00:00:00"/>
    <n v="8.14"/>
    <n v="1391.94"/>
    <n v="11.546799999999999"/>
    <s v="赔偿装修损失"/>
    <m/>
  </r>
  <r>
    <x v="0"/>
    <x v="0"/>
    <n v="0"/>
    <x v="1"/>
    <s v="秦面轩"/>
    <s v="1F"/>
    <n v="108"/>
    <n v="171"/>
    <d v="2020-05-16T00:00:00"/>
    <d v="2021-05-15T00:00:00"/>
    <n v="8.9499999999999993"/>
    <n v="1530.4499999999998"/>
    <m/>
    <m/>
    <m/>
  </r>
  <r>
    <x v="0"/>
    <x v="0"/>
    <n v="0"/>
    <x v="0"/>
    <s v="三和屋"/>
    <s v="1F"/>
    <n v="109"/>
    <n v="177"/>
    <d v="2018-04-16T00:00:00"/>
    <d v="2020-04-15T00:00:00"/>
    <n v="8.0299999999999994"/>
    <n v="1421.31"/>
    <n v="11.7904"/>
    <s v="赔偿装修损失"/>
    <m/>
  </r>
  <r>
    <x v="0"/>
    <x v="0"/>
    <n v="0"/>
    <x v="1"/>
    <s v="三和屋"/>
    <s v="1F"/>
    <n v="109"/>
    <n v="177"/>
    <d v="2020-04-16T00:00:00"/>
    <d v="2021-04-15T00:00:00"/>
    <n v="8.83"/>
    <n v="1562.91"/>
    <m/>
    <m/>
    <m/>
  </r>
  <r>
    <x v="0"/>
    <x v="0"/>
    <n v="0"/>
    <x v="0"/>
    <s v="赣悦汤厨"/>
    <s v="1F"/>
    <n v="111"/>
    <n v="321"/>
    <d v="2018-03-01T00:00:00"/>
    <d v="2020-02-28T00:00:00"/>
    <n v="5.94"/>
    <n v="1906.7400000000002"/>
    <n v="15.817299999999999"/>
    <s v="赔偿装修损失"/>
    <m/>
  </r>
  <r>
    <x v="0"/>
    <x v="0"/>
    <n v="0"/>
    <x v="1"/>
    <s v="赣悦汤厨"/>
    <s v="1F"/>
    <n v="111"/>
    <n v="321"/>
    <d v="2020-03-01T00:00:00"/>
    <d v="2022-02-28T00:00:00"/>
    <n v="6.53"/>
    <n v="2096.13"/>
    <m/>
    <m/>
    <m/>
  </r>
  <r>
    <x v="0"/>
    <x v="0"/>
    <n v="0"/>
    <x v="0"/>
    <s v="小院食光"/>
    <s v="1F"/>
    <n v="112"/>
    <n v="242"/>
    <d v="2018-01-01T00:00:00"/>
    <d v="2019-12-31T00:00:00"/>
    <n v="6.38"/>
    <n v="1543.96"/>
    <n v="12.1198"/>
    <s v="赔偿装修损失"/>
    <m/>
  </r>
  <r>
    <x v="0"/>
    <x v="0"/>
    <n v="0"/>
    <x v="1"/>
    <s v="小院食光"/>
    <s v="1F"/>
    <n v="112"/>
    <n v="242"/>
    <d v="2020-01-01T00:00:00"/>
    <d v="2020-12-31T00:00:00"/>
    <n v="7.02"/>
    <n v="1698.84"/>
    <m/>
    <m/>
    <m/>
  </r>
  <r>
    <x v="0"/>
    <x v="0"/>
    <n v="0"/>
    <x v="0"/>
    <s v="雕刻时光"/>
    <s v="1F"/>
    <n v="115"/>
    <n v="229"/>
    <d v="2018-02-01T00:00:00"/>
    <d v="2020-01-31T00:00:00"/>
    <n v="9.1300000000000008"/>
    <n v="2090.77"/>
    <n v="17.343900000000001"/>
    <s v="赔偿装修损失"/>
    <m/>
  </r>
  <r>
    <x v="0"/>
    <x v="0"/>
    <n v="0"/>
    <x v="1"/>
    <s v="雕刻时光"/>
    <s v="1F"/>
    <n v="115"/>
    <n v="229"/>
    <d v="2020-02-01T00:00:00"/>
    <d v="2022-01-31T00:00:00"/>
    <n v="10.039999999999999"/>
    <n v="2299.16"/>
    <m/>
    <m/>
    <m/>
  </r>
  <r>
    <x v="0"/>
    <x v="0"/>
    <n v="0"/>
    <x v="1"/>
    <s v="雕刻时光"/>
    <s v="1F"/>
    <n v="115"/>
    <n v="229"/>
    <d v="2022-02-01T00:00:00"/>
    <d v="2024-01-31T00:00:00"/>
    <n v="11.05"/>
    <n v="2530.4500000000003"/>
    <m/>
    <m/>
    <m/>
  </r>
  <r>
    <x v="0"/>
    <x v="0"/>
    <n v="0"/>
    <x v="0"/>
    <s v="保护地友好生态科技"/>
    <s v="1F"/>
    <n v="116"/>
    <n v="299"/>
    <d v="2018-01-01T00:00:00"/>
    <d v="2019-12-31T00:00:00"/>
    <n v="6.6"/>
    <n v="1973.3999999999999"/>
    <n v="16.370200000000001"/>
    <s v="赔偿装修损失"/>
    <m/>
  </r>
  <r>
    <x v="0"/>
    <x v="0"/>
    <n v="0"/>
    <x v="1"/>
    <s v="保护地友好生态科技"/>
    <s v="1F"/>
    <n v="116"/>
    <n v="299"/>
    <d v="2020-01-01T00:00:00"/>
    <d v="2020-12-31T00:00:00"/>
    <n v="7.26"/>
    <n v="2170.7399999999998"/>
    <m/>
    <m/>
    <m/>
  </r>
  <r>
    <x v="0"/>
    <x v="0"/>
    <n v="0"/>
    <x v="0"/>
    <s v="汉口码头（包房）"/>
    <s v="1F"/>
    <n v="117"/>
    <n v="58"/>
    <d v="2017-07-01T00:00:00"/>
    <d v="2019-06-30T00:00:00"/>
    <n v="7"/>
    <n v="406"/>
    <n v="3.7046999999999999"/>
    <m/>
    <m/>
  </r>
  <r>
    <x v="0"/>
    <x v="0"/>
    <n v="0"/>
    <x v="1"/>
    <s v="汉口码头（包房）"/>
    <s v="1F"/>
    <n v="117"/>
    <n v="58"/>
    <d v="2019-07-01T00:00:00"/>
    <d v="2021-06-30T00:00:00"/>
    <n v="7.7"/>
    <n v="446.6"/>
    <m/>
    <m/>
    <m/>
  </r>
  <r>
    <x v="0"/>
    <x v="0"/>
    <n v="0"/>
    <x v="1"/>
    <s v="汉口码头（包房）"/>
    <s v="1F"/>
    <n v="117"/>
    <n v="58"/>
    <d v="2021-07-01T00:00:00"/>
    <d v="2022-06-24T00:00:00"/>
    <n v="8.4700000000000006"/>
    <n v="491.26000000000005"/>
    <m/>
    <m/>
    <m/>
  </r>
  <r>
    <x v="0"/>
    <x v="0"/>
    <n v="0"/>
    <x v="0"/>
    <s v="汉口码头"/>
    <s v="1F"/>
    <n v="110"/>
    <n v="311"/>
    <d v="2018-06-25T00:00:00"/>
    <d v="2020-06-24T00:00:00"/>
    <n v="5.72"/>
    <n v="1778.9199999999998"/>
    <n v="14.7569"/>
    <m/>
    <m/>
  </r>
  <r>
    <x v="0"/>
    <x v="0"/>
    <n v="0"/>
    <x v="1"/>
    <s v="汉口码头"/>
    <s v="1F"/>
    <n v="110"/>
    <n v="311"/>
    <d v="2020-06-25T00:00:00"/>
    <d v="2022-06-24T00:00:00"/>
    <n v="6.29"/>
    <n v="1956.19"/>
    <m/>
    <m/>
    <m/>
  </r>
  <r>
    <x v="0"/>
    <x v="1"/>
    <n v="0"/>
    <x v="0"/>
    <s v="空置"/>
    <s v="1F"/>
    <n v="118"/>
    <n v="31"/>
    <m/>
    <m/>
    <m/>
    <n v="0"/>
    <m/>
    <m/>
    <m/>
  </r>
  <r>
    <x v="0"/>
    <x v="0"/>
    <n v="1"/>
    <x v="0"/>
    <s v="众信旅游"/>
    <s v="1F"/>
    <n v="120"/>
    <n v="27.1"/>
    <d v="2018-12-01T00:00:00"/>
    <d v="2019-11-30T00:00:00"/>
    <n v="18.7"/>
    <n v="506.77"/>
    <m/>
    <s v="违约责任中未见相关表述"/>
    <s v="租金中包含物业费1.87"/>
  </r>
  <r>
    <x v="0"/>
    <x v="0"/>
    <n v="0"/>
    <x v="0"/>
    <s v="物美超市"/>
    <s v="B1"/>
    <s v="B105"/>
    <n v="5010"/>
    <d v="2018-07-01T00:00:00"/>
    <d v="2019-06-30T00:00:00"/>
    <n v="2.6"/>
    <n v="13026"/>
    <n v="400"/>
    <s v="见补充协议13.2条，违约金为200万元，赔偿经济损失，赔偿责任以400万元为限"/>
    <m/>
  </r>
  <r>
    <x v="0"/>
    <x v="0"/>
    <n v="0"/>
    <x v="1"/>
    <s v="物美超市"/>
    <s v="B1"/>
    <s v="B105"/>
    <n v="5010"/>
    <d v="2019-07-01T00:00:00"/>
    <d v="2022-06-30T00:00:00"/>
    <n v="2.73"/>
    <n v="13677.3"/>
    <m/>
    <m/>
    <m/>
  </r>
  <r>
    <x v="0"/>
    <x v="0"/>
    <n v="0"/>
    <x v="1"/>
    <s v="物美超市"/>
    <s v="B1"/>
    <s v="B105"/>
    <n v="5010"/>
    <d v="2022-07-01T00:00:00"/>
    <d v="2025-06-30T00:00:00"/>
    <n v="2.8664999999999998"/>
    <n v="14361.164999999999"/>
    <m/>
    <m/>
    <m/>
  </r>
  <r>
    <x v="0"/>
    <x v="0"/>
    <n v="0"/>
    <x v="1"/>
    <s v="物美超市"/>
    <s v="B1"/>
    <s v="B105"/>
    <n v="5010"/>
    <d v="2025-07-01T00:00:00"/>
    <d v="2028-06-30T00:00:00"/>
    <n v="3.01"/>
    <n v="15080.099999999999"/>
    <m/>
    <m/>
    <m/>
  </r>
  <r>
    <x v="0"/>
    <x v="0"/>
    <n v="1"/>
    <x v="0"/>
    <s v="西贝万家餐饮"/>
    <s v="B1"/>
    <s v="B101a"/>
    <n v="154"/>
    <d v="2018-04-16T00:00:00"/>
    <d v="2020-04-15T00:00:00"/>
    <n v="13"/>
    <n v="2002"/>
    <n v="18.2682"/>
    <s v="赔偿装修损失"/>
    <m/>
  </r>
  <r>
    <x v="0"/>
    <x v="0"/>
    <n v="1"/>
    <x v="1"/>
    <s v="西贝万家餐饮"/>
    <s v="B1"/>
    <s v="B101a"/>
    <n v="154"/>
    <d v="2020-04-16T00:00:00"/>
    <d v="2022-04-15T00:00:00"/>
    <n v="14.3"/>
    <n v="2202.2000000000003"/>
    <m/>
    <m/>
    <m/>
  </r>
  <r>
    <x v="0"/>
    <x v="0"/>
    <n v="1"/>
    <x v="1"/>
    <s v="西贝万家餐饮"/>
    <s v="B1"/>
    <s v="B101a"/>
    <n v="154"/>
    <d v="2022-04-16T00:00:00"/>
    <d v="2024-04-15T00:00:00"/>
    <n v="15.730000000000002"/>
    <n v="2422.4200000000005"/>
    <m/>
    <m/>
    <m/>
  </r>
  <r>
    <x v="0"/>
    <x v="1"/>
    <n v="0"/>
    <x v="0"/>
    <s v="空置"/>
    <s v="B1"/>
    <s v="B101b"/>
    <n v="32"/>
    <m/>
    <m/>
    <m/>
    <n v="0"/>
    <m/>
    <s v="原租户星客多退租"/>
    <m/>
  </r>
  <r>
    <x v="0"/>
    <x v="0"/>
    <n v="0"/>
    <x v="0"/>
    <s v="北京开盛餐饮（鱼你在一起）"/>
    <s v="B1"/>
    <s v="B102"/>
    <n v="90"/>
    <d v="2019-01-01T00:00:00"/>
    <d v="2020-12-31T00:00:00"/>
    <n v="13.5"/>
    <n v="1215"/>
    <m/>
    <s v="原租户味多美退租"/>
    <m/>
  </r>
  <r>
    <x v="1"/>
    <x v="0"/>
    <n v="0"/>
    <x v="1"/>
    <s v="北京开盛餐饮（鱼你在一起）"/>
    <s v="B1"/>
    <s v="B102"/>
    <n v="90"/>
    <d v="2021-01-01T00:00:00"/>
    <d v="2022-12-31T00:00:00"/>
    <n v="14.85"/>
    <n v="1336.5"/>
    <m/>
    <m/>
    <m/>
  </r>
  <r>
    <x v="1"/>
    <x v="0"/>
    <n v="0"/>
    <x v="1"/>
    <s v="北京开盛餐饮（鱼你在一起）"/>
    <s v="B1"/>
    <s v="B102"/>
    <n v="90"/>
    <d v="2023-01-01T00:00:00"/>
    <d v="2023-12-31T00:00:00"/>
    <n v="16.335000000000001"/>
    <n v="1470.15"/>
    <m/>
    <m/>
    <m/>
  </r>
  <r>
    <x v="0"/>
    <x v="0"/>
    <n v="0"/>
    <x v="0"/>
    <s v="中讯通和商贸（中国移动）"/>
    <s v="B1"/>
    <s v="B106"/>
    <n v="32.06"/>
    <d v="2017-07-01T00:00:00"/>
    <d v="2019-06-30T00:00:00"/>
    <n v="10.3"/>
    <n v="330.21800000000007"/>
    <n v="3.01"/>
    <s v="赔偿装修损失"/>
    <s v="地图上未找到，台账中未找到"/>
  </r>
  <r>
    <x v="0"/>
    <x v="0"/>
    <n v="1"/>
    <x v="0"/>
    <s v="招商证券"/>
    <s v="B1"/>
    <s v="B103"/>
    <n v="212"/>
    <d v="2017-05-01T00:00:00"/>
    <d v="2019-04-30T00:00:00"/>
    <n v="10.3"/>
    <n v="2183.6000000000004"/>
    <n v="19.9253"/>
    <s v="赔偿装修损失"/>
    <m/>
  </r>
  <r>
    <x v="0"/>
    <x v="0"/>
    <n v="1"/>
    <x v="1"/>
    <s v="招商证券"/>
    <s v="B1"/>
    <s v="B103"/>
    <n v="212"/>
    <d v="2019-05-01T00:00:00"/>
    <d v="2021-04-30T00:00:00"/>
    <n v="11.33"/>
    <n v="2401.96"/>
    <m/>
    <m/>
    <m/>
  </r>
  <r>
    <x v="0"/>
    <x v="0"/>
    <n v="1"/>
    <x v="1"/>
    <s v="招商证券"/>
    <s v="B1"/>
    <s v="B103"/>
    <n v="212"/>
    <d v="2021-05-01T00:00:00"/>
    <d v="2022-04-30T00:00:00"/>
    <n v="12.46"/>
    <n v="2641.52"/>
    <m/>
    <m/>
    <m/>
  </r>
  <r>
    <x v="2"/>
    <x v="0"/>
    <n v="0"/>
    <x v="0"/>
    <s v="百佑科技"/>
    <s v="2F"/>
    <n v="201"/>
    <n v="6540"/>
    <d v="2018-02-01T00:00:00"/>
    <d v="2020-01-31T00:00:00"/>
    <n v="6.199991621632944"/>
    <n v="40547.945205479453"/>
    <m/>
    <s v="还须赔偿其他损失"/>
    <m/>
  </r>
  <r>
    <x v="2"/>
    <x v="0"/>
    <n v="0"/>
    <x v="1"/>
    <s v="百佑科技"/>
    <s v="2F"/>
    <n v="201"/>
    <n v="6540"/>
    <d v="2020-02-01T00:00:00"/>
    <d v="2022-01-31T00:00:00"/>
    <n v="6.8199907837962392"/>
    <n v="44602.739726027401"/>
    <m/>
    <m/>
    <m/>
  </r>
  <r>
    <x v="2"/>
    <x v="0"/>
    <n v="0"/>
    <x v="1"/>
    <s v="百佑科技"/>
    <s v="2F"/>
    <n v="201"/>
    <n v="6540"/>
    <d v="2022-02-01T00:00:00"/>
    <d v="2023-01-31T00:00:00"/>
    <n v="7.5019898621758641"/>
    <n v="49063.013698630151"/>
    <m/>
    <m/>
    <m/>
  </r>
  <r>
    <x v="2"/>
    <x v="0"/>
    <n v="0"/>
    <x v="0"/>
    <s v="蓝图时代科技"/>
    <s v="3F"/>
    <s v="301B-01"/>
    <n v="1221"/>
    <d v="2018-01-01T00:00:00"/>
    <d v="2019-12-31T00:00:00"/>
    <n v="6.16"/>
    <n v="7521.3600000000006"/>
    <m/>
    <s v="还须赔偿其他损失"/>
    <s v="2016年10月起租"/>
  </r>
  <r>
    <x v="2"/>
    <x v="0"/>
    <n v="0"/>
    <x v="1"/>
    <s v="蓝图时代科技"/>
    <s v="3F"/>
    <s v="301B-01"/>
    <n v="1221"/>
    <d v="2020-01-01T00:00:00"/>
    <d v="2020-12-31T00:00:00"/>
    <n v="6.7759999999999998"/>
    <n v="8273.4959999999992"/>
    <m/>
    <m/>
    <m/>
  </r>
  <r>
    <x v="2"/>
    <x v="0"/>
    <n v="0"/>
    <x v="0"/>
    <s v="优格华恒资本管理"/>
    <s v="3F"/>
    <n v="302"/>
    <n v="50"/>
    <d v="2018-01-01T00:00:00"/>
    <d v="2019-12-31T00:00:00"/>
    <n v="6.16"/>
    <n v="308"/>
    <m/>
    <s v="还须赔偿其他损失"/>
    <s v="2016年10月起租"/>
  </r>
  <r>
    <x v="2"/>
    <x v="0"/>
    <n v="0"/>
    <x v="1"/>
    <s v="优格华恒资本管理"/>
    <s v="3F"/>
    <n v="302"/>
    <n v="50"/>
    <d v="2020-01-01T00:00:00"/>
    <d v="2020-12-31T00:00:00"/>
    <n v="6.7759999999999998"/>
    <n v="338.8"/>
    <m/>
    <m/>
    <m/>
  </r>
  <r>
    <x v="2"/>
    <x v="0"/>
    <n v="0"/>
    <x v="0"/>
    <s v="上海中清龙图"/>
    <s v="3F"/>
    <n v="301"/>
    <n v="3104"/>
    <d v="2018-01-01T00:00:00"/>
    <d v="2019-12-31T00:00:00"/>
    <n v="6.16"/>
    <n v="19120.64"/>
    <m/>
    <s v="还须赔偿其他损失"/>
    <s v="2016年1月起租"/>
  </r>
  <r>
    <x v="2"/>
    <x v="0"/>
    <n v="0"/>
    <x v="1"/>
    <s v="上海中清龙图"/>
    <s v="3F"/>
    <n v="301"/>
    <n v="3104"/>
    <d v="2020-01-01T00:00:00"/>
    <d v="2020-12-31T00:00:00"/>
    <n v="6.7759999999999998"/>
    <n v="21032.703999999998"/>
    <m/>
    <m/>
    <m/>
  </r>
  <r>
    <x v="2"/>
    <x v="0"/>
    <n v="0"/>
    <x v="0"/>
    <s v="上海中清龙图"/>
    <s v="3F"/>
    <n v="303"/>
    <n v="1729"/>
    <d v="2018-01-01T00:00:00"/>
    <d v="2019-12-31T00:00:00"/>
    <n v="6.16"/>
    <n v="10650.64"/>
    <m/>
    <s v="还须赔偿其他损失"/>
    <s v="2016年10月起租"/>
  </r>
  <r>
    <x v="2"/>
    <x v="0"/>
    <n v="0"/>
    <x v="1"/>
    <s v="上海中清龙图"/>
    <s v="3F"/>
    <n v="303"/>
    <n v="1729"/>
    <d v="2020-01-01T00:00:00"/>
    <d v="2020-12-31T00:00:00"/>
    <n v="6.7759999999999998"/>
    <n v="11715.704"/>
    <m/>
    <m/>
    <m/>
  </r>
  <r>
    <x v="2"/>
    <x v="0"/>
    <n v="0"/>
    <x v="0"/>
    <s v="上海中清龙图"/>
    <s v="4F"/>
    <n v="401"/>
    <n v="2180.04"/>
    <d v="2018-01-01T00:00:00"/>
    <d v="2019-12-31T00:00:00"/>
    <n v="5.72"/>
    <n v="12469.828799999999"/>
    <m/>
    <m/>
    <s v="中清龙图整租4层后，部分面积又由金百联创重租给嗨学和乔戈，相关约定详见中清龙图补充协议1和2，面积2180是台账中记载"/>
  </r>
  <r>
    <x v="2"/>
    <x v="0"/>
    <n v="0"/>
    <x v="1"/>
    <s v="上海中清龙图"/>
    <s v="4F"/>
    <n v="401"/>
    <n v="2180.04"/>
    <d v="2020-01-01T00:00:00"/>
    <d v="2020-12-31T00:00:00"/>
    <n v="6.2919999999999998"/>
    <n v="13716.811679999999"/>
    <m/>
    <m/>
    <m/>
  </r>
  <r>
    <x v="2"/>
    <x v="0"/>
    <n v="0"/>
    <x v="0"/>
    <s v="嗨学网教育科技"/>
    <s v="4F"/>
    <n v="407"/>
    <n v="3518"/>
    <d v="2019-01-01T00:00:00"/>
    <d v="2019-12-31T00:00:00"/>
    <n v="6.2"/>
    <n v="21811.600000000002"/>
    <m/>
    <s v="还须赔偿其他损失"/>
    <m/>
  </r>
  <r>
    <x v="2"/>
    <x v="0"/>
    <n v="0"/>
    <x v="1"/>
    <s v="嗨学网教育科技"/>
    <s v="4F"/>
    <n v="407"/>
    <n v="3518"/>
    <d v="2020-01-01T00:00:00"/>
    <d v="2020-12-30T00:00:00"/>
    <n v="6.82"/>
    <n v="23992.760000000002"/>
    <m/>
    <m/>
    <m/>
  </r>
  <r>
    <x v="2"/>
    <x v="0"/>
    <n v="0"/>
    <x v="0"/>
    <s v="乔戈文化"/>
    <s v="4F"/>
    <n v="409"/>
    <n v="828.67"/>
    <d v="2019-01-01T00:00:00"/>
    <d v="2019-12-31T00:00:00"/>
    <n v="6.2"/>
    <n v="5137.7539999999999"/>
    <m/>
    <s v="还须赔偿其他损失"/>
    <m/>
  </r>
  <r>
    <x v="2"/>
    <x v="0"/>
    <n v="0"/>
    <x v="1"/>
    <s v="乔戈文化"/>
    <s v="4F"/>
    <n v="409"/>
    <n v="828.67"/>
    <d v="2020-01-01T00:00:00"/>
    <d v="2020-12-31T00:00:00"/>
    <n v="6.82"/>
    <n v="5651.5294000000004"/>
    <m/>
    <m/>
    <m/>
  </r>
  <r>
    <x v="1"/>
    <x v="2"/>
    <m/>
    <x v="2"/>
    <m/>
    <m/>
    <m/>
    <m/>
    <m/>
    <m/>
    <m/>
    <m/>
    <m/>
    <m/>
    <m/>
  </r>
  <r>
    <x v="1"/>
    <x v="2"/>
    <m/>
    <x v="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5" indent="0" outline="1" outlineData="1" multipleFieldFilters="0">
  <location ref="A6:E9" firstHeaderRow="0" firstDataRow="1" firstDataCol="1" rowPageCount="2" colPageCount="1"/>
  <pivotFields count="16">
    <pivotField axis="axisRow" showAll="0">
      <items count="4">
        <item x="2"/>
        <item x="0"/>
        <item x="1"/>
        <item t="default"/>
      </items>
    </pivotField>
    <pivotField axis="axisPage" multipleItemSelectionAllowed="1" showAll="0">
      <items count="4">
        <item h="1" x="1"/>
        <item x="0"/>
        <item h="1" x="2"/>
        <item t="default"/>
      </items>
    </pivotField>
    <pivotField showAll="0"/>
    <pivotField axis="axisPage" multipleItemSelectionAllowed="1" showAll="0">
      <items count="4">
        <item x="0"/>
        <item h="1" x="1"/>
        <item h="1" x="2"/>
        <item t="default"/>
      </items>
    </pivotField>
    <pivotField dataField="1" showAll="0"/>
    <pivotField showAll="0"/>
    <pivotField showAll="0"/>
    <pivotField dataField="1" numFmtId="200" showAll="0"/>
    <pivotField showAll="0"/>
    <pivotField showAll="0"/>
    <pivotField showAll="0"/>
    <pivotField dataField="1" numFmtId="197" showAll="0" defaultSubtotal="0"/>
    <pivotField showAll="0"/>
    <pivotField showAll="0"/>
    <pivotField showAll="0"/>
    <pivotField dataField="1" dragToRow="0" dragToCol="0" dragToPage="0" showAll="0" defaultSubtotal="0"/>
  </pivotFields>
  <rowFields count="1">
    <field x="0"/>
  </rowFields>
  <rowItems count="3">
    <i>
      <x/>
    </i>
    <i>
      <x v="1"/>
    </i>
    <i t="grand">
      <x/>
    </i>
  </rowItems>
  <colFields count="1">
    <field x="-2"/>
  </colFields>
  <colItems count="4">
    <i>
      <x/>
    </i>
    <i i="1">
      <x v="1"/>
    </i>
    <i i="2">
      <x v="2"/>
    </i>
    <i i="3">
      <x v="3"/>
    </i>
  </colItems>
  <pageFields count="2">
    <pageField fld="1" hier="-1"/>
    <pageField fld="3" hier="-1"/>
  </pageFields>
  <dataFields count="4">
    <dataField name="求和项:计租面积" fld="7" baseField="0" baseItem="0"/>
    <dataField name="求和项:加权平均日租金" fld="15" baseField="0" baseItem="0"/>
    <dataField name="求和项:租金*面积" fld="11" baseField="0" baseItem="0"/>
    <dataField name="计数项:租户" fld="4" subtotal="count" baseField="0" baseItem="0"/>
  </dataFields>
  <formats count="3">
    <format dxfId="2">
      <pivotArea grandRow="1" outline="0" collapsedLevelsAreSubtotals="1" fieldPosition="0"/>
    </format>
    <format dxfId="1">
      <pivotArea field="0" grandRow="1" outline="0" collapsedLevelsAreSubtotals="1" axis="axisRow" fieldPosition="0">
        <references count="1">
          <reference field="4294967294" count="1" selected="0">
            <x v="1"/>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北京市朝阳区北苑路28号院1号楼房地产抵押价值预评估</v>
      </c>
    </row>
    <row r="3" spans="1:2" s="1592" customFormat="1">
      <c r="A3" s="1590" t="s">
        <v>1217</v>
      </c>
      <c r="B3" s="1591" t="str">
        <f>'预评函-封皮'!B40</f>
        <v>北京道乐科技发展有限公司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受贵公司委托，我公司对北京市朝阳区北苑路28号院1号楼房地产抵押价值进行了预评估。</v>
      </c>
    </row>
    <row r="7" spans="1:2" s="1592" customFormat="1">
      <c r="A7" s="1590" t="s">
        <v>1260</v>
      </c>
      <c r="B7" s="1591" t="str">
        <f>'预评函-1'!A7</f>
        <v>估价对象为北京市朝阳区北苑路28号院1号楼房地产，为北京道乐科技发展有限公司所有。根据《国有土地使用证》[]，估价对象（分摊）出让国有建设用地使用权面积为10186.06平方米，建筑面积为34740.85平方米。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为估价委托人在向办理贷款手续过程中，确定房地产抵押贷款额度提供参考依据而评估房地产抵押价值。</v>
      </c>
    </row>
    <row r="12" spans="1:2" s="1592" customFormat="1">
      <c r="A12" s="1590" t="s">
        <v>1222</v>
      </c>
      <c r="B12" s="1591" t="str">
        <f>'预评函-1'!A15</f>
        <v>2019年6月18日（评估专业人员实地查勘之日）</v>
      </c>
    </row>
    <row r="13" spans="1:2" s="1592" customFormat="1">
      <c r="A13" s="1590" t="s">
        <v>1223</v>
      </c>
      <c r="B13" s="1591" t="str">
        <f>'预评函-1'!A18</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4" spans="1:2" s="1592" customFormat="1">
      <c r="A14" s="1590" t="s">
        <v>1224</v>
      </c>
      <c r="B14" s="1591" t="str">
        <f>'预评函-1'!A19</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本次评估采用的主估价方法为收益法和基准地价系数修正法。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93490</v>
      </c>
    </row>
    <row r="21" spans="1:2" s="1592" customFormat="1">
      <c r="A21" s="1590" t="s">
        <v>1231</v>
      </c>
      <c r="B21" s="1591">
        <f ca="1">'预评函-2'!D7</f>
        <v>29983</v>
      </c>
    </row>
    <row r="22" spans="1:2" s="1592" customFormat="1">
      <c r="A22" s="1590" t="s">
        <v>1232</v>
      </c>
      <c r="B22" s="1591" t="str">
        <f ca="1">'预评函-2'!D6</f>
        <v>玖亿叁仟肆佰玖拾万元整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93490</v>
      </c>
    </row>
    <row r="31" spans="1:2" s="1592" customFormat="1">
      <c r="A31" s="1590" t="s">
        <v>1270</v>
      </c>
      <c r="B31" s="1591">
        <f ca="1">'预评函-2'!D15</f>
        <v>26911</v>
      </c>
    </row>
    <row r="32" spans="1:2" s="1592" customFormat="1">
      <c r="A32" s="1590" t="s">
        <v>1237</v>
      </c>
      <c r="B32" s="1591" t="str">
        <f ca="1">'预评函-2'!D14</f>
        <v>玖亿叁仟肆佰玖拾万元整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40527</v>
      </c>
    </row>
    <row r="39" spans="1:2" s="1592" customFormat="1">
      <c r="A39" s="1590" t="s">
        <v>1239</v>
      </c>
      <c r="B39" s="1591">
        <f ca="1">'预评函-2'!D21</f>
        <v>11666</v>
      </c>
    </row>
    <row r="40" spans="1:2" s="1592" customFormat="1">
      <c r="A40" s="1590" t="s">
        <v>1240</v>
      </c>
      <c r="B40" s="1591" t="str">
        <f ca="1">'预评函-2'!D20</f>
        <v>肆亿零伍佰贰拾柒万元整</v>
      </c>
    </row>
    <row r="41" spans="1:2" s="1592" customFormat="1">
      <c r="A41" s="1590" t="s">
        <v>1286</v>
      </c>
      <c r="B41" s="1591" t="str">
        <f>'预评函-3'!A4</f>
        <v>北京市朝阳区北苑路28号院1号楼房地产</v>
      </c>
    </row>
    <row r="42" spans="1:2" s="1592" customFormat="1">
      <c r="A42" s="1590" t="s">
        <v>1284</v>
      </c>
      <c r="B42" s="1591" t="str">
        <f>'预评函-3'!B2</f>
        <v>建筑面积</v>
      </c>
    </row>
    <row r="43" spans="1:2" s="1592" customFormat="1">
      <c r="A43" s="1590" t="s">
        <v>1285</v>
      </c>
      <c r="B43" s="1591">
        <f>'预评函-3'!B4</f>
        <v>34740.85</v>
      </c>
    </row>
    <row r="44" spans="1:2" s="1592" customFormat="1">
      <c r="A44" s="1590" t="s">
        <v>1269</v>
      </c>
      <c r="B44" s="1591" t="str">
        <f>'预评函-3'!C2</f>
        <v>(分摊)土地面积</v>
      </c>
    </row>
    <row r="45" spans="1:2" s="1592" customFormat="1">
      <c r="A45" s="1590" t="s">
        <v>1241</v>
      </c>
      <c r="B45" s="1591">
        <f>'预评函-3'!C4</f>
        <v>10186.06</v>
      </c>
    </row>
    <row r="46" spans="1:2" s="1592" customFormat="1">
      <c r="A46" s="1590" t="s">
        <v>1267</v>
      </c>
      <c r="B46" s="1591" t="str">
        <f>'预评函-3'!D2</f>
        <v>出让国有建设用地使用权价值</v>
      </c>
    </row>
    <row r="47" spans="1:2" s="1592" customFormat="1">
      <c r="A47" s="1590" t="s">
        <v>1242</v>
      </c>
      <c r="B47" s="1591">
        <f ca="1">'预评函-3'!D4</f>
        <v>74138</v>
      </c>
    </row>
    <row r="48" spans="1:2" s="1592" customFormat="1">
      <c r="A48" s="1590" t="s">
        <v>1243</v>
      </c>
      <c r="B48" s="1591">
        <f ca="1">'预评函-3'!E4</f>
        <v>23777</v>
      </c>
    </row>
    <row r="49" spans="1:2" s="1592" customFormat="1">
      <c r="A49" s="1590" t="s">
        <v>1244</v>
      </c>
      <c r="B49" s="1591" t="str">
        <f ca="1">'预评函-3'!D5</f>
        <v>柒亿肆仟壹佰叁拾捌万元整</v>
      </c>
    </row>
    <row r="50" spans="1:2" s="1592" customFormat="1">
      <c r="A50" s="1590" t="s">
        <v>1268</v>
      </c>
      <c r="B50" s="1591" t="str">
        <f>'预评函-3'!F2</f>
        <v>在建建筑物价值</v>
      </c>
    </row>
    <row r="51" spans="1:2" s="1592" customFormat="1">
      <c r="A51" s="1590" t="s">
        <v>1245</v>
      </c>
      <c r="B51" s="1591">
        <f ca="1">'预评函-3'!F4</f>
        <v>19352</v>
      </c>
    </row>
    <row r="52" spans="1:2" s="1592" customFormat="1">
      <c r="A52" s="1590" t="s">
        <v>1246</v>
      </c>
      <c r="B52" s="1591">
        <f ca="1">'预评函-3'!G4</f>
        <v>6206</v>
      </c>
    </row>
    <row r="53" spans="1:2" s="1592" customFormat="1">
      <c r="A53" s="1590" t="s">
        <v>1274</v>
      </c>
      <c r="B53" s="1591" t="str">
        <f ca="1">'预评函-3'!F5</f>
        <v>壹亿玖仟叁佰伍拾贰万元整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3218</v>
      </c>
      <c r="C17" s="2014"/>
    </row>
    <row r="18" spans="1:3">
      <c r="A18" s="2013" t="s">
        <v>1763</v>
      </c>
      <c r="B18" s="2013" t="s">
        <v>3220</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道乐科技发展有限公司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0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XX年(多用途剩余年限尾数不同时，可只体现小数点后一位)，假定未设立法定优先受偿款下的房地产市场价值。</v>
      </c>
    </row>
    <row r="54" spans="1:4">
      <c r="A54" s="3107"/>
      <c r="B54" s="2021" t="s">
        <v>861</v>
      </c>
      <c r="C54" s="2018" t="s">
        <v>1277</v>
      </c>
    </row>
    <row r="55" spans="1:4">
      <c r="A55" s="3107"/>
      <c r="B55" s="2021" t="s">
        <v>862</v>
      </c>
      <c r="C55" s="2018" t="s">
        <v>1278</v>
      </c>
    </row>
    <row r="56" spans="1:4">
      <c r="A56" s="3107"/>
      <c r="B56" s="2021" t="s">
        <v>863</v>
      </c>
      <c r="C56" s="2018" t="s">
        <v>1282</v>
      </c>
    </row>
    <row r="57" spans="1:4">
      <c r="A57" s="310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7" sqref="K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108" t="str">
        <f>IF(B10="北京市","北京市",C10)&amp;F10&amp;IF(结果表!G1="在建","出让国有建设用地使用权及在建建筑物",IF(结果表!G1="土地","出让国有建设用地使用权",))&amp;B9&amp;"预评估"</f>
        <v>北京市朝阳区北苑路28号院1号楼房地产抵押价值预评估</v>
      </c>
      <c r="C1" s="3109"/>
      <c r="D1" s="3109"/>
      <c r="E1" s="3109"/>
      <c r="F1" s="3109"/>
      <c r="G1" s="3109"/>
      <c r="H1" s="3109"/>
      <c r="I1" s="311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034" t="s">
        <v>1774</v>
      </c>
      <c r="B3" s="2035">
        <v>43634</v>
      </c>
      <c r="C3" s="2036" t="s">
        <v>1775</v>
      </c>
      <c r="D3" s="2035">
        <v>43634</v>
      </c>
      <c r="E3" s="2025"/>
      <c r="F3" s="2025"/>
      <c r="G3" s="2025"/>
      <c r="H3" s="2025"/>
      <c r="I3" s="2025"/>
      <c r="J3" s="2025"/>
      <c r="K3" s="2026"/>
      <c r="L3" s="2027"/>
      <c r="M3" s="2027"/>
      <c r="N3" s="2028"/>
      <c r="O3" s="2029"/>
      <c r="P3" s="2028"/>
      <c r="Q3" s="2028"/>
      <c r="R3" s="2028"/>
      <c r="S3" s="2030"/>
    </row>
    <row r="4" spans="1:19" ht="18" customHeight="1" thickBot="1">
      <c r="A4" s="2037" t="s">
        <v>1776</v>
      </c>
      <c r="B4" s="2038" t="s">
        <v>3051</v>
      </c>
      <c r="C4" s="1036">
        <f ca="1">SUMIF(注册房地产估价师,B4,估价师及机构信息!B3:B24)</f>
        <v>1120070131</v>
      </c>
      <c r="D4" s="2038" t="s">
        <v>3052</v>
      </c>
      <c r="E4" s="1037">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1777</v>
      </c>
      <c r="B5" s="2980"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1779</v>
      </c>
      <c r="B7" s="2980" t="s">
        <v>3053</v>
      </c>
      <c r="C7" s="2048"/>
      <c r="D7" s="2049"/>
      <c r="E7" s="2033"/>
      <c r="F7" s="2041"/>
      <c r="G7" s="2041"/>
      <c r="H7" s="2041"/>
      <c r="I7" s="2041"/>
      <c r="J7" s="2041"/>
      <c r="K7" s="2051"/>
      <c r="L7" s="2027"/>
      <c r="M7" s="2027"/>
      <c r="N7" s="2028"/>
      <c r="O7" s="2029"/>
      <c r="P7" s="2028"/>
      <c r="Q7" s="2028"/>
      <c r="R7" s="2028"/>
    </row>
    <row r="8" spans="1:19" ht="18" customHeight="1">
      <c r="A8" s="2046" t="s">
        <v>1780</v>
      </c>
      <c r="B8" s="2052" t="s">
        <v>3054</v>
      </c>
      <c r="C8" s="2053"/>
      <c r="D8" s="3111" t="s">
        <v>1781</v>
      </c>
      <c r="E8" s="2054" t="s">
        <v>3055</v>
      </c>
      <c r="F8" s="2055"/>
      <c r="G8" s="2025"/>
      <c r="H8" s="2025"/>
      <c r="I8" s="2025"/>
      <c r="J8" s="2041"/>
      <c r="K8" s="2042"/>
      <c r="L8" s="2027"/>
      <c r="M8" s="2027"/>
      <c r="N8" s="2028"/>
      <c r="O8" s="2029"/>
      <c r="P8" s="2028"/>
      <c r="Q8" s="2028"/>
      <c r="R8" s="2028"/>
    </row>
    <row r="9" spans="1:19" ht="18" customHeight="1" thickBot="1">
      <c r="A9" s="2039" t="s">
        <v>1782</v>
      </c>
      <c r="B9" s="2056" t="s">
        <v>3055</v>
      </c>
      <c r="C9" s="2057"/>
      <c r="D9" s="3112"/>
      <c r="E9" s="2056" t="s">
        <v>1281</v>
      </c>
      <c r="F9" s="2058"/>
      <c r="G9" s="2059"/>
      <c r="H9" s="2059"/>
      <c r="I9" s="2059"/>
      <c r="J9" s="2041"/>
      <c r="K9" s="2051"/>
      <c r="L9" s="2027"/>
      <c r="M9" s="2027"/>
      <c r="N9" s="2028"/>
      <c r="O9" s="2029"/>
      <c r="P9" s="2028"/>
      <c r="Q9" s="2028"/>
      <c r="R9" s="2028"/>
    </row>
    <row r="10" spans="1:19" ht="18" customHeight="1" thickTop="1" thickBot="1">
      <c r="A10" s="2060" t="s">
        <v>1783</v>
      </c>
      <c r="B10" s="2061" t="s">
        <v>3056</v>
      </c>
      <c r="C10" s="2062"/>
      <c r="D10" s="2045"/>
      <c r="E10" s="2063" t="s">
        <v>1784</v>
      </c>
      <c r="F10" s="2064" t="s">
        <v>3057</v>
      </c>
      <c r="G10" s="2065"/>
      <c r="H10" s="2066"/>
      <c r="I10" s="2045"/>
      <c r="J10" s="2041"/>
      <c r="K10" s="2051"/>
      <c r="L10" s="2027"/>
      <c r="M10" s="2027"/>
      <c r="N10" s="2028"/>
      <c r="O10" s="2029"/>
      <c r="P10" s="2028"/>
      <c r="Q10" s="2028"/>
      <c r="R10" s="2028"/>
    </row>
    <row r="11" spans="1:19" ht="18" customHeight="1" thickTop="1">
      <c r="A11" s="2067" t="s">
        <v>1785</v>
      </c>
      <c r="B11" s="2068" t="s">
        <v>3058</v>
      </c>
      <c r="C11" s="2980" t="s">
        <v>3053</v>
      </c>
      <c r="D11" s="2069"/>
      <c r="E11" s="2041"/>
      <c r="F11" s="2041"/>
      <c r="G11" s="2041"/>
      <c r="H11" s="2041"/>
      <c r="I11" s="2041"/>
      <c r="J11" s="2041"/>
      <c r="K11" s="2051"/>
      <c r="L11" s="2027"/>
      <c r="M11" s="2027"/>
      <c r="N11" s="2028"/>
      <c r="O11" s="2029"/>
      <c r="P11" s="2028"/>
      <c r="Q11" s="2028"/>
      <c r="R11" s="2028"/>
    </row>
    <row r="12" spans="1:19" ht="18" customHeight="1">
      <c r="A12" s="2070" t="s">
        <v>1786</v>
      </c>
      <c r="B12" s="2068" t="s">
        <v>3059</v>
      </c>
      <c r="C12" s="2071" t="s">
        <v>1787</v>
      </c>
      <c r="D12" s="2072" t="s">
        <v>1788</v>
      </c>
      <c r="E12" s="2072" t="s">
        <v>1789</v>
      </c>
      <c r="F12" s="2072" t="s">
        <v>1790</v>
      </c>
      <c r="G12" s="2072" t="s">
        <v>1791</v>
      </c>
      <c r="H12" s="2072" t="s">
        <v>1792</v>
      </c>
      <c r="I12" s="2072" t="s">
        <v>1793</v>
      </c>
      <c r="J12" s="2041"/>
      <c r="K12" s="2051"/>
      <c r="L12" s="2027"/>
      <c r="M12" s="2027"/>
      <c r="N12" s="2028"/>
      <c r="O12" s="2029"/>
      <c r="P12" s="2028"/>
      <c r="Q12" s="2028"/>
      <c r="R12" s="2028"/>
    </row>
    <row r="13" spans="1:19" ht="18" customHeight="1">
      <c r="A13" s="2073"/>
      <c r="B13" s="2074"/>
      <c r="C13" s="2075" t="s">
        <v>1794</v>
      </c>
      <c r="D13" s="2076"/>
      <c r="E13" s="2076">
        <v>53332</v>
      </c>
      <c r="F13" s="2076"/>
      <c r="G13" s="2076">
        <v>56984</v>
      </c>
      <c r="H13" s="2076"/>
      <c r="I13" s="1046"/>
      <c r="J13" s="2041"/>
      <c r="K13" s="2051"/>
      <c r="L13" s="2027"/>
      <c r="M13" s="2027"/>
      <c r="N13" s="2028"/>
      <c r="O13" s="2029"/>
      <c r="P13" s="2028"/>
      <c r="Q13" s="2028"/>
      <c r="R13" s="2028"/>
    </row>
    <row r="14" spans="1:19" ht="18" customHeight="1">
      <c r="A14" s="2073"/>
      <c r="B14" s="2074"/>
      <c r="C14" s="2075" t="s">
        <v>1795</v>
      </c>
      <c r="D14" s="1049"/>
      <c r="E14" s="1049">
        <v>40</v>
      </c>
      <c r="F14" s="1049"/>
      <c r="G14" s="1049">
        <v>50</v>
      </c>
      <c r="H14" s="1049"/>
      <c r="I14" s="1049"/>
      <c r="J14" s="2041"/>
      <c r="K14" s="2077"/>
      <c r="L14" s="2027"/>
      <c r="M14" s="2027"/>
      <c r="N14" s="2028"/>
      <c r="O14" s="2029"/>
      <c r="P14" s="2028"/>
      <c r="Q14" s="2028"/>
      <c r="R14" s="2028"/>
    </row>
    <row r="15" spans="1:19" ht="18" customHeight="1">
      <c r="A15" s="2060"/>
      <c r="B15" s="2078"/>
      <c r="C15" s="2075" t="s">
        <v>1796</v>
      </c>
      <c r="D15" s="1048" t="str">
        <f>IF(B12="出让",IF(D13="","",ROUNDDOWN(MIN((D13-$D$3)/365,D14),2)),D14)</f>
        <v/>
      </c>
      <c r="E15" s="1048">
        <f>IF(B12="出让",IF(E13="","",ROUNDDOWN(MIN((E13-$D$3)/365,E14),2)),E14)</f>
        <v>26.56</v>
      </c>
      <c r="F15" s="1048" t="str">
        <f>IF(B12="出让",IF(F13="","",ROUNDDOWN(MIN((F13-$D$3)/365,F14),2)),F14)</f>
        <v/>
      </c>
      <c r="G15" s="1048">
        <f>IF(B12="出让",IF(G13="","",ROUNDDOWN(MIN((G13-$D$3)/365,G14),2)),G14)</f>
        <v>36.57</v>
      </c>
      <c r="H15" s="1048" t="str">
        <f>IF(B12="出让",IF(H13="","",ROUNDDOWN(MIN((H13-$D$3)/365,H14),2)),H14)</f>
        <v/>
      </c>
      <c r="I15" s="1048" t="str">
        <f>IF(B12="出让",IF(I13="","",ROUNDDOWN(MIN((I13-$D$3)/365,I14),2)),I14)</f>
        <v/>
      </c>
      <c r="J15" s="2041"/>
      <c r="K15" s="2079"/>
      <c r="L15" s="2080"/>
      <c r="M15" s="2080"/>
      <c r="N15" s="2081"/>
      <c r="O15" s="2080"/>
      <c r="P15" s="2081"/>
      <c r="Q15" s="2028"/>
      <c r="R15" s="2028"/>
    </row>
    <row r="16" spans="1:19" ht="30.75" customHeight="1">
      <c r="A16" s="2063" t="s">
        <v>1797</v>
      </c>
      <c r="B16" s="3118" t="s">
        <v>3060</v>
      </c>
      <c r="C16" s="3119"/>
      <c r="D16" s="3120"/>
      <c r="E16" s="2082" t="s">
        <v>1798</v>
      </c>
      <c r="F16" s="3121" t="s">
        <v>3061</v>
      </c>
      <c r="G16" s="3122"/>
      <c r="H16" s="3122"/>
      <c r="I16" s="3123"/>
      <c r="J16" s="2028"/>
      <c r="K16" s="2079"/>
      <c r="L16" s="2080"/>
      <c r="M16" s="2080"/>
      <c r="N16" s="2081"/>
      <c r="O16" s="2080"/>
      <c r="P16" s="2081"/>
      <c r="Q16" s="2028"/>
      <c r="R16" s="2028"/>
    </row>
    <row r="17" spans="1:22" ht="18" customHeight="1">
      <c r="A17" s="2083" t="s">
        <v>1799</v>
      </c>
      <c r="B17" s="2034" t="s">
        <v>1800</v>
      </c>
      <c r="C17" s="1053">
        <f>'数据-汇总表'!E3</f>
        <v>34740.85</v>
      </c>
      <c r="D17" s="2084" t="s">
        <v>1801</v>
      </c>
      <c r="E17" s="3124" t="s">
        <v>1802</v>
      </c>
      <c r="F17" s="3125"/>
      <c r="G17" s="3125"/>
      <c r="H17" s="3125"/>
      <c r="I17" s="3126"/>
      <c r="J17" s="2028"/>
      <c r="K17" s="2085"/>
      <c r="L17" s="2080"/>
      <c r="M17" s="2080"/>
      <c r="N17" s="2081"/>
      <c r="O17" s="2080"/>
      <c r="P17" s="2081"/>
      <c r="Q17" s="2028"/>
      <c r="R17" s="2028"/>
      <c r="S17" s="2028"/>
      <c r="T17" s="2028"/>
      <c r="U17" s="2028"/>
      <c r="V17" s="2028"/>
    </row>
    <row r="18" spans="1:22" ht="36" customHeight="1" thickBot="1">
      <c r="A18" s="2086" t="s">
        <v>1803</v>
      </c>
      <c r="B18" s="2037" t="s">
        <v>1804</v>
      </c>
      <c r="C18" s="1443">
        <f>'数据-汇总表'!D3</f>
        <v>10186.06</v>
      </c>
      <c r="D18" s="2087" t="s">
        <v>1801</v>
      </c>
      <c r="E18" s="3127" t="s">
        <v>1805</v>
      </c>
      <c r="F18" s="3128"/>
      <c r="G18" s="3128"/>
      <c r="H18" s="3128"/>
      <c r="I18" s="3129"/>
      <c r="J18" s="2028"/>
      <c r="K18" s="2085"/>
      <c r="L18" s="2080"/>
      <c r="M18" s="2080"/>
      <c r="N18" s="2081"/>
      <c r="O18" s="2080"/>
      <c r="P18" s="2081"/>
      <c r="Q18" s="2028"/>
      <c r="R18" s="2028"/>
      <c r="S18" s="2028"/>
      <c r="T18" s="2028"/>
      <c r="U18" s="2028"/>
      <c r="V18" s="2028"/>
    </row>
    <row r="19" spans="1:22" ht="37.5" customHeight="1" thickTop="1" thickBot="1">
      <c r="A19" s="372" t="s">
        <v>1806</v>
      </c>
      <c r="B19" s="351" t="s">
        <v>1807</v>
      </c>
      <c r="C19" s="2088" t="s">
        <v>3062</v>
      </c>
      <c r="D19" s="2089" t="s">
        <v>1808</v>
      </c>
      <c r="E19" s="2090" t="s">
        <v>3063</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1809</v>
      </c>
      <c r="B20" s="3114" t="s">
        <v>1810</v>
      </c>
      <c r="C20" s="3115"/>
      <c r="D20" s="3116" t="s">
        <v>1811</v>
      </c>
      <c r="E20" s="3117"/>
      <c r="F20" s="2094" t="s">
        <v>1812</v>
      </c>
      <c r="G20" s="2041"/>
      <c r="H20" s="2041"/>
      <c r="I20" s="2041"/>
      <c r="J20" s="2041"/>
      <c r="K20" s="3113"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1814</v>
      </c>
      <c r="C21" s="2096" t="s">
        <v>1815</v>
      </c>
      <c r="D21" s="2097" t="s">
        <v>1816</v>
      </c>
      <c r="E21" s="2098" t="s">
        <v>1815</v>
      </c>
      <c r="F21" s="2099"/>
      <c r="G21" s="2041"/>
      <c r="H21" s="2041"/>
      <c r="I21" s="2041"/>
      <c r="J21" s="2041"/>
      <c r="K21" s="31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1817</v>
      </c>
      <c r="C22" s="2096" t="s">
        <v>1818</v>
      </c>
      <c r="D22" s="2025"/>
      <c r="E22" s="2025"/>
      <c r="F22" s="2101"/>
      <c r="G22" s="2041"/>
      <c r="H22" s="2041"/>
      <c r="I22" s="2041"/>
      <c r="J22" s="2041"/>
      <c r="K22" s="31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1819</v>
      </c>
      <c r="B23" s="182" t="s">
        <v>1820</v>
      </c>
      <c r="C23" s="2103"/>
      <c r="D23" s="2104" t="s">
        <v>1820</v>
      </c>
      <c r="E23" s="2105"/>
      <c r="F23" s="2101"/>
      <c r="G23" s="2041"/>
      <c r="H23" s="2041"/>
      <c r="I23" s="2041"/>
      <c r="J23" s="2041"/>
      <c r="K23" s="2106"/>
      <c r="L23" s="747"/>
      <c r="M23" s="2027"/>
      <c r="N23" s="2081"/>
      <c r="O23" s="2080"/>
      <c r="P23" s="2081"/>
      <c r="Q23" s="2028"/>
      <c r="R23" s="2028"/>
      <c r="S23" s="2028"/>
      <c r="T23" s="2028"/>
      <c r="U23" s="2028"/>
      <c r="V23" s="2028"/>
    </row>
    <row r="24" spans="1:22" ht="18" customHeight="1">
      <c r="A24" s="2107"/>
      <c r="B24" s="182" t="s">
        <v>1821</v>
      </c>
      <c r="C24" s="2108"/>
      <c r="D24" s="2102" t="s">
        <v>1821</v>
      </c>
      <c r="E24" s="2109"/>
      <c r="F24" s="2101"/>
      <c r="G24" s="2041"/>
      <c r="H24" s="2041"/>
      <c r="I24" s="2041"/>
      <c r="J24" s="2041"/>
      <c r="K24" s="2106"/>
      <c r="L24" s="747"/>
      <c r="M24" s="2027"/>
      <c r="N24" s="2081"/>
      <c r="O24" s="2080"/>
      <c r="P24" s="2081"/>
      <c r="Q24" s="2028"/>
      <c r="R24" s="2028"/>
      <c r="S24" s="2028"/>
      <c r="T24" s="2028"/>
      <c r="U24" s="2028"/>
      <c r="V24" s="2028"/>
    </row>
    <row r="25" spans="1:22" ht="18" customHeight="1">
      <c r="A25" s="2107"/>
      <c r="B25" s="182" t="s">
        <v>1822</v>
      </c>
      <c r="C25" s="2108"/>
      <c r="D25" s="2102" t="s">
        <v>1822</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1823</v>
      </c>
      <c r="C26" s="2112"/>
      <c r="D26" s="2113" t="s">
        <v>1824</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131" t="s">
        <v>1825</v>
      </c>
      <c r="B27" s="2060" t="s">
        <v>1826</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131"/>
      <c r="B28" s="2034" t="s">
        <v>1827</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131"/>
      <c r="B29" s="2034" t="s">
        <v>1828</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132"/>
      <c r="B30" s="2034" t="s">
        <v>1829</v>
      </c>
      <c r="C30" s="3133"/>
      <c r="D30" s="3134"/>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135" t="s">
        <v>1830</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136"/>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136"/>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130"/>
      <c r="C34" s="2130"/>
      <c r="D34" s="2130"/>
      <c r="E34" s="2130"/>
      <c r="F34" s="2130"/>
      <c r="G34" s="2130"/>
      <c r="H34" s="2130"/>
      <c r="I34" s="2041"/>
      <c r="J34" s="2041"/>
      <c r="K34" s="1794">
        <f>COUNTIF(B34:H34,"——")</f>
        <v>0</v>
      </c>
      <c r="L34" s="2071" t="s">
        <v>1832</v>
      </c>
      <c r="M34" s="2071" t="s">
        <v>1833</v>
      </c>
      <c r="N34" s="2071" t="s">
        <v>1834</v>
      </c>
      <c r="O34" s="2071" t="s">
        <v>1835</v>
      </c>
      <c r="P34" s="2071" t="s">
        <v>1836</v>
      </c>
      <c r="Q34" s="2071" t="s">
        <v>1837</v>
      </c>
      <c r="R34" s="2071" t="s">
        <v>1838</v>
      </c>
      <c r="S34" s="3130" t="s">
        <v>1839</v>
      </c>
      <c r="T34" s="2131" t="str">
        <f>NUMBERSTRING(7-K34,1)&amp;"通"</f>
        <v>七通</v>
      </c>
      <c r="U34" s="2028"/>
      <c r="V34" s="2028"/>
    </row>
    <row r="35" spans="1:22" ht="18" customHeight="1">
      <c r="A35" s="2132"/>
      <c r="B35" s="3137" t="s">
        <v>1840</v>
      </c>
      <c r="C35" s="3137"/>
      <c r="D35" s="3137"/>
      <c r="E35" s="3137"/>
      <c r="F35" s="2133">
        <f>C10</f>
        <v>0</v>
      </c>
      <c r="G35" s="2041"/>
      <c r="H35" s="2041"/>
      <c r="I35" s="2041"/>
      <c r="J35" s="2041"/>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30"/>
      <c r="T35" s="48" t="str">
        <f>IF(T34="一通",L35,IF(T34="二通",M35,IF(T34="三通",N35,IF(T34="四通",O35,IF(T34="五通",P35,IF(T34="六通",Q35,R35))))))</f>
        <v>、、、、、、</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1849</v>
      </c>
      <c r="B42" s="1794" t="s">
        <v>1850</v>
      </c>
      <c r="C42" s="1794" t="s">
        <v>1851</v>
      </c>
      <c r="D42" s="1794" t="s">
        <v>1852</v>
      </c>
      <c r="E42" s="1794" t="s">
        <v>1853</v>
      </c>
      <c r="F42" s="1794" t="s">
        <v>1854</v>
      </c>
      <c r="G42" s="1794" t="s">
        <v>1855</v>
      </c>
      <c r="H42" s="1794" t="s">
        <v>1856</v>
      </c>
      <c r="I42" s="1794" t="s">
        <v>1857</v>
      </c>
      <c r="J42" s="2149" t="s">
        <v>1858</v>
      </c>
      <c r="K42" s="2072" t="s">
        <v>1859</v>
      </c>
      <c r="L42" s="2072" t="s">
        <v>1860</v>
      </c>
      <c r="M42" s="2072" t="s">
        <v>1861</v>
      </c>
      <c r="N42" s="1794" t="s">
        <v>1862</v>
      </c>
      <c r="O42" s="1794" t="s">
        <v>1863</v>
      </c>
      <c r="P42" s="1794" t="s">
        <v>1864</v>
      </c>
      <c r="Q42" s="2071" t="s">
        <v>1865</v>
      </c>
      <c r="R42" s="2071" t="s">
        <v>1866</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1872</v>
      </c>
      <c r="AZ2" s="1269"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10186.06</v>
      </c>
      <c r="B3" s="14">
        <f>IF(C3="否",G5-AT5,G5)</f>
        <v>34740.85</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34740.85</v>
      </c>
      <c r="H5" s="16">
        <f t="shared" ref="H5:AT5" si="0">SUM(H13:H656)</f>
        <v>34740.85</v>
      </c>
      <c r="I5" s="16">
        <f t="shared" si="0"/>
        <v>31181.27</v>
      </c>
      <c r="J5" s="16">
        <f t="shared" si="0"/>
        <v>0</v>
      </c>
      <c r="K5" s="16">
        <f t="shared" si="0"/>
        <v>3559.58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34740.85</v>
      </c>
      <c r="BA5" s="18">
        <f t="shared" si="1"/>
        <v>34740.85</v>
      </c>
      <c r="BB5" s="18">
        <f t="shared" si="1"/>
        <v>31181.27</v>
      </c>
      <c r="BC5" s="18">
        <f t="shared" si="1"/>
        <v>3559.58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10186.06</v>
      </c>
      <c r="F6" s="16" t="s">
        <v>1</v>
      </c>
      <c r="G6" s="16" t="s">
        <v>2</v>
      </c>
      <c r="H6" s="20">
        <f>SUMIF(I$12:AB$12,"总值",I6:AB6)</f>
        <v>10186.06</v>
      </c>
      <c r="I6" s="16">
        <f t="shared" ref="I6:AB6" si="2">ROUND($A$3*I5/$B$3,2)</f>
        <v>9142.39</v>
      </c>
      <c r="J6" s="16">
        <f t="shared" si="2"/>
        <v>0</v>
      </c>
      <c r="K6" s="16">
        <f t="shared" si="2"/>
        <v>1043.67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10186.06</v>
      </c>
      <c r="AZ6" s="16" t="s">
        <v>3</v>
      </c>
      <c r="BA6" s="16">
        <f>ROUND($AY$6*BA5/$AZ$5,2)</f>
        <v>10186.06</v>
      </c>
      <c r="BB6" s="16">
        <f>ROUND($AY$6*BB5/$AZ$5,2)</f>
        <v>9142.39</v>
      </c>
      <c r="BC6" s="16">
        <f t="shared" ref="BC6:BH6" si="4">ROUND($AY$6*BC5/$AZ$5,2)</f>
        <v>1043.67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0" t="s">
        <v>1891</v>
      </c>
      <c r="AD8" s="2185"/>
      <c r="AE8" s="2177"/>
      <c r="AF8" s="1817"/>
      <c r="AG8" s="1817"/>
      <c r="AH8" s="1817"/>
      <c r="AI8" s="1817"/>
      <c r="AJ8" s="1817"/>
      <c r="AK8" s="1817"/>
      <c r="AL8" s="1817"/>
      <c r="AM8" s="1817"/>
      <c r="AN8" s="1817"/>
      <c r="AO8" s="1817"/>
      <c r="AP8" s="1817"/>
      <c r="AQ8" s="1817"/>
      <c r="AR8" s="1817"/>
      <c r="AS8" s="1817"/>
      <c r="AT8" s="1291" t="s">
        <v>1892</v>
      </c>
      <c r="AU8" s="2179" t="s">
        <v>1893</v>
      </c>
      <c r="AV8" s="1291"/>
      <c r="AW8" s="2162"/>
      <c r="AX8" s="1291"/>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1896</v>
      </c>
      <c r="I9" s="2188" t="s">
        <v>3064</v>
      </c>
      <c r="J9" s="980"/>
      <c r="K9" s="2188" t="s">
        <v>3066</v>
      </c>
      <c r="L9" s="980"/>
      <c r="M9" s="2188"/>
      <c r="N9" s="980"/>
      <c r="O9" s="2188"/>
      <c r="P9" s="980"/>
      <c r="Q9" s="2188"/>
      <c r="R9" s="980"/>
      <c r="S9" s="2188"/>
      <c r="T9" s="980"/>
      <c r="U9" s="2188"/>
      <c r="V9" s="980"/>
      <c r="W9" s="2188"/>
      <c r="X9" s="2189"/>
      <c r="Y9" s="2188"/>
      <c r="Z9" s="980"/>
      <c r="AA9" s="2188"/>
      <c r="AB9" s="980"/>
      <c r="AC9" s="2180"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0"/>
      <c r="AT9" s="2179"/>
      <c r="AU9" s="2179" t="s">
        <v>1899</v>
      </c>
      <c r="AV9" s="1291"/>
      <c r="AW9" s="2162"/>
      <c r="AX9" s="1291"/>
      <c r="AY9" s="28"/>
      <c r="AZ9" s="28" t="s">
        <v>1889</v>
      </c>
      <c r="BA9" s="2191" t="s">
        <v>1900</v>
      </c>
      <c r="BB9" s="2192"/>
      <c r="BC9" s="1337"/>
      <c r="BD9" s="1337"/>
      <c r="BE9" s="1337"/>
      <c r="BF9" s="1337"/>
      <c r="BG9" s="1337"/>
      <c r="BH9" s="1337"/>
      <c r="BI9" s="1337"/>
      <c r="BJ9" s="1337"/>
      <c r="BK9" s="2193"/>
      <c r="BL9" s="15" t="s">
        <v>1901</v>
      </c>
      <c r="BM9" s="1817"/>
      <c r="BN9" s="2182"/>
      <c r="BO9" s="1817"/>
      <c r="BP9" s="1817"/>
      <c r="BQ9" s="1817"/>
      <c r="BR9" s="1817"/>
      <c r="BS9" s="1817"/>
      <c r="BT9" s="26"/>
    </row>
    <row r="10" spans="1:72" s="2186" customFormat="1" ht="12.75">
      <c r="A10" s="2179"/>
      <c r="B10" s="2179"/>
      <c r="C10" s="2179"/>
      <c r="D10" s="2179"/>
      <c r="E10" s="2179"/>
      <c r="F10" s="2179"/>
      <c r="G10" s="1291"/>
      <c r="H10" s="28"/>
      <c r="I10" s="2188" t="s">
        <v>1373</v>
      </c>
      <c r="J10" s="980"/>
      <c r="K10" s="2194" t="s">
        <v>3067</v>
      </c>
      <c r="L10" s="980"/>
      <c r="M10" s="2194"/>
      <c r="N10" s="980"/>
      <c r="O10" s="2194"/>
      <c r="P10" s="980"/>
      <c r="Q10" s="2194"/>
      <c r="R10" s="980"/>
      <c r="S10" s="2194"/>
      <c r="T10" s="980"/>
      <c r="U10" s="2194"/>
      <c r="V10" s="980"/>
      <c r="W10" s="2194"/>
      <c r="X10" s="980"/>
      <c r="Y10" s="2194"/>
      <c r="Z10" s="980"/>
      <c r="AA10" s="2194"/>
      <c r="AB10" s="980"/>
      <c r="AC10" s="1291"/>
      <c r="AD10" s="15" t="s">
        <v>1902</v>
      </c>
      <c r="AE10" s="2195"/>
      <c r="AF10" s="15" t="s">
        <v>1902</v>
      </c>
      <c r="AG10" s="2195"/>
      <c r="AH10" s="15" t="s">
        <v>1903</v>
      </c>
      <c r="AI10" s="2195"/>
      <c r="AJ10" s="15" t="s">
        <v>1903</v>
      </c>
      <c r="AK10" s="2195"/>
      <c r="AL10" s="15" t="s">
        <v>1904</v>
      </c>
      <c r="AM10" s="1297"/>
      <c r="AN10" s="15" t="s">
        <v>1904</v>
      </c>
      <c r="AO10" s="1297"/>
      <c r="AP10" s="15" t="s">
        <v>1905</v>
      </c>
      <c r="AQ10" s="1297"/>
      <c r="AR10" s="15" t="s">
        <v>1905</v>
      </c>
      <c r="AS10" s="1297"/>
      <c r="AT10" s="2179"/>
      <c r="AU10" s="2179"/>
      <c r="AV10" s="1291"/>
      <c r="AW10" s="2162"/>
      <c r="AX10" s="1291"/>
      <c r="AY10" s="28"/>
      <c r="AZ10" s="28"/>
      <c r="BA10" s="2196" t="s">
        <v>1896</v>
      </c>
      <c r="BB10" s="2197" t="str">
        <f>I9</f>
        <v>地上</v>
      </c>
      <c r="BC10" s="29" t="str">
        <f>K9</f>
        <v>地下</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3065</v>
      </c>
      <c r="J11" s="2200"/>
      <c r="K11" s="2199" t="s">
        <v>3067</v>
      </c>
      <c r="L11" s="2200"/>
      <c r="M11" s="2199"/>
      <c r="N11" s="2200"/>
      <c r="O11" s="2199"/>
      <c r="P11" s="2200"/>
      <c r="Q11" s="2199"/>
      <c r="R11" s="2200"/>
      <c r="S11" s="2199"/>
      <c r="T11" s="2200"/>
      <c r="U11" s="2199"/>
      <c r="V11" s="2200"/>
      <c r="W11" s="2199"/>
      <c r="X11" s="2200"/>
      <c r="Y11" s="2199"/>
      <c r="Z11" s="2200"/>
      <c r="AA11" s="2199"/>
      <c r="AB11" s="2200"/>
      <c r="AC11" s="1291"/>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1"/>
      <c r="AW11" s="2162"/>
      <c r="AX11" s="1291"/>
      <c r="AY11" s="28"/>
      <c r="AZ11" s="28"/>
      <c r="BA11" s="28"/>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底商</v>
      </c>
      <c r="BC12" s="2209" t="str">
        <f>K11</f>
        <v>车库</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2981" t="s">
        <v>3068</v>
      </c>
      <c r="D13" s="2210" t="s">
        <v>3062</v>
      </c>
      <c r="E13" s="16">
        <f>IF($C$3="是",ROUND($A$3*G13/$B$3,2),ROUND($A$3*(G13-AT13)/$B$3,2))</f>
        <v>9142.39</v>
      </c>
      <c r="F13" s="32"/>
      <c r="G13" s="33">
        <f>H13+AC13+AT13</f>
        <v>31181.27</v>
      </c>
      <c r="H13" s="20">
        <f>SUMIF(I$12:AB$12,"总值",I13:AB13)</f>
        <v>31181.27</v>
      </c>
      <c r="I13" s="2211">
        <f>34740.85-1026.74-1054.86-1054.86-352.6-70.52</f>
        <v>31181.27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商业</v>
      </c>
      <c r="AY13" s="1805">
        <f>ROUND($AY$6*AZ13/$AZ$5,2)</f>
        <v>9142.39</v>
      </c>
      <c r="AZ13" s="16">
        <f>BA13+BL13</f>
        <v>31181.27</v>
      </c>
      <c r="BA13" s="16">
        <f>SUM(BB13:BK13)</f>
        <v>31181.27</v>
      </c>
      <c r="BB13" s="16">
        <f>IF($D13="是",I13-J13,0)</f>
        <v>31181.27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982" t="s">
        <v>3070</v>
      </c>
      <c r="D14" s="2210" t="s">
        <v>3062</v>
      </c>
      <c r="E14" s="16">
        <f>IF($C$3="是",ROUND($A$3*G14/$B$3,2),ROUND($A$3*(G14-AT14)/$B$3,2))</f>
        <v>1043.67</v>
      </c>
      <c r="F14" s="32"/>
      <c r="G14" s="33">
        <f>H14+AC14+AT14</f>
        <v>3559.58</v>
      </c>
      <c r="H14" s="20">
        <f>SUMIF(I$12:AB$12,"总值",I14:AB14)</f>
        <v>3559.58</v>
      </c>
      <c r="I14" s="2211"/>
      <c r="J14" s="2211"/>
      <c r="K14" s="2211">
        <f>1026.74+1054.86+1054.86+352.6+70.52</f>
        <v>3559.58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车位</v>
      </c>
      <c r="AY14" s="1805">
        <f>ROUND($AY$6*AZ14/$AZ$5,2)</f>
        <v>1043.67</v>
      </c>
      <c r="AZ14" s="16">
        <f>BA14+BL14</f>
        <v>3559.58</v>
      </c>
      <c r="BA14" s="16">
        <f>SUM(BB14:BK14)</f>
        <v>3559.58</v>
      </c>
      <c r="BB14" s="16">
        <f>IF($D14="是",I14-J14,0)</f>
        <v>0</v>
      </c>
      <c r="BC14" s="16">
        <f>IF($D14="是",K14-L14,0)</f>
        <v>3559.58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1"/>
      <c r="C1" s="1391"/>
      <c r="D1" s="1391"/>
      <c r="E1" s="1391"/>
      <c r="F1" s="1391"/>
      <c r="G1" s="1391"/>
      <c r="H1" s="1391"/>
      <c r="I1" s="1391"/>
      <c r="J1" s="1391"/>
      <c r="K1" s="1391"/>
      <c r="L1" s="1391"/>
      <c r="M1" s="1391"/>
      <c r="N1" s="1391"/>
      <c r="O1" s="1391"/>
      <c r="P1" s="1391"/>
    </row>
    <row r="2" spans="1:16" ht="15">
      <c r="A2" s="3149" t="s">
        <v>1936</v>
      </c>
      <c r="B2" s="3149"/>
      <c r="C2" s="3149"/>
      <c r="D2" s="966" t="s">
        <v>1912</v>
      </c>
      <c r="E2" s="2224" t="s">
        <v>1913</v>
      </c>
      <c r="F2" s="1391"/>
      <c r="G2" s="2225"/>
      <c r="H2" s="2226"/>
      <c r="I2" s="2227" t="s">
        <v>1937</v>
      </c>
      <c r="J2" s="1391"/>
      <c r="K2" s="1391"/>
      <c r="L2" s="1391"/>
      <c r="M2" s="1391"/>
      <c r="N2" s="1426"/>
      <c r="O2" s="1391"/>
      <c r="P2" s="1391"/>
    </row>
    <row r="3" spans="1:16" ht="15.75" thickBot="1">
      <c r="A3" s="3150" t="s">
        <v>1910</v>
      </c>
      <c r="B3" s="3150"/>
      <c r="C3" s="3150"/>
      <c r="D3" s="46">
        <f>'数据-基础表'!AY6</f>
        <v>10186.06</v>
      </c>
      <c r="E3" s="46">
        <f>'数据-基础表'!AZ5</f>
        <v>34740.85</v>
      </c>
      <c r="F3" s="1391"/>
      <c r="G3" s="1398"/>
      <c r="H3" s="1246" t="s">
        <v>1911</v>
      </c>
      <c r="I3" s="55">
        <f>ROUND('数据-基础表'!B3/'数据-基础表'!A3,2)</f>
        <v>3.41</v>
      </c>
      <c r="J3" s="1391"/>
      <c r="K3" s="1391"/>
      <c r="L3" s="1391"/>
      <c r="M3" s="1391"/>
      <c r="N3" s="1426"/>
      <c r="O3" s="1391"/>
      <c r="P3" s="1391"/>
    </row>
    <row r="4" spans="1:16" ht="15">
      <c r="A4" s="3151"/>
      <c r="B4" s="3152"/>
      <c r="C4" s="3153"/>
      <c r="D4" s="2228" t="s">
        <v>1912</v>
      </c>
      <c r="E4" s="2229" t="s">
        <v>1913</v>
      </c>
      <c r="F4" s="1391"/>
      <c r="G4" s="2230" t="s">
        <v>1938</v>
      </c>
      <c r="H4" s="1246" t="s">
        <v>1918</v>
      </c>
      <c r="I4" s="55">
        <f>ROUND(SUMIF('数据-基础表'!I9:AS9,"地上",'数据-基础表'!I5:AS5)/'数据-基础表'!A3,2)</f>
        <v>3.06</v>
      </c>
      <c r="J4" s="1391"/>
      <c r="K4" s="1391"/>
      <c r="L4" s="1391"/>
      <c r="M4" s="1391"/>
      <c r="N4" s="1426"/>
      <c r="O4" s="1391"/>
      <c r="P4" s="1391"/>
    </row>
    <row r="5" spans="1:16">
      <c r="A5" s="47" t="s">
        <v>1914</v>
      </c>
      <c r="B5" s="3154" t="s">
        <v>1915</v>
      </c>
      <c r="C5" s="3154"/>
      <c r="D5" s="48">
        <f>ROUND($D$3*E5/$E$3,2)</f>
        <v>0</v>
      </c>
      <c r="E5" s="49">
        <f>SUMIF('数据-基础表'!$11:$11,"住宅",'数据-基础表'!$5:$5)</f>
        <v>0</v>
      </c>
      <c r="F5" s="1391"/>
      <c r="G5" s="1398"/>
      <c r="H5" s="1246" t="s">
        <v>1911</v>
      </c>
      <c r="I5" s="55">
        <f>ROUND(E31/D31,2)</f>
        <v>3.41</v>
      </c>
      <c r="J5" s="1391"/>
      <c r="K5" s="1391"/>
      <c r="L5" s="1391"/>
      <c r="M5" s="1391"/>
      <c r="N5" s="1391"/>
      <c r="O5" s="1391"/>
      <c r="P5" s="1391"/>
    </row>
    <row r="6" spans="1:16" ht="15" thickBot="1">
      <c r="A6" s="2231"/>
      <c r="B6" s="3154" t="s">
        <v>1916</v>
      </c>
      <c r="C6" s="3154"/>
      <c r="D6" s="48">
        <f>ROUND($D$3*E6/$E$3,2)</f>
        <v>10186.06</v>
      </c>
      <c r="E6" s="49">
        <f>E3-E5</f>
        <v>34740.85</v>
      </c>
      <c r="F6" s="1391"/>
      <c r="G6" s="2232" t="s">
        <v>1917</v>
      </c>
      <c r="H6" s="1398" t="s">
        <v>1918</v>
      </c>
      <c r="I6" s="938">
        <f>ROUND(F31/D31,2)</f>
        <v>3.06</v>
      </c>
      <c r="J6" s="1391"/>
      <c r="K6" s="1391"/>
      <c r="L6" s="1391"/>
      <c r="M6" s="1391"/>
      <c r="N6" s="1391"/>
      <c r="O6" s="1391"/>
      <c r="P6" s="1391"/>
    </row>
    <row r="7" spans="1:16" ht="15">
      <c r="A7" s="3146"/>
      <c r="B7" s="3147"/>
      <c r="C7" s="3148"/>
      <c r="D7" s="2228" t="s">
        <v>1912</v>
      </c>
      <c r="E7" s="2233" t="s">
        <v>1919</v>
      </c>
      <c r="F7" s="1391"/>
      <c r="G7" s="2225" t="s">
        <v>1920</v>
      </c>
      <c r="H7" s="64"/>
      <c r="I7" s="419"/>
      <c r="J7" s="1391"/>
      <c r="K7" s="1391"/>
      <c r="L7" s="1391"/>
      <c r="M7" s="1391"/>
      <c r="N7" s="1391"/>
      <c r="O7" s="1391"/>
      <c r="P7" s="1391"/>
    </row>
    <row r="8" spans="1:16">
      <c r="A8" s="47" t="s">
        <v>1921</v>
      </c>
      <c r="B8" s="50" t="s">
        <v>1922</v>
      </c>
      <c r="C8" s="48" t="s">
        <v>1923</v>
      </c>
      <c r="D8" s="48">
        <f t="shared" ref="D8:D15" si="0">ROUND($D$3*E8/$E$3,2)</f>
        <v>9142.39</v>
      </c>
      <c r="E8" s="51">
        <f>SUMIF('数据-基础表'!BB10:BK10,"地上",'数据-基础表'!BB5:BK5)</f>
        <v>31181.27</v>
      </c>
      <c r="F8" s="1391"/>
      <c r="G8" s="2234"/>
      <c r="H8" s="2234"/>
      <c r="I8" s="1391"/>
      <c r="J8" s="1391"/>
      <c r="K8" s="1391"/>
      <c r="L8" s="1391"/>
      <c r="M8" s="1391"/>
      <c r="N8" s="1391"/>
      <c r="O8" s="1391"/>
      <c r="P8" s="1391"/>
    </row>
    <row r="9" spans="1:16">
      <c r="A9" s="2235"/>
      <c r="B9" s="2236"/>
      <c r="C9" s="48" t="s">
        <v>1924</v>
      </c>
      <c r="D9" s="48">
        <f t="shared" si="0"/>
        <v>0</v>
      </c>
      <c r="E9" s="52">
        <v>0</v>
      </c>
      <c r="F9" s="1391"/>
      <c r="G9" s="2234"/>
      <c r="H9" s="2234"/>
      <c r="I9" s="1391"/>
      <c r="J9" s="1391"/>
      <c r="K9" s="1391"/>
      <c r="L9" s="1391"/>
      <c r="M9" s="1391"/>
      <c r="N9" s="1391"/>
      <c r="O9" s="1391"/>
      <c r="P9" s="1391"/>
    </row>
    <row r="10" spans="1:16">
      <c r="A10" s="2235"/>
      <c r="B10" s="2236"/>
      <c r="C10" s="48" t="s">
        <v>1933</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1925</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1926</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1927</v>
      </c>
      <c r="D13" s="48">
        <f t="shared" si="0"/>
        <v>1043.67</v>
      </c>
      <c r="E13" s="51">
        <f>SUMPRODUCT(('数据-基础表'!BB10:BK10="地下")*('数据-基础表'!BB11:BK11="车库")*('数据-基础表'!BB5:BK5))</f>
        <v>3559.58</v>
      </c>
      <c r="F13" s="1391"/>
      <c r="G13" s="2234"/>
      <c r="H13" s="2234"/>
      <c r="I13" s="1391"/>
      <c r="J13" s="1391"/>
      <c r="K13" s="1391"/>
      <c r="L13" s="1391"/>
      <c r="M13" s="1391"/>
      <c r="N13" s="1391"/>
      <c r="O13" s="1391"/>
      <c r="P13" s="1391"/>
    </row>
    <row r="14" spans="1:16">
      <c r="A14" s="2235"/>
      <c r="B14" s="2236"/>
      <c r="C14" s="48" t="s">
        <v>1939</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1934</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1928</v>
      </c>
      <c r="D16" s="50">
        <f>SUM(D8:D15)</f>
        <v>10186.06</v>
      </c>
      <c r="E16" s="53">
        <f>SUM(E8:E15)</f>
        <v>34740.85</v>
      </c>
      <c r="F16" s="1391"/>
      <c r="G16" s="2234"/>
      <c r="H16" s="2237" t="s">
        <v>1940</v>
      </c>
      <c r="I16" s="2238"/>
      <c r="J16" s="1391"/>
      <c r="K16" s="3143" t="s">
        <v>1940</v>
      </c>
      <c r="L16" s="3144"/>
      <c r="M16" s="3144"/>
      <c r="N16" s="3144"/>
      <c r="O16" s="3144"/>
      <c r="P16" s="3145"/>
    </row>
    <row r="17" spans="1:19" ht="15">
      <c r="A17" s="2239" t="s">
        <v>1941</v>
      </c>
      <c r="B17" s="2240" t="s">
        <v>1942</v>
      </c>
      <c r="C17" s="2241" t="s">
        <v>1943</v>
      </c>
      <c r="D17" s="2242" t="s">
        <v>1931</v>
      </c>
      <c r="E17" s="2243" t="s">
        <v>1932</v>
      </c>
      <c r="F17" s="2244"/>
      <c r="G17" s="2245"/>
      <c r="H17" s="2246" t="s">
        <v>1944</v>
      </c>
      <c r="I17" s="2247" t="s">
        <v>1929</v>
      </c>
      <c r="J17" s="1391"/>
      <c r="K17" s="3140" t="s">
        <v>1945</v>
      </c>
      <c r="L17" s="3141"/>
      <c r="M17" s="3142"/>
      <c r="N17" s="3140" t="s">
        <v>1946</v>
      </c>
      <c r="O17" s="3141"/>
      <c r="P17" s="3142"/>
      <c r="R17" s="2225" t="s">
        <v>1947</v>
      </c>
      <c r="S17" s="64"/>
    </row>
    <row r="18" spans="1:19" ht="15">
      <c r="A18" s="2235"/>
      <c r="B18" s="2248"/>
      <c r="C18" s="2249"/>
      <c r="D18" s="2250"/>
      <c r="E18" s="2251" t="s">
        <v>1948</v>
      </c>
      <c r="F18" s="2252" t="s">
        <v>1949</v>
      </c>
      <c r="G18" s="2253" t="s">
        <v>1950</v>
      </c>
      <c r="H18" s="1261" t="s">
        <v>1951</v>
      </c>
      <c r="I18" s="2254" t="s">
        <v>1952</v>
      </c>
      <c r="J18" s="1391"/>
      <c r="K18" s="1261" t="s">
        <v>1953</v>
      </c>
      <c r="L18" s="2255" t="s">
        <v>1954</v>
      </c>
      <c r="M18" s="1045" t="s">
        <v>1955</v>
      </c>
      <c r="N18" s="1261" t="s">
        <v>1953</v>
      </c>
      <c r="O18" s="2255" t="s">
        <v>1954</v>
      </c>
      <c r="P18" s="1045" t="s">
        <v>1955</v>
      </c>
      <c r="R18" s="1246" t="s">
        <v>1956</v>
      </c>
      <c r="S18" s="1246" t="s">
        <v>1957</v>
      </c>
    </row>
    <row r="19" spans="1:19">
      <c r="A19" s="2256"/>
      <c r="B19" s="50" t="s">
        <v>1930</v>
      </c>
      <c r="C19" s="2257" t="str">
        <f>'数据-基础表'!C13</f>
        <v>商业</v>
      </c>
      <c r="D19" s="48">
        <f>ROUND($D$3*E19/$E$3,2)</f>
        <v>9142.39</v>
      </c>
      <c r="E19" s="56">
        <f t="shared" ref="E19:E26" si="1">SUM(F19:G19)</f>
        <v>31181.27</v>
      </c>
      <c r="F19" s="57">
        <f>'数据-基础表'!I13</f>
        <v>31181.27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9142.39</v>
      </c>
      <c r="S19" s="1247">
        <f t="shared" si="5"/>
        <v>31181.27</v>
      </c>
    </row>
    <row r="20" spans="1:19">
      <c r="A20" s="2260"/>
      <c r="B20" s="50" t="s">
        <v>1958</v>
      </c>
      <c r="C20" s="2257" t="str">
        <f>'数据-基础表'!C14</f>
        <v>车位</v>
      </c>
      <c r="D20" s="48">
        <f t="shared" ref="D20:D26" si="6">ROUND($D$3*E20/$E$3,2)</f>
        <v>1043.67</v>
      </c>
      <c r="E20" s="56">
        <f t="shared" si="1"/>
        <v>3559.58</v>
      </c>
      <c r="F20" s="57"/>
      <c r="G20" s="58">
        <f>'数据-基础表'!K14</f>
        <v>3559.58</v>
      </c>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1043.67</v>
      </c>
      <c r="S20" s="1247">
        <f t="shared" si="5"/>
        <v>3559.58</v>
      </c>
    </row>
    <row r="21" spans="1:19">
      <c r="A21" s="2260"/>
      <c r="B21" s="50" t="s">
        <v>1958</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1959</v>
      </c>
      <c r="D27" s="1392">
        <f>SUM(D19:D26)</f>
        <v>10186.06</v>
      </c>
      <c r="E27" s="1393">
        <f>IF(SUM(E19:E26)='数据-基础表'!BA5,SUM(E19:E26),IF(F27="地上面积有误","面积有误","地下面积有误"))</f>
        <v>34740.85</v>
      </c>
      <c r="F27" s="1392">
        <f>IF(SUM(F19:F26)=E8,SUM(F19:F26),"地上面积有误")</f>
        <v>31181.27</v>
      </c>
      <c r="G27" s="1394">
        <f>SUM(G19:G26)</f>
        <v>3559.58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10186.06</v>
      </c>
      <c r="S27" s="1246">
        <f>IF(SUM(S19:S26)=$E$3,SUM(S19:S26),SUM(S19:S26)&amp;"误差"&amp;ROUND(SUM(S19:S26)-E3,2))</f>
        <v>34740.85</v>
      </c>
    </row>
    <row r="28" spans="1:19">
      <c r="A28" s="2260"/>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1960</v>
      </c>
      <c r="C29" s="2264"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1963</v>
      </c>
      <c r="D31" s="728">
        <f>D27+D30</f>
        <v>10186.06</v>
      </c>
      <c r="E31" s="728">
        <f>E27+E30</f>
        <v>34740.85</v>
      </c>
      <c r="F31" s="729">
        <f>F27+F30</f>
        <v>31181.27</v>
      </c>
      <c r="G31" s="730">
        <f>G27+G30</f>
        <v>3559.58</v>
      </c>
      <c r="H31" s="1391"/>
      <c r="I31" s="1391"/>
      <c r="J31" s="1391"/>
      <c r="K31" s="1391"/>
      <c r="L31" s="1391"/>
      <c r="M31" s="1391"/>
      <c r="N31" s="1391"/>
      <c r="O31" s="1391"/>
      <c r="P31" s="1391"/>
    </row>
    <row r="32" spans="1:19">
      <c r="A32" s="2230"/>
      <c r="B32" s="2230" t="s">
        <v>1964</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36" sqref="D3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0"/>
      <c r="D1" s="2270"/>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1966</v>
      </c>
      <c r="B2" s="1265">
        <f>项目基本情况!D3</f>
        <v>43634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1" t="s">
        <v>1971</v>
      </c>
      <c r="AA4" s="2241"/>
      <c r="AB4" s="2241"/>
      <c r="AC4" s="2241"/>
      <c r="AD4" s="2241"/>
      <c r="AE4" s="2239" t="s">
        <v>1972</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1973</v>
      </c>
      <c r="B5" s="2287" t="s">
        <v>1974</v>
      </c>
      <c r="C5" s="2288" t="s">
        <v>1975</v>
      </c>
      <c r="D5" s="2289" t="s">
        <v>1976</v>
      </c>
      <c r="E5" s="1267" t="s">
        <v>1977</v>
      </c>
      <c r="F5" s="2290" t="s">
        <v>1978</v>
      </c>
      <c r="G5" s="1267" t="s">
        <v>1979</v>
      </c>
      <c r="H5" s="1267" t="s">
        <v>1980</v>
      </c>
      <c r="I5" s="1267" t="s">
        <v>1981</v>
      </c>
      <c r="J5" s="2291" t="s">
        <v>1982</v>
      </c>
      <c r="K5" s="2292" t="s">
        <v>1983</v>
      </c>
      <c r="L5" s="2293" t="s">
        <v>1984</v>
      </c>
      <c r="M5" s="2294" t="s">
        <v>1985</v>
      </c>
      <c r="N5" s="2295" t="s">
        <v>3071</v>
      </c>
      <c r="O5" s="2293" t="s">
        <v>1986</v>
      </c>
      <c r="P5" s="2296" t="s">
        <v>1987</v>
      </c>
      <c r="Q5" s="69" t="s">
        <v>1988</v>
      </c>
      <c r="R5" s="2297" t="s">
        <v>1989</v>
      </c>
      <c r="S5" s="2298" t="s">
        <v>1990</v>
      </c>
      <c r="T5" s="2299" t="s">
        <v>1991</v>
      </c>
      <c r="U5" s="1266" t="s">
        <v>1992</v>
      </c>
      <c r="V5" s="1267" t="s">
        <v>1993</v>
      </c>
      <c r="W5" s="1267" t="s">
        <v>1994</v>
      </c>
      <c r="X5" s="71"/>
      <c r="Y5" s="70" t="s">
        <v>1995</v>
      </c>
      <c r="Z5" s="2300" t="s">
        <v>1992</v>
      </c>
      <c r="AA5" s="1267" t="s">
        <v>1993</v>
      </c>
      <c r="AB5" s="1267" t="s">
        <v>1994</v>
      </c>
      <c r="AC5" s="71"/>
      <c r="AD5" s="71" t="s">
        <v>1995</v>
      </c>
      <c r="AE5" s="1266" t="s">
        <v>1996</v>
      </c>
      <c r="AF5" s="1267" t="s">
        <v>1997</v>
      </c>
      <c r="AG5" s="70" t="s">
        <v>1998</v>
      </c>
      <c r="AH5" s="1266" t="s">
        <v>1999</v>
      </c>
      <c r="AI5" s="2300" t="s">
        <v>2000</v>
      </c>
      <c r="AJ5" s="2300" t="s">
        <v>2001</v>
      </c>
      <c r="AK5" s="1267" t="s">
        <v>2002</v>
      </c>
      <c r="AL5" s="1267" t="s">
        <v>2003</v>
      </c>
      <c r="AM5" s="70" t="s">
        <v>2004</v>
      </c>
      <c r="AN5" s="2301" t="s">
        <v>2005</v>
      </c>
      <c r="AO5" s="2071" t="s">
        <v>2006</v>
      </c>
      <c r="AP5" s="1248"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1373</v>
      </c>
      <c r="D6" s="1050">
        <f>SUMIF(项目基本情况!D$12:I$12,C6,项目基本情况!D$14:I$14)</f>
        <v>40</v>
      </c>
      <c r="E6" s="1047">
        <f>IF(B6="","",SUMIF(项目基本情况!D$12:I$12,C6,项目基本情况!D$13:I$13))</f>
        <v>53332</v>
      </c>
      <c r="F6" s="72">
        <f>SUMIF(项目基本情况!D$12:I$12,C6,项目基本情况!D$15:I$15)</f>
        <v>26.56</v>
      </c>
      <c r="G6" s="73">
        <f>IF(ISERROR(ROUND(POWER(1+H6,D6-F6)*(POWER(1+H6,F6)-1)/(POWER(1+H6,D6)-1),3)),0,ROUND(POWER(1+H6,D6-F6)*(POWER(1+H6,F6)-1)/(POWER(1+H6,D6)-1),3))</f>
        <v>0.84699999999999998</v>
      </c>
      <c r="H6" s="801">
        <v>0.05</v>
      </c>
      <c r="I6" s="801">
        <v>5.5E-2</v>
      </c>
      <c r="J6" s="74">
        <v>0.08</v>
      </c>
      <c r="K6" s="1250">
        <f>SUMIF('数据-汇总表'!C$19:C$33,A6,'数据-汇总表'!E$19:E$33)</f>
        <v>31181.27</v>
      </c>
      <c r="L6" s="3048">
        <v>3000</v>
      </c>
      <c r="M6" s="75">
        <f t="shared" ref="M6:M14" si="0">ROUND(K6*L6/10000,0)</f>
        <v>9354</v>
      </c>
      <c r="N6" s="800">
        <f>N18</f>
        <v>0.82</v>
      </c>
      <c r="O6" s="75" t="str">
        <f>IF($N$5="成新度","——",ROUND(M6*N6,0))</f>
        <v>——</v>
      </c>
      <c r="P6" s="76" t="str">
        <f>IF($N$5="成新度","——",M6-O6)</f>
        <v>——</v>
      </c>
      <c r="Q6" s="803">
        <v>0.15</v>
      </c>
      <c r="R6" s="77">
        <f ca="1">SUMIF('数据-汇总表'!C$19:C$33,A6,'数据-汇总表'!R$19:R$27)</f>
        <v>9142.39</v>
      </c>
      <c r="S6" s="54">
        <f>IF('数据-汇总表'!$I$17="按面积比例",SUMIF('数据-汇总表'!C$19:C$33,A6,'数据-汇总表'!K$19:K$33),SUMIF('数据-汇总表'!C$19:C$33,A6,'数据-汇总表'!N$19:N$33))</f>
        <v>0</v>
      </c>
      <c r="T6" s="1442">
        <f>ROUND($L$14*S6/10000,0)</f>
        <v>0</v>
      </c>
      <c r="U6" s="78">
        <f>Sheet1!F12</f>
        <v>5.74</v>
      </c>
      <c r="V6" s="79">
        <v>0.03</v>
      </c>
      <c r="W6" s="79">
        <v>0.1</v>
      </c>
      <c r="X6" s="1260"/>
      <c r="Y6" s="80">
        <f>N6</f>
        <v>0.82</v>
      </c>
      <c r="Z6" s="81"/>
      <c r="AA6" s="74"/>
      <c r="AB6" s="74"/>
      <c r="AC6" s="1260"/>
      <c r="AD6" s="82"/>
      <c r="AE6" s="1261">
        <f ca="1">IF(AN6="",0,SUMIF(INDIRECT("'"&amp;AN6&amp;"'"&amp;"!E:E"),$AE$5,INDIRECT("'"&amp;AN6&amp;"'"&amp;"!F:F")))</f>
        <v>26.56</v>
      </c>
      <c r="AF6" s="1803"/>
      <c r="AG6" s="146">
        <f>IF(AF6="",0,AE6-AF6)</f>
        <v>0</v>
      </c>
      <c r="AH6" s="83"/>
      <c r="AI6" s="85">
        <v>365</v>
      </c>
      <c r="AJ6" s="86"/>
      <c r="AK6" s="87">
        <v>1.4999999999999999E-2</v>
      </c>
      <c r="AL6" s="88">
        <v>1.5E-3</v>
      </c>
      <c r="AM6" s="89">
        <v>1.4999999999999999E-2</v>
      </c>
      <c r="AN6" s="2306" t="s">
        <v>3210</v>
      </c>
      <c r="AO6" s="55">
        <f ca="1">SUMIF(INDIRECT("'"&amp;AN6&amp;"'"&amp;"!A:A"),"总价",INDIRECT("'"&amp;AN6&amp;"'"&amp;"!B:B"))</f>
        <v>85628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车位</v>
      </c>
      <c r="B7" s="2304" t="str">
        <f t="shared" ref="B7:B13" si="1">IF(A7=0,"","经营性")</f>
        <v>经营性</v>
      </c>
      <c r="C7" s="2305" t="s">
        <v>3067</v>
      </c>
      <c r="D7" s="1050">
        <f>SUMIF(项目基本情况!D$12:I$12,C7,项目基本情况!D$14:I$14)</f>
        <v>50</v>
      </c>
      <c r="E7" s="1047">
        <f>IF(B7="","",SUMIF(项目基本情况!D$12:I$12,C7,项目基本情况!D$13:I$13))</f>
        <v>56984</v>
      </c>
      <c r="F7" s="72">
        <f>SUMIF(项目基本情况!D$12:I$12,C7,项目基本情况!D$15:I$15)</f>
        <v>36.57</v>
      </c>
      <c r="G7" s="73">
        <f t="shared" ref="G7:G11" si="2">IF(ISERROR(ROUND(POWER(1+H7,D7-F7)*(POWER(1+H7,F7)-1)/(POWER(1+H7,D7)-1),3)),0,ROUND(POWER(1+H7,D7-F7)*(POWER(1+H7,F7)-1)/(POWER(1+H7,D7)-1),3))</f>
        <v>0.9</v>
      </c>
      <c r="H7" s="801">
        <v>4.4999999999999998E-2</v>
      </c>
      <c r="I7" s="801">
        <v>0.05</v>
      </c>
      <c r="J7" s="74">
        <v>0.08</v>
      </c>
      <c r="K7" s="1250">
        <f>SUMIF('数据-汇总表'!C$19:C$33,A7,'数据-汇总表'!E$19:E$33)</f>
        <v>3559.58</v>
      </c>
      <c r="L7" s="3048">
        <v>2500</v>
      </c>
      <c r="M7" s="75">
        <f t="shared" si="0"/>
        <v>890</v>
      </c>
      <c r="N7" s="800">
        <f>N6</f>
        <v>0.82</v>
      </c>
      <c r="O7" s="75" t="str">
        <f t="shared" ref="O7:O14" si="3">IF($N$5="成新度","——",ROUND(M7*N7,0))</f>
        <v>——</v>
      </c>
      <c r="P7" s="76" t="str">
        <f t="shared" ref="P7:P14" si="4">IF($N$5="成新度","——",M7-O7)</f>
        <v>——</v>
      </c>
      <c r="Q7" s="3061">
        <v>0.03</v>
      </c>
      <c r="R7" s="77">
        <f ca="1">SUMIF('数据-汇总表'!C$19:C$33,A7,'数据-汇总表'!R$19:R$27)</f>
        <v>1043.67</v>
      </c>
      <c r="S7" s="54">
        <f>IF('数据-汇总表'!$I$17="按面积比例",SUMIF('数据-汇总表'!C$19:C$33,A7,'数据-汇总表'!K$19:K$33),SUMIF('数据-汇总表'!C$19:C$33,A7,'数据-汇总表'!N$19:N$33))</f>
        <v>0</v>
      </c>
      <c r="T7" s="1442">
        <f t="shared" ref="T7:T13" si="5">ROUND($L$14*S7/10000,0)</f>
        <v>0</v>
      </c>
      <c r="U7" s="3062">
        <v>600</v>
      </c>
      <c r="V7" s="79">
        <v>0.02</v>
      </c>
      <c r="W7" s="79">
        <v>0.1</v>
      </c>
      <c r="X7" s="1260"/>
      <c r="Y7" s="80">
        <f>Y6</f>
        <v>0.82</v>
      </c>
      <c r="Z7" s="81"/>
      <c r="AA7" s="74"/>
      <c r="AB7" s="74"/>
      <c r="AC7" s="1260"/>
      <c r="AD7" s="82"/>
      <c r="AE7" s="1261">
        <f t="shared" ref="AE7:AE13" ca="1" si="6">IF(AN7="",0,SUMIF(INDIRECT("'"&amp;AN7&amp;"'"&amp;"!E:E"),$AE$5,INDIRECT("'"&amp;AN7&amp;"'"&amp;"!F:F")))</f>
        <v>36.57</v>
      </c>
      <c r="AF7" s="1803"/>
      <c r="AG7" s="146">
        <f t="shared" ref="AG7:AG13" si="7">IF(AF7="",0,AE7-AF7)</f>
        <v>0</v>
      </c>
      <c r="AH7" s="83">
        <v>101</v>
      </c>
      <c r="AI7" s="85">
        <v>12</v>
      </c>
      <c r="AJ7" s="86"/>
      <c r="AK7" s="87">
        <f>AK6</f>
        <v>1.4999999999999999E-2</v>
      </c>
      <c r="AL7" s="88">
        <f>AL6</f>
        <v>1.5E-3</v>
      </c>
      <c r="AM7" s="89">
        <f>AM6</f>
        <v>1.4999999999999999E-2</v>
      </c>
      <c r="AN7" s="2306" t="s">
        <v>3211</v>
      </c>
      <c r="AO7" s="55">
        <f t="shared" ref="AO7:AO13" ca="1" si="8">SUMIF(INDIRECT("'"&amp;AN7&amp;"'"&amp;"!A:A"),"总价",INDIRECT("'"&amp;AN7&amp;"'"&amp;"!B:B"))</f>
        <v>717</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2010</v>
      </c>
      <c r="B14" s="2304" t="s">
        <v>2011</v>
      </c>
      <c r="C14" s="2309"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2012</v>
      </c>
      <c r="B15" s="2304" t="s">
        <v>2011</v>
      </c>
      <c r="C15" s="2309"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2014</v>
      </c>
      <c r="B16" s="97"/>
      <c r="C16" s="1004"/>
      <c r="D16" s="2311"/>
      <c r="E16" s="97"/>
      <c r="F16" s="97"/>
      <c r="G16" s="98">
        <f>ROUND(SUMPRODUCT(G6:G13,K6:K13)/SUMPRODUCT((G6:G13&gt;0)*(K6:K13)),3)</f>
        <v>0.85199999999999998</v>
      </c>
      <c r="H16" s="99">
        <f>ROUND(SUMPRODUCT(H6:H13,K6:K13)/SUMPRODUCT((H6:H13&gt;0)*(K6:K13)),3)</f>
        <v>4.9000000000000002E-2</v>
      </c>
      <c r="I16" s="100"/>
      <c r="J16" s="100"/>
      <c r="K16" s="101">
        <f>SUM(K6:K15)</f>
        <v>34740.85</v>
      </c>
      <c r="L16" s="102">
        <f>ROUND(M16*10000/SUM(K6:K14),0)</f>
        <v>2949</v>
      </c>
      <c r="M16" s="102">
        <f>SUM(M6:M14)</f>
        <v>10244</v>
      </c>
      <c r="N16" s="103">
        <f>ROUND(SUMPRODUCT(M6:M14,N6:N14)/M16,3)</f>
        <v>0.82</v>
      </c>
      <c r="O16" s="102">
        <f>SUM(O6:O14)</f>
        <v>0</v>
      </c>
      <c r="P16" s="102">
        <f>SUM(P6:P14)</f>
        <v>0</v>
      </c>
      <c r="Q16" s="104">
        <f>ROUND(SUMPRODUCT(Q6:Q13,K6:K13)/SUMPRODUCT((Q6:Q13&gt;0)*(K6:K13)),2)</f>
        <v>0.14000000000000001</v>
      </c>
      <c r="R16" s="1254">
        <f ca="1">SUM(R6:R13)</f>
        <v>10186.06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7"/>
      <c r="L17" s="167"/>
      <c r="M17" s="1580"/>
      <c r="N17" s="1580">
        <v>2008</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7"/>
      <c r="C18" s="2274"/>
      <c r="D18" s="2275"/>
      <c r="E18" s="2274"/>
      <c r="F18" s="2274"/>
      <c r="G18" s="2274"/>
      <c r="H18" s="2274"/>
      <c r="I18" s="2274"/>
      <c r="J18" s="2274"/>
      <c r="K18" s="167"/>
      <c r="L18" s="167"/>
      <c r="M18" s="1580"/>
      <c r="N18" s="1580">
        <f>ROUND(1-(2019-N17)/60,2)</f>
        <v>0.82</v>
      </c>
      <c r="O18" s="1580"/>
      <c r="P18" s="1580"/>
      <c r="Q18" s="1580"/>
      <c r="R18" s="1580"/>
      <c r="S18" s="1580"/>
      <c r="T18" s="1580"/>
      <c r="U18" s="1580"/>
      <c r="V18" s="1580"/>
      <c r="W18" s="1580"/>
      <c r="X18" s="1580"/>
      <c r="Y18" s="1580"/>
      <c r="Z18" s="1580"/>
      <c r="AA18" s="1580">
        <f>K7/102</f>
        <v>34.897843137254903</v>
      </c>
      <c r="AB18" s="1580"/>
      <c r="AC18" s="1580"/>
      <c r="AD18" s="1580"/>
      <c r="AE18" s="1580"/>
      <c r="AF18" s="1580"/>
      <c r="AG18" s="1580"/>
      <c r="AH18" s="1580"/>
      <c r="AI18" s="1580"/>
      <c r="AJ18" s="1580"/>
      <c r="AK18" s="1580"/>
      <c r="AL18" s="1580"/>
      <c r="AM18" s="1580"/>
    </row>
    <row r="19" spans="1:67" ht="14.25">
      <c r="A19" s="2313" t="s">
        <v>2016</v>
      </c>
      <c r="B19" s="112">
        <v>0</v>
      </c>
      <c r="C19" s="2274" t="s">
        <v>2017</v>
      </c>
      <c r="D19" s="2275"/>
      <c r="E19" s="2274"/>
      <c r="F19" s="2274"/>
      <c r="G19" s="2274"/>
      <c r="H19" s="2274"/>
      <c r="I19" s="2274"/>
      <c r="J19" s="2274"/>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2018</v>
      </c>
      <c r="B20" s="113">
        <v>2</v>
      </c>
      <c r="C20" s="2274" t="s">
        <v>2019</v>
      </c>
      <c r="D20" s="2275"/>
      <c r="E20" s="2274"/>
      <c r="F20" s="2274"/>
      <c r="G20" s="2274"/>
      <c r="H20" s="2274"/>
      <c r="I20" s="2274"/>
      <c r="J20" s="2274"/>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2020</v>
      </c>
      <c r="B21" s="113">
        <v>2</v>
      </c>
      <c r="C21" s="2274"/>
      <c r="D21" s="2275"/>
      <c r="E21" s="2274"/>
      <c r="F21" s="2274"/>
      <c r="G21" s="2274"/>
      <c r="H21" s="2274"/>
      <c r="I21" s="2274"/>
      <c r="J21" s="2274"/>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2021</v>
      </c>
      <c r="B22" s="114">
        <f>B19+B20</f>
        <v>2</v>
      </c>
      <c r="C22" s="2274"/>
      <c r="D22" s="2275"/>
      <c r="E22" s="2274"/>
      <c r="F22" s="2274"/>
      <c r="G22" s="2274"/>
      <c r="H22" s="2274"/>
      <c r="I22" s="2274"/>
      <c r="J22" s="2274"/>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2022</v>
      </c>
      <c r="B23" s="114">
        <f>B19+B21</f>
        <v>2</v>
      </c>
      <c r="C23" s="2274"/>
      <c r="D23" s="2275"/>
      <c r="E23" s="2274"/>
      <c r="F23" s="2274"/>
      <c r="G23" s="2274"/>
      <c r="H23" s="2274"/>
      <c r="I23" s="2274"/>
      <c r="J23" s="2274"/>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2023</v>
      </c>
      <c r="B24" s="115">
        <f>B20-B21</f>
        <v>0</v>
      </c>
      <c r="C24" s="2274"/>
      <c r="D24" s="2275"/>
      <c r="E24" s="2274"/>
      <c r="F24" s="2274"/>
      <c r="G24" s="2274"/>
      <c r="H24" s="2274"/>
      <c r="I24" s="2274"/>
      <c r="J24" s="2274"/>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2024</v>
      </c>
      <c r="B26" s="2317" t="s">
        <v>2025</v>
      </c>
      <c r="C26" s="2318" t="s">
        <v>2026</v>
      </c>
      <c r="D26" s="2275"/>
      <c r="E26" s="2274"/>
      <c r="F26" s="2274"/>
      <c r="G26" s="2274"/>
      <c r="H26" s="2274"/>
      <c r="I26" s="2274"/>
      <c r="J26" s="2274"/>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2027</v>
      </c>
      <c r="B27" s="3049">
        <v>160</v>
      </c>
      <c r="C27" s="1763" t="s">
        <v>2028</v>
      </c>
      <c r="D27" s="2320"/>
      <c r="E27" s="1426"/>
      <c r="F27" s="1426"/>
      <c r="G27" s="2274"/>
      <c r="H27" s="2274"/>
      <c r="I27" s="2274"/>
      <c r="J27" s="2274"/>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2029</v>
      </c>
      <c r="B28" s="118">
        <v>200</v>
      </c>
      <c r="C28" s="2323"/>
      <c r="D28" s="2320"/>
      <c r="E28" s="1426"/>
      <c r="F28" s="1426"/>
      <c r="G28" s="2274"/>
      <c r="H28" s="2274"/>
      <c r="I28" s="2274"/>
      <c r="J28" s="2274"/>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2030</v>
      </c>
      <c r="B29" s="120"/>
      <c r="C29" s="1763" t="s">
        <v>2031</v>
      </c>
      <c r="D29" s="2320"/>
      <c r="E29" s="1426"/>
      <c r="F29" s="1426"/>
      <c r="G29" s="2274"/>
      <c r="H29" s="2274"/>
      <c r="I29" s="2274"/>
      <c r="J29" s="2274"/>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2032</v>
      </c>
      <c r="B30" s="723">
        <v>200</v>
      </c>
      <c r="C30" s="2323"/>
      <c r="D30" s="2320"/>
      <c r="E30" s="1426"/>
      <c r="F30" s="1426"/>
      <c r="G30" s="2274"/>
      <c r="H30" s="2274"/>
      <c r="I30" s="2274"/>
      <c r="J30" s="2274"/>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2033</v>
      </c>
      <c r="B31" s="119">
        <f>B30-B32</f>
        <v>200</v>
      </c>
      <c r="C31" s="1763"/>
      <c r="D31" s="2320"/>
      <c r="E31" s="1426"/>
      <c r="F31" s="1426"/>
      <c r="G31" s="2274"/>
      <c r="H31" s="2274"/>
      <c r="I31" s="2274"/>
      <c r="J31" s="2274"/>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2034</v>
      </c>
      <c r="B32" s="724">
        <v>0</v>
      </c>
      <c r="C32" s="2323"/>
      <c r="D32" s="2275"/>
      <c r="E32" s="2274"/>
      <c r="F32" s="2274"/>
      <c r="G32" s="2274"/>
      <c r="H32" s="2274"/>
      <c r="I32" s="2274"/>
      <c r="J32" s="2274"/>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2035</v>
      </c>
      <c r="B33" s="725">
        <v>0.05</v>
      </c>
      <c r="C33" s="1762" t="s">
        <v>2036</v>
      </c>
      <c r="D33" s="2275"/>
      <c r="E33" s="2274"/>
      <c r="F33" s="2274"/>
      <c r="G33" s="2274"/>
      <c r="H33" s="2274"/>
      <c r="I33" s="2274"/>
      <c r="J33" s="2274"/>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2037</v>
      </c>
      <c r="B34" s="121"/>
      <c r="C34" s="1762" t="s">
        <v>2038</v>
      </c>
      <c r="D34" s="2275" t="s">
        <v>2039</v>
      </c>
      <c r="E34" s="731"/>
      <c r="F34" s="2274"/>
      <c r="G34" s="2274"/>
      <c r="H34" s="2274"/>
      <c r="I34" s="2274"/>
      <c r="J34" s="2274"/>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2040</v>
      </c>
      <c r="B35" s="118">
        <v>200</v>
      </c>
      <c r="C35" s="1762" t="s">
        <v>2041</v>
      </c>
      <c r="D35" s="2320"/>
      <c r="E35" s="1426"/>
      <c r="F35" s="1426"/>
      <c r="G35" s="2274"/>
      <c r="H35" s="2274"/>
      <c r="I35" s="2274"/>
      <c r="J35" s="2274"/>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2042</v>
      </c>
      <c r="B36" s="122">
        <v>1.4999999999999999E-2</v>
      </c>
      <c r="C36" s="1762" t="s">
        <v>2043</v>
      </c>
      <c r="D36" s="2275"/>
      <c r="E36" s="2274"/>
      <c r="F36" s="2274"/>
      <c r="G36" s="2274"/>
      <c r="H36" s="2274"/>
      <c r="I36" s="2274"/>
      <c r="J36" s="2274"/>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2044</v>
      </c>
      <c r="B37" s="123">
        <v>0.03</v>
      </c>
      <c r="C37" s="1762" t="s">
        <v>2045</v>
      </c>
      <c r="D37" s="2275"/>
      <c r="E37" s="2274"/>
      <c r="F37" s="2274"/>
      <c r="G37" s="2274"/>
      <c r="H37" s="2274"/>
      <c r="I37" s="2274"/>
      <c r="J37" s="2274"/>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2046</v>
      </c>
      <c r="B38" s="121">
        <v>0.03</v>
      </c>
      <c r="C38" s="1762" t="s">
        <v>2045</v>
      </c>
      <c r="D38" s="2275"/>
      <c r="E38" s="2274"/>
      <c r="F38" s="2274"/>
      <c r="G38" s="2274"/>
      <c r="H38" s="2274"/>
      <c r="I38" s="2274"/>
      <c r="J38" s="2274"/>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2047</v>
      </c>
      <c r="B39" s="361">
        <f ca="1">存贷款利率!I1</f>
        <v>1.4999999999999999E-2</v>
      </c>
      <c r="C39" s="1762"/>
      <c r="D39" s="2275"/>
      <c r="E39" s="2274"/>
      <c r="F39" s="2274"/>
      <c r="G39" s="2274"/>
      <c r="H39" s="2274"/>
      <c r="I39" s="2274"/>
      <c r="J39" s="2274"/>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2048</v>
      </c>
      <c r="B40" s="1299">
        <f ca="1">存贷款利率!G1</f>
        <v>4.7500000000000001E-2</v>
      </c>
      <c r="C40" s="1762" t="s">
        <v>2049</v>
      </c>
      <c r="D40" s="1580"/>
      <c r="E40" s="2275"/>
      <c r="F40" s="2274"/>
      <c r="G40" s="2274"/>
      <c r="H40" s="2274"/>
      <c r="I40" s="2274"/>
      <c r="J40" s="2274"/>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2050</v>
      </c>
      <c r="B41" s="124">
        <f>B42+B43</f>
        <v>5.6000000000000001E-2</v>
      </c>
      <c r="C41" s="1763"/>
      <c r="D41" s="1580"/>
      <c r="E41" s="2275"/>
      <c r="F41" s="2274"/>
      <c r="G41" s="2274"/>
      <c r="H41" s="2274"/>
      <c r="I41" s="2274"/>
      <c r="J41" s="2274"/>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2051</v>
      </c>
      <c r="B42" s="125">
        <v>0.05</v>
      </c>
      <c r="C42" s="2328">
        <f>IF(B2&lt;DATE(2016,5,1),0,B42)</f>
        <v>0.05</v>
      </c>
      <c r="D42" s="2275"/>
      <c r="E42" s="2274"/>
      <c r="F42" s="2274"/>
      <c r="G42" s="2274"/>
      <c r="H42" s="2274"/>
      <c r="I42" s="2274"/>
      <c r="J42" s="2274"/>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2052</v>
      </c>
      <c r="B43" s="126">
        <f>B42*(B44+B45+B46)+B47</f>
        <v>6.000000000000001E-3</v>
      </c>
      <c r="C43" s="1763"/>
      <c r="D43" s="2275"/>
      <c r="E43" s="2274"/>
      <c r="F43" s="2274"/>
      <c r="G43" s="2274"/>
      <c r="H43" s="2274"/>
      <c r="I43" s="2274"/>
      <c r="J43" s="2274"/>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2053</v>
      </c>
      <c r="B44" s="127">
        <v>7.0000000000000007E-2</v>
      </c>
      <c r="C44" s="1762" t="s">
        <v>2054</v>
      </c>
      <c r="D44" s="2275"/>
      <c r="E44" s="2274"/>
      <c r="F44" s="2274"/>
      <c r="G44" s="2274"/>
      <c r="H44" s="2274"/>
      <c r="I44" s="2274"/>
      <c r="J44" s="2274"/>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2055</v>
      </c>
      <c r="B45" s="125">
        <v>0.03</v>
      </c>
      <c r="C45" s="1763" t="s">
        <v>2056</v>
      </c>
      <c r="D45" s="2275"/>
      <c r="E45" s="2274"/>
      <c r="F45" s="2274"/>
      <c r="G45" s="2274"/>
      <c r="H45" s="2274"/>
      <c r="I45" s="2274"/>
      <c r="J45" s="2274"/>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2057</v>
      </c>
      <c r="B46" s="125">
        <v>0.02</v>
      </c>
      <c r="C46" s="1763" t="s">
        <v>2058</v>
      </c>
      <c r="D46" s="2275"/>
      <c r="E46" s="2274"/>
      <c r="F46" s="2274"/>
      <c r="G46" s="2274"/>
      <c r="H46" s="2274"/>
      <c r="I46" s="2274"/>
      <c r="J46" s="2274"/>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2059</v>
      </c>
      <c r="B47" s="128">
        <v>0</v>
      </c>
      <c r="C47" s="1763" t="s">
        <v>2060</v>
      </c>
      <c r="D47" s="2275"/>
      <c r="E47" s="2274"/>
      <c r="F47" s="2274"/>
      <c r="G47" s="2274"/>
      <c r="H47" s="2274"/>
      <c r="I47" s="2274"/>
      <c r="J47" s="2274"/>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2061</v>
      </c>
      <c r="B48" s="129">
        <v>0.03</v>
      </c>
      <c r="C48" s="1770" t="s">
        <v>2062</v>
      </c>
      <c r="D48" s="2275"/>
      <c r="E48" s="2274"/>
      <c r="F48" s="2274"/>
      <c r="G48" s="2274"/>
      <c r="H48" s="2274"/>
      <c r="I48" s="2274"/>
      <c r="J48" s="2274"/>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2063</v>
      </c>
      <c r="B49" s="125">
        <v>5.0000000000000001E-4</v>
      </c>
      <c r="C49" s="1770" t="s">
        <v>2064</v>
      </c>
      <c r="D49" s="2275"/>
      <c r="E49" s="2274"/>
      <c r="F49" s="2274"/>
      <c r="G49" s="2274"/>
      <c r="H49" s="2274"/>
      <c r="I49" s="2274"/>
      <c r="J49" s="2274"/>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2065</v>
      </c>
      <c r="B50" s="130">
        <v>1.2E-2</v>
      </c>
      <c r="C50" s="1426"/>
      <c r="D50" s="2275"/>
      <c r="E50" s="2274"/>
      <c r="F50" s="2274"/>
      <c r="G50" s="2274"/>
      <c r="H50" s="2274"/>
      <c r="I50" s="2274"/>
      <c r="J50" s="2274"/>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2066</v>
      </c>
      <c r="B51" s="131">
        <v>0.12</v>
      </c>
      <c r="C51" s="1426"/>
      <c r="D51" s="2275"/>
      <c r="E51" s="2274"/>
      <c r="F51" s="2274"/>
      <c r="G51" s="2274"/>
      <c r="H51" s="2274"/>
      <c r="I51" s="2274"/>
      <c r="J51" s="2274"/>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2067</v>
      </c>
      <c r="B52" s="132">
        <f>SUMIF(A54:A63,B53,B54:B63)</f>
        <v>1.5</v>
      </c>
      <c r="C52" s="1426"/>
      <c r="D52" s="2275"/>
      <c r="E52" s="2274"/>
      <c r="F52" s="2274"/>
      <c r="G52" s="2274"/>
      <c r="H52" s="2274"/>
      <c r="I52" s="2274"/>
      <c r="J52" s="2274"/>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2068</v>
      </c>
      <c r="B53" s="2333" t="s">
        <v>56</v>
      </c>
      <c r="C53" s="1426" t="s">
        <v>2069</v>
      </c>
      <c r="D53" s="2334" t="s">
        <v>2070</v>
      </c>
      <c r="E53" s="2274"/>
      <c r="F53" s="2274"/>
      <c r="G53" s="2274"/>
      <c r="H53" s="2274"/>
      <c r="I53" s="2274"/>
      <c r="J53" s="2274"/>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2071</v>
      </c>
      <c r="B54" s="84"/>
      <c r="C54" s="1426">
        <v>30</v>
      </c>
      <c r="D54" s="2275"/>
      <c r="E54" s="2274"/>
      <c r="F54" s="2274"/>
      <c r="G54" s="2274"/>
      <c r="H54" s="2274"/>
      <c r="I54" s="2274"/>
      <c r="J54" s="2274"/>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2072</v>
      </c>
      <c r="B55" s="84"/>
      <c r="C55" s="1426">
        <v>24</v>
      </c>
      <c r="D55" s="2275"/>
      <c r="E55" s="2274"/>
      <c r="F55" s="2274"/>
      <c r="G55" s="2274"/>
      <c r="H55" s="2274"/>
      <c r="I55" s="2336"/>
      <c r="J55" s="2274"/>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2073</v>
      </c>
      <c r="B56" s="84"/>
      <c r="C56" s="1426">
        <v>18</v>
      </c>
      <c r="D56" s="2275"/>
      <c r="E56" s="2274"/>
      <c r="F56" s="2274"/>
      <c r="G56" s="2274"/>
      <c r="H56" s="2274"/>
      <c r="I56" s="2274"/>
      <c r="J56" s="2274"/>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2074</v>
      </c>
      <c r="B57" s="84"/>
      <c r="C57" s="1426">
        <v>12</v>
      </c>
      <c r="D57" s="2275"/>
      <c r="E57" s="2274"/>
      <c r="F57" s="2274"/>
      <c r="G57" s="2274"/>
      <c r="H57" s="2274"/>
      <c r="I57" s="2274"/>
      <c r="J57" s="2274"/>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2075</v>
      </c>
      <c r="B58" s="84"/>
      <c r="C58" s="1426">
        <v>3</v>
      </c>
      <c r="D58" s="2275"/>
      <c r="E58" s="2274"/>
      <c r="F58" s="2274"/>
      <c r="G58" s="2274"/>
      <c r="H58" s="2274"/>
      <c r="I58" s="2274"/>
      <c r="J58" s="2274"/>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2076</v>
      </c>
      <c r="B59" s="84">
        <v>1.5</v>
      </c>
      <c r="C59" s="1426">
        <v>1.5</v>
      </c>
      <c r="D59" s="2275"/>
      <c r="E59" s="2274"/>
      <c r="F59" s="2274"/>
      <c r="G59" s="2274"/>
      <c r="H59" s="2274"/>
      <c r="I59" s="2274"/>
      <c r="J59" s="2274"/>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2077</v>
      </c>
      <c r="B60" s="84"/>
      <c r="C60" s="2274"/>
      <c r="D60" s="2275"/>
      <c r="E60" s="2274"/>
      <c r="F60" s="2274"/>
      <c r="G60" s="2274"/>
      <c r="H60" s="2274"/>
      <c r="I60" s="2274"/>
      <c r="J60" s="2274"/>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2078</v>
      </c>
      <c r="B61" s="84"/>
      <c r="C61" s="2274"/>
      <c r="D61" s="2275"/>
      <c r="E61" s="2274"/>
      <c r="F61" s="2274"/>
      <c r="G61" s="2274"/>
      <c r="H61" s="2274"/>
      <c r="I61" s="2274"/>
      <c r="J61" s="2274"/>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2079</v>
      </c>
      <c r="B62" s="84"/>
      <c r="C62" s="2274"/>
      <c r="D62" s="2275"/>
      <c r="E62" s="2274"/>
      <c r="F62" s="2274"/>
      <c r="G62" s="2274"/>
      <c r="H62" s="2274"/>
      <c r="I62" s="2274"/>
      <c r="J62" s="2274"/>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2080</v>
      </c>
      <c r="B63" s="133"/>
      <c r="C63" s="2274"/>
      <c r="D63" s="2275"/>
      <c r="E63" s="2274"/>
      <c r="F63" s="2274"/>
      <c r="G63" s="2274"/>
      <c r="H63" s="2274"/>
      <c r="I63" s="2274"/>
      <c r="J63" s="2274"/>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5" t="s">
        <v>2081</v>
      </c>
      <c r="B1" s="3156"/>
      <c r="C1" s="3156"/>
      <c r="D1" s="3156"/>
      <c r="E1" s="3156"/>
      <c r="F1" s="3156"/>
      <c r="G1" s="315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42.75">
      <c r="A3" s="414" t="s">
        <v>2084</v>
      </c>
      <c r="B3" s="1267" t="s">
        <v>2085</v>
      </c>
      <c r="C3" s="2367"/>
      <c r="D3" s="2368"/>
      <c r="E3" s="430" t="s">
        <v>2084</v>
      </c>
      <c r="F3" s="2369" t="s">
        <v>2086</v>
      </c>
      <c r="G3" s="2370" t="s">
        <v>2087</v>
      </c>
      <c r="H3" s="2365"/>
      <c r="I3" s="2365"/>
      <c r="J3" s="2365"/>
      <c r="K3" s="2365"/>
      <c r="L3" s="2365"/>
      <c r="M3" s="2365"/>
      <c r="N3" s="2365"/>
      <c r="O3" s="2365"/>
      <c r="P3" s="2365"/>
      <c r="Q3" s="2365"/>
      <c r="R3" s="2365"/>
    </row>
    <row r="4" spans="1:29" ht="40.5">
      <c r="A4" s="430"/>
      <c r="B4" s="1794" t="s">
        <v>2088</v>
      </c>
      <c r="C4" s="3050" t="s">
        <v>3284</v>
      </c>
      <c r="D4" s="2368"/>
      <c r="E4" s="2372"/>
      <c r="F4" s="42" t="s">
        <v>2089</v>
      </c>
      <c r="G4" s="2373" t="s">
        <v>2090</v>
      </c>
      <c r="H4" s="2365"/>
      <c r="I4" s="2365"/>
      <c r="J4" s="2365"/>
      <c r="K4" s="2365"/>
      <c r="L4" s="2365"/>
      <c r="M4" s="2365"/>
      <c r="N4" s="2365"/>
      <c r="O4" s="2365"/>
      <c r="P4" s="2365"/>
      <c r="Q4" s="2365"/>
      <c r="R4" s="2365"/>
    </row>
    <row r="5" spans="1:29" ht="27">
      <c r="A5" s="430"/>
      <c r="B5" s="1794" t="s">
        <v>2091</v>
      </c>
      <c r="C5" s="2371"/>
      <c r="D5" s="2368"/>
      <c r="E5" s="2372"/>
      <c r="F5" s="1794" t="s">
        <v>2092</v>
      </c>
      <c r="G5" s="2373" t="s">
        <v>2093</v>
      </c>
      <c r="H5" s="2365"/>
      <c r="I5" s="2365"/>
      <c r="J5" s="2365"/>
      <c r="K5" s="2365"/>
      <c r="L5" s="2365"/>
      <c r="M5" s="2365"/>
      <c r="N5" s="2365"/>
      <c r="O5" s="2365"/>
      <c r="P5" s="2365"/>
      <c r="Q5" s="2365"/>
      <c r="R5" s="2365"/>
    </row>
    <row r="6" spans="1:29" ht="15">
      <c r="A6" s="430"/>
      <c r="B6" s="1794" t="s">
        <v>2094</v>
      </c>
      <c r="C6" s="3051" t="s">
        <v>3284</v>
      </c>
      <c r="D6" s="2368"/>
      <c r="E6" s="2372"/>
      <c r="F6" s="1794" t="s">
        <v>2095</v>
      </c>
      <c r="G6" s="2373" t="s">
        <v>2096</v>
      </c>
      <c r="H6" s="2365"/>
      <c r="I6" s="2365"/>
      <c r="J6" s="2365"/>
      <c r="K6" s="2365"/>
      <c r="L6" s="2365"/>
      <c r="M6" s="2365"/>
      <c r="N6" s="2365"/>
      <c r="O6" s="2365"/>
      <c r="P6" s="2365"/>
      <c r="Q6" s="2365"/>
      <c r="R6" s="2365"/>
    </row>
    <row r="7" spans="1:29" ht="41.25" thickBot="1">
      <c r="A7" s="430"/>
      <c r="B7" s="1794" t="s">
        <v>2092</v>
      </c>
      <c r="C7" s="3051" t="s">
        <v>3284</v>
      </c>
      <c r="D7" s="2374"/>
      <c r="E7" s="2375"/>
      <c r="F7" s="2376" t="s">
        <v>2097</v>
      </c>
      <c r="G7" s="2377" t="s">
        <v>2098</v>
      </c>
      <c r="H7" s="2365"/>
      <c r="I7" s="2365"/>
      <c r="J7" s="2365"/>
      <c r="K7" s="2365"/>
      <c r="L7" s="2365"/>
      <c r="M7" s="2365"/>
      <c r="N7" s="2365"/>
      <c r="O7" s="2365"/>
      <c r="P7" s="2365"/>
      <c r="Q7" s="2365"/>
      <c r="R7" s="2365"/>
    </row>
    <row r="8" spans="1:29" ht="15">
      <c r="A8" s="430"/>
      <c r="B8" s="1794" t="s">
        <v>2095</v>
      </c>
      <c r="C8" s="3051" t="s">
        <v>3285</v>
      </c>
      <c r="D8" s="2374"/>
      <c r="E8" s="2374"/>
      <c r="F8" s="1132"/>
      <c r="G8" s="1132"/>
      <c r="H8" s="2365"/>
      <c r="I8" s="2365"/>
      <c r="J8" s="2365"/>
      <c r="K8" s="2365"/>
      <c r="L8" s="2365"/>
      <c r="M8" s="2365"/>
      <c r="N8" s="2365"/>
      <c r="O8" s="2365"/>
      <c r="P8" s="2365"/>
      <c r="Q8" s="2365"/>
      <c r="R8" s="2365"/>
    </row>
    <row r="9" spans="1:29" ht="15">
      <c r="A9" s="430"/>
      <c r="B9" s="1794" t="s">
        <v>2099</v>
      </c>
      <c r="C9" s="3050" t="s">
        <v>3286</v>
      </c>
      <c r="D9" s="2368"/>
      <c r="E9" s="2374"/>
      <c r="F9" s="1132"/>
      <c r="G9" s="1132"/>
      <c r="H9" s="2365"/>
      <c r="I9" s="2365"/>
      <c r="J9" s="2365"/>
      <c r="K9" s="2365"/>
      <c r="L9" s="2365"/>
      <c r="M9" s="2365"/>
      <c r="N9" s="2365"/>
      <c r="O9" s="2365"/>
      <c r="P9" s="2365"/>
      <c r="Q9" s="2365"/>
      <c r="R9" s="2365"/>
    </row>
    <row r="10" spans="1:29" s="116" customFormat="1" ht="15.75" thickBot="1">
      <c r="A10" s="2378"/>
      <c r="B10" s="2379" t="s">
        <v>2100</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42.75">
      <c r="A15" s="68" t="s">
        <v>2104</v>
      </c>
      <c r="B15" s="1266" t="s">
        <v>2085</v>
      </c>
      <c r="C15" s="2400">
        <f>C3</f>
        <v>0</v>
      </c>
      <c r="D15" s="2368"/>
      <c r="E15" s="2401" t="s">
        <v>2105</v>
      </c>
      <c r="F15" s="1266" t="s">
        <v>2106</v>
      </c>
      <c r="G15" s="134" t="str">
        <f>G3</f>
        <v>估价对象位于XX开发区，园区建设成熟度XX，产业集聚程度XX</v>
      </c>
    </row>
    <row r="16" spans="1:29" ht="42.75">
      <c r="A16" s="644"/>
      <c r="B16" s="2402" t="s">
        <v>2088</v>
      </c>
      <c r="C16" s="2403" t="str">
        <f>C4</f>
        <v>较好</v>
      </c>
      <c r="D16" s="2368"/>
      <c r="E16" s="2404"/>
      <c r="F16" s="2405" t="s">
        <v>2089</v>
      </c>
      <c r="G16" s="135" t="str">
        <f>G4</f>
        <v>估价对象周边道路状况、公共交通通达情况、停车便捷程度，综合评价交通便捷度较好</v>
      </c>
    </row>
    <row r="17" spans="1:18" ht="15">
      <c r="A17" s="644"/>
      <c r="B17" s="2402" t="s">
        <v>2091</v>
      </c>
      <c r="C17" s="2403">
        <f>C5</f>
        <v>0</v>
      </c>
      <c r="D17" s="2374"/>
      <c r="E17" s="2404"/>
      <c r="F17" s="2405" t="s">
        <v>2107</v>
      </c>
      <c r="G17" s="1568"/>
    </row>
    <row r="18" spans="1:18" ht="42.75">
      <c r="A18" s="644"/>
      <c r="B18" s="2405" t="s">
        <v>2094</v>
      </c>
      <c r="C18" s="135" t="str">
        <f>C6</f>
        <v>较好</v>
      </c>
      <c r="D18" s="2374"/>
      <c r="E18" s="2404"/>
      <c r="F18" s="2405" t="s">
        <v>2097</v>
      </c>
      <c r="G18" s="135" t="str">
        <f>G7</f>
        <v>该园区内是否有污染型企业，绿化情况，卫生条件，整体环境状况判断</v>
      </c>
    </row>
    <row r="19" spans="1:18" ht="28.5">
      <c r="A19" s="644"/>
      <c r="B19" s="2405" t="s">
        <v>2108</v>
      </c>
      <c r="C19" s="1568"/>
      <c r="D19" s="2368"/>
      <c r="E19" s="2404"/>
      <c r="F19" s="1794" t="s">
        <v>2092</v>
      </c>
      <c r="G19" s="135" t="str">
        <f>G5</f>
        <v>估价对象所在区域公共配套设施齐备情况</v>
      </c>
    </row>
    <row r="20" spans="1:18" ht="15">
      <c r="A20" s="644"/>
      <c r="B20" s="2405" t="s">
        <v>2109</v>
      </c>
      <c r="C20" s="2403" t="str">
        <f>C9</f>
        <v>一般</v>
      </c>
      <c r="D20" s="2374"/>
      <c r="E20" s="2404"/>
      <c r="F20" s="1794" t="s">
        <v>2110</v>
      </c>
      <c r="G20" s="135" t="str">
        <f>G6</f>
        <v>估价对象所在区域基础设施水平</v>
      </c>
    </row>
    <row r="21" spans="1:18" ht="15">
      <c r="A21" s="644"/>
      <c r="B21" s="1794" t="s">
        <v>2092</v>
      </c>
      <c r="C21" s="135" t="str">
        <f>C7</f>
        <v>较好</v>
      </c>
      <c r="D21" s="2368"/>
      <c r="E21" s="2404"/>
      <c r="F21" s="2405" t="s">
        <v>2111</v>
      </c>
      <c r="G21" s="2406"/>
    </row>
    <row r="22" spans="1:18" ht="13.5" customHeight="1">
      <c r="A22" s="644"/>
      <c r="B22" s="1794" t="s">
        <v>2095</v>
      </c>
      <c r="C22" s="135" t="str">
        <f>C8</f>
        <v>七通</v>
      </c>
      <c r="D22" s="2368"/>
      <c r="E22" s="2404"/>
      <c r="F22" s="2405" t="s">
        <v>2100</v>
      </c>
      <c r="G22" s="1568"/>
    </row>
    <row r="23" spans="1:18" s="2365" customFormat="1" ht="15.75" thickBot="1">
      <c r="A23" s="644"/>
      <c r="B23" s="2405" t="s">
        <v>2111</v>
      </c>
      <c r="C23" s="2406" t="s">
        <v>3233</v>
      </c>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34740.85</v>
      </c>
      <c r="C1" s="1741"/>
      <c r="D1" s="1741"/>
      <c r="E1" s="1741"/>
      <c r="F1" s="1741"/>
      <c r="G1" s="1739"/>
    </row>
    <row r="2" spans="1:10" ht="16.5">
      <c r="A2" s="1742" t="s">
        <v>1349</v>
      </c>
      <c r="B2" s="1742">
        <f>SUM(C14:C23)</f>
        <v>10186.06</v>
      </c>
      <c r="C2" s="1741"/>
      <c r="D2" s="1741"/>
      <c r="E2" s="1741"/>
      <c r="F2" s="1741"/>
      <c r="G2" s="1739"/>
    </row>
    <row r="3" spans="1:10" ht="16.5">
      <c r="A3" s="1742" t="s">
        <v>1358</v>
      </c>
      <c r="B3" s="1743">
        <f>项目基本情况!D3</f>
        <v>43634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95773</v>
      </c>
      <c r="C5" s="1742">
        <f ca="1">ROUND(B5*10000/$B$1,0)</f>
        <v>27568</v>
      </c>
      <c r="D5" s="1742">
        <f ca="1">ROUND(B5*10000/$B$2,0)</f>
        <v>94024</v>
      </c>
      <c r="E5" s="1741"/>
      <c r="F5" s="1739"/>
      <c r="G5" s="1739"/>
    </row>
    <row r="6" spans="1:10" ht="16.5">
      <c r="A6" s="1742" t="s">
        <v>1352</v>
      </c>
      <c r="B6" s="1742">
        <f ca="1">SUM(G14:G23)</f>
        <v>95773</v>
      </c>
      <c r="C6" s="1742">
        <f ca="1">ROUND(B6*10000/$B$1,0)</f>
        <v>27568</v>
      </c>
      <c r="D6" s="1742">
        <f ca="1">ROUND(B6*10000/$B$2,0)</f>
        <v>94024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88444</v>
      </c>
      <c r="C8" s="1742">
        <f ca="1">ROUND(B8*10000/$B$1,0)</f>
        <v>25458</v>
      </c>
      <c r="D8" s="1742">
        <f ca="1">ROUND(B8*10000/$B$2,0)</f>
        <v>86828</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31181.27</v>
      </c>
      <c r="C14" s="1740">
        <f>结果表!C118</f>
        <v>9142.39</v>
      </c>
      <c r="D14" s="1740">
        <f ca="1">结果表!H118</f>
        <v>93490</v>
      </c>
      <c r="E14" s="1740">
        <f ca="1">ROUND(D14*10000/B14,0)</f>
        <v>29983</v>
      </c>
      <c r="F14" s="1740">
        <f ca="1">ROUND(D14*10000/C14,0)</f>
        <v>102260</v>
      </c>
      <c r="G14" s="1740">
        <f ca="1">结果表!D122</f>
        <v>93490</v>
      </c>
      <c r="H14" s="1740" t="str">
        <f>结果表!D124</f>
        <v>——</v>
      </c>
      <c r="I14" s="1740">
        <f ca="1">'结果表 (3)'!H111</f>
        <v>88444</v>
      </c>
      <c r="J14" s="1739"/>
    </row>
    <row r="15" spans="1:10" ht="16.5">
      <c r="A15" s="1738" t="s">
        <v>1345</v>
      </c>
      <c r="B15" s="1745">
        <f>'结果表 (2)'!B118</f>
        <v>3559.58</v>
      </c>
      <c r="C15" s="1745">
        <f>'结果表 (2)'!C118</f>
        <v>1043.67</v>
      </c>
      <c r="D15" s="1745">
        <f ca="1">'结果表 (2)'!H118</f>
        <v>2283</v>
      </c>
      <c r="E15" s="1740">
        <f t="shared" ref="E15:E23" ca="1" si="0">ROUND(D15*10000/B15,0)</f>
        <v>6414</v>
      </c>
      <c r="F15" s="1740">
        <f t="shared" ref="F15:F23" ca="1" si="1">ROUND(D15*10000/C15,0)</f>
        <v>21875</v>
      </c>
      <c r="G15" s="1746">
        <f ca="1">'结果表 (2)'!H107</f>
        <v>2283</v>
      </c>
      <c r="H15" s="1746"/>
      <c r="I15" s="1745">
        <v>0</v>
      </c>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4" zoomScaleNormal="100" zoomScaleSheetLayoutView="100" zoomScalePageLayoutView="80" workbookViewId="0">
      <selection activeCell="A113" sqref="A36:XFD11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t="s">
        <v>1373</v>
      </c>
      <c r="D1" s="2416"/>
      <c r="E1" s="2416"/>
      <c r="F1" s="2418" t="s">
        <v>2115</v>
      </c>
      <c r="G1" s="2068" t="s">
        <v>3216</v>
      </c>
      <c r="H1" s="2419" t="str">
        <f>IF(G1="现房","——","估价对象范围")</f>
        <v>——</v>
      </c>
      <c r="I1" s="2420"/>
    </row>
    <row r="2" spans="1:12" ht="21.75" customHeight="1" thickBot="1">
      <c r="A2" s="3229" t="str">
        <f>项目基本情况!S2</f>
        <v>北京市朝阳区北苑路28号院1号楼房地产</v>
      </c>
      <c r="B2" s="3230"/>
      <c r="C2" s="3230"/>
      <c r="D2" s="3230"/>
      <c r="E2" s="3230"/>
      <c r="F2" s="3230"/>
      <c r="G2" s="3230"/>
      <c r="H2" s="3230"/>
      <c r="I2" s="3231"/>
    </row>
    <row r="3" spans="1:12" ht="12.75">
      <c r="A3" s="3232" t="s">
        <v>2116</v>
      </c>
      <c r="B3" s="3233"/>
      <c r="C3" s="3233"/>
      <c r="D3" s="3233"/>
      <c r="E3" s="3233"/>
      <c r="F3" s="3233"/>
      <c r="G3" s="3233"/>
      <c r="H3" s="3233"/>
      <c r="I3" s="3233"/>
    </row>
    <row r="4" spans="1:12" ht="14.25">
      <c r="A4" s="2423" t="s">
        <v>2117</v>
      </c>
      <c r="B4" s="2424" t="s">
        <v>2118</v>
      </c>
      <c r="C4" s="2425" t="s">
        <v>3210</v>
      </c>
      <c r="D4" s="2425" t="s">
        <v>3217</v>
      </c>
      <c r="E4" s="3213" t="s">
        <v>2119</v>
      </c>
      <c r="F4" s="3226"/>
      <c r="G4" s="3226"/>
      <c r="H4" s="3226"/>
      <c r="I4" s="3214"/>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4" t="s">
        <v>2120</v>
      </c>
      <c r="B5" s="3130">
        <v>25</v>
      </c>
      <c r="C5" s="3234"/>
      <c r="D5" s="3222"/>
      <c r="E5" s="139" t="s">
        <v>2121</v>
      </c>
      <c r="F5" s="2427"/>
      <c r="G5" s="2427"/>
      <c r="H5" s="2427"/>
      <c r="I5" s="1830"/>
    </row>
    <row r="6" spans="1:12" ht="12.75">
      <c r="A6" s="3204"/>
      <c r="B6" s="3130"/>
      <c r="C6" s="3236"/>
      <c r="D6" s="3222"/>
      <c r="E6" s="139" t="s">
        <v>2122</v>
      </c>
      <c r="F6" s="2427"/>
      <c r="G6" s="2427"/>
      <c r="H6" s="2427"/>
      <c r="I6" s="1830"/>
    </row>
    <row r="7" spans="1:12" ht="12.75">
      <c r="A7" s="3204"/>
      <c r="B7" s="3130"/>
      <c r="C7" s="3235"/>
      <c r="D7" s="3222"/>
      <c r="E7" s="139" t="s">
        <v>2123</v>
      </c>
      <c r="F7" s="2427"/>
      <c r="G7" s="2427"/>
      <c r="H7" s="2427"/>
      <c r="I7" s="1830"/>
    </row>
    <row r="8" spans="1:12" ht="12.75">
      <c r="A8" s="3204" t="s">
        <v>2124</v>
      </c>
      <c r="B8" s="3130">
        <v>15</v>
      </c>
      <c r="C8" s="3234"/>
      <c r="D8" s="3222"/>
      <c r="E8" s="139" t="s">
        <v>2125</v>
      </c>
      <c r="F8" s="2427"/>
      <c r="G8" s="2427"/>
      <c r="H8" s="2427"/>
      <c r="I8" s="1830"/>
    </row>
    <row r="9" spans="1:12" ht="12.75">
      <c r="A9" s="3204"/>
      <c r="B9" s="3130"/>
      <c r="C9" s="3235"/>
      <c r="D9" s="3222"/>
      <c r="E9" s="139" t="s">
        <v>2126</v>
      </c>
      <c r="F9" s="2427"/>
      <c r="G9" s="2427"/>
      <c r="H9" s="2427"/>
      <c r="I9" s="1830"/>
    </row>
    <row r="10" spans="1:12" ht="12.75">
      <c r="A10" s="3204" t="s">
        <v>2127</v>
      </c>
      <c r="B10" s="3130">
        <v>15</v>
      </c>
      <c r="C10" s="3234"/>
      <c r="D10" s="3222"/>
      <c r="E10" s="139" t="s">
        <v>2128</v>
      </c>
      <c r="F10" s="2427"/>
      <c r="G10" s="2427"/>
      <c r="H10" s="2427"/>
      <c r="I10" s="1830"/>
    </row>
    <row r="11" spans="1:12" ht="12.75">
      <c r="A11" s="3204"/>
      <c r="B11" s="3130"/>
      <c r="C11" s="3235"/>
      <c r="D11" s="3222"/>
      <c r="E11" s="139" t="s">
        <v>2129</v>
      </c>
      <c r="F11" s="2427"/>
      <c r="G11" s="2427"/>
      <c r="H11" s="2427"/>
      <c r="I11" s="1830"/>
    </row>
    <row r="12" spans="1:12" ht="12.75">
      <c r="A12" s="3204" t="s">
        <v>2130</v>
      </c>
      <c r="B12" s="3130">
        <v>15</v>
      </c>
      <c r="C12" s="3234"/>
      <c r="D12" s="3222"/>
      <c r="E12" s="139" t="s">
        <v>2131</v>
      </c>
      <c r="F12" s="2427"/>
      <c r="G12" s="2427"/>
      <c r="H12" s="2427"/>
      <c r="I12" s="1830"/>
    </row>
    <row r="13" spans="1:12" ht="12.75">
      <c r="A13" s="3204"/>
      <c r="B13" s="3130"/>
      <c r="C13" s="3235"/>
      <c r="D13" s="3222"/>
      <c r="E13" s="139" t="s">
        <v>2132</v>
      </c>
      <c r="F13" s="2427"/>
      <c r="G13" s="2427"/>
      <c r="H13" s="2427"/>
      <c r="I13" s="1830"/>
    </row>
    <row r="14" spans="1:12" ht="12.75">
      <c r="A14" s="3204" t="s">
        <v>2133</v>
      </c>
      <c r="B14" s="3130">
        <v>30</v>
      </c>
      <c r="C14" s="3234">
        <v>5</v>
      </c>
      <c r="D14" s="3222">
        <v>5</v>
      </c>
      <c r="E14" s="139" t="s">
        <v>2134</v>
      </c>
      <c r="F14" s="2427"/>
      <c r="G14" s="2427"/>
      <c r="H14" s="2427"/>
      <c r="I14" s="1830"/>
    </row>
    <row r="15" spans="1:12" ht="12.75">
      <c r="A15" s="3204"/>
      <c r="B15" s="3130"/>
      <c r="C15" s="3236"/>
      <c r="D15" s="3222"/>
      <c r="E15" s="139" t="s">
        <v>2135</v>
      </c>
      <c r="F15" s="2427"/>
      <c r="G15" s="2427"/>
      <c r="H15" s="2427"/>
      <c r="I15" s="1830"/>
    </row>
    <row r="16" spans="1:12" ht="12.75">
      <c r="A16" s="3204"/>
      <c r="B16" s="3130"/>
      <c r="C16" s="3235"/>
      <c r="D16" s="3222"/>
      <c r="E16" s="139" t="s">
        <v>2136</v>
      </c>
      <c r="F16" s="2427"/>
      <c r="G16" s="2427"/>
      <c r="H16" s="2427"/>
      <c r="I16" s="1830"/>
    </row>
    <row r="17" spans="1:35" ht="15">
      <c r="A17" s="2428" t="s">
        <v>2137</v>
      </c>
      <c r="B17" s="64"/>
      <c r="C17" s="140">
        <f>SUM(C5:C16)</f>
        <v>5</v>
      </c>
      <c r="D17" s="140">
        <f>SUM(D5:D16)</f>
        <v>5</v>
      </c>
      <c r="E17" s="137"/>
      <c r="F17" s="137"/>
      <c r="G17" s="137"/>
      <c r="H17" s="137"/>
      <c r="I17" s="137"/>
      <c r="K17" s="2426"/>
      <c r="L17" s="2429" t="s">
        <v>2138</v>
      </c>
      <c r="M17" s="2429" t="s">
        <v>2139</v>
      </c>
    </row>
    <row r="18" spans="1:35" ht="15.75" thickBot="1">
      <c r="A18" s="2430" t="s">
        <v>2140</v>
      </c>
      <c r="B18" s="2431"/>
      <c r="C18" s="141">
        <f>ROUND(C17/SUM(C17:D17),2)</f>
        <v>0.5</v>
      </c>
      <c r="D18" s="141">
        <f>1-C18</f>
        <v>0.5</v>
      </c>
      <c r="E18" s="137"/>
      <c r="F18" s="137"/>
      <c r="G18" s="137"/>
      <c r="H18" s="137"/>
      <c r="I18" s="137"/>
      <c r="K18" s="2426" t="s">
        <v>2141</v>
      </c>
      <c r="L18" s="2426">
        <f>IF(C1="",'数据-汇总表'!E3,SUMIF(项目类型,C1,'数据-汇总表'!E17:E26)+SUMIF(项目类型,C1,'数据-汇总表'!I17:I26))</f>
        <v>31181.27</v>
      </c>
      <c r="M18" s="2426">
        <f>IF(C1="",'数据-汇总表'!E3,SUMIF(项目类型,C1,'数据-汇总表'!E17:E26))</f>
        <v>31181.27</v>
      </c>
    </row>
    <row r="19" spans="1:35" ht="15">
      <c r="A19" s="2432" t="s">
        <v>2142</v>
      </c>
      <c r="B19" s="2433" t="s">
        <v>2143</v>
      </c>
      <c r="C19" s="142">
        <f ca="1">SUMIF(INDIRECT("'"&amp;C4&amp;"'"&amp;"!A:A"),结果表!B19,INDIRECT("'"&amp;C4&amp;"'"&amp;"!B:B"))</f>
        <v>85628</v>
      </c>
      <c r="D19" s="143">
        <f ca="1">SUMIF(INDIRECT("'"&amp;D4&amp;"'"&amp;"!A:A"),结果表!B19,INDIRECT("'"&amp;D4&amp;"'"&amp;"!B:B"))</f>
        <v>101352</v>
      </c>
      <c r="E19" s="2432" t="s">
        <v>2144</v>
      </c>
      <c r="F19" s="2433" t="s">
        <v>2143</v>
      </c>
      <c r="G19" s="144">
        <f ca="1">ROUND(C19*$C$18+D19*$D$18,0)</f>
        <v>93490</v>
      </c>
      <c r="H19" s="2434" t="s">
        <v>2145</v>
      </c>
      <c r="I19" s="137"/>
      <c r="K19" s="2426" t="s">
        <v>2146</v>
      </c>
      <c r="L19" s="2426">
        <f>IF(C1="",'数据-汇总表'!D3,SUMIF(项目类型,C1,'数据-汇总表'!D17:D26)+SUMIF(项目类型,C1,'数据-汇总表'!H17:H27))</f>
        <v>9142.39</v>
      </c>
      <c r="M19" s="2426">
        <f>IF(C1="",'数据-汇总表'!D3,SUMIF(项目类型,C1,'数据-汇总表'!D17:D26))</f>
        <v>9142.39</v>
      </c>
    </row>
    <row r="20" spans="1:35" ht="15">
      <c r="A20" s="2435"/>
      <c r="B20" s="1246" t="s">
        <v>2147</v>
      </c>
      <c r="C20" s="145">
        <f ca="1">SUMIF(INDIRECT("'"&amp;C4&amp;"'"&amp;"!A:A"),结果表!B20,INDIRECT("'"&amp;C4&amp;"'"&amp;"!B:B"))</f>
        <v>27461</v>
      </c>
      <c r="D20" s="146">
        <f ca="1">SUMIF(INDIRECT("'"&amp;D4&amp;"'"&amp;"!A:A"),结果表!B20,INDIRECT("'"&amp;D4&amp;"'"&amp;"!B:B"))</f>
        <v>32504</v>
      </c>
      <c r="E20" s="2435"/>
      <c r="F20" s="1246" t="s">
        <v>2147</v>
      </c>
      <c r="G20" s="147">
        <f ca="1">ROUND(C20*$C$18+D20*$D$18,0)</f>
        <v>29983</v>
      </c>
      <c r="H20" s="979" t="s">
        <v>2148</v>
      </c>
      <c r="I20" s="137"/>
    </row>
    <row r="21" spans="1:35" ht="15" customHeight="1" thickBot="1">
      <c r="A21" s="999"/>
      <c r="B21" s="2436" t="s">
        <v>2149</v>
      </c>
      <c r="C21" s="788">
        <f ca="1">ROUND(C19*10000/L19,0)</f>
        <v>93660</v>
      </c>
      <c r="D21" s="789">
        <f ca="1">ROUND(D19*10000/L19,0)</f>
        <v>110859</v>
      </c>
      <c r="E21" s="999"/>
      <c r="F21" s="2436" t="s">
        <v>2149</v>
      </c>
      <c r="G21" s="148">
        <f ca="1">ROUND(G19*10000/L19,0)</f>
        <v>102260</v>
      </c>
      <c r="H21" s="2437" t="s">
        <v>2148</v>
      </c>
      <c r="I21" s="137"/>
    </row>
    <row r="22" spans="1:35" ht="15" thickBot="1">
      <c r="A22" s="2278" t="s">
        <v>2150</v>
      </c>
      <c r="B22" s="2438"/>
      <c r="C22" s="2439"/>
      <c r="D22" s="790">
        <f ca="1">IF(C19&lt;D19,D19/C19-1,C19/D19-1)</f>
        <v>0.18363152239921532</v>
      </c>
      <c r="E22" s="137"/>
      <c r="F22" s="137"/>
      <c r="G22" s="137"/>
      <c r="H22" s="137"/>
      <c r="I22" s="137"/>
    </row>
    <row r="23" spans="1:35" ht="13.5" thickBot="1">
      <c r="A23" s="2416"/>
      <c r="B23" s="2416"/>
      <c r="C23" s="2416"/>
      <c r="D23" s="2416"/>
      <c r="E23" s="137"/>
      <c r="F23" s="137"/>
      <c r="G23" s="137"/>
      <c r="H23" s="137"/>
      <c r="I23" s="137"/>
    </row>
    <row r="24" spans="1:35" ht="14.25">
      <c r="A24" s="3243" t="s">
        <v>2151</v>
      </c>
      <c r="B24" s="2433" t="s">
        <v>2143</v>
      </c>
      <c r="C24" s="144">
        <f>IF(B30=0,0,D30)</f>
        <v>0</v>
      </c>
      <c r="D24" s="2440"/>
      <c r="E24" s="137"/>
      <c r="F24" s="137"/>
      <c r="G24" s="137"/>
      <c r="H24" s="137"/>
      <c r="I24" s="137"/>
    </row>
    <row r="25" spans="1:35" ht="14.25">
      <c r="A25" s="3244"/>
      <c r="B25" s="1246" t="s">
        <v>2147</v>
      </c>
      <c r="C25" s="149">
        <f>IF(B30=0,0,C30)</f>
        <v>0</v>
      </c>
      <c r="D25" s="2441"/>
      <c r="E25" s="137"/>
      <c r="F25" s="137"/>
      <c r="G25" s="137"/>
      <c r="H25" s="137"/>
      <c r="I25" s="137"/>
    </row>
    <row r="26" spans="1:35" ht="13.5" customHeight="1">
      <c r="A26" s="2442" t="s">
        <v>2152</v>
      </c>
      <c r="B26" s="150" t="s">
        <v>2153</v>
      </c>
      <c r="C26" s="150" t="s">
        <v>2154</v>
      </c>
      <c r="D26" s="151" t="s">
        <v>2155</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2156</v>
      </c>
      <c r="B30" s="150"/>
      <c r="C30" s="150"/>
      <c r="D30" s="150"/>
      <c r="E30" s="2915" t="s">
        <v>3032</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2157</v>
      </c>
      <c r="B32" s="2446"/>
      <c r="C32" s="152">
        <f ca="1">IF(D32="总价",G19-C24,G20-C25)</f>
        <v>93490</v>
      </c>
      <c r="D32" s="2447" t="s">
        <v>2158</v>
      </c>
      <c r="E32" s="137"/>
      <c r="F32" s="137"/>
      <c r="G32" s="137"/>
      <c r="H32" s="137"/>
      <c r="I32" s="137"/>
    </row>
    <row r="33" spans="1:15" ht="15">
      <c r="A33" s="956" t="s">
        <v>2159</v>
      </c>
      <c r="B33" s="2448"/>
      <c r="C33" s="2449" t="s">
        <v>3277</v>
      </c>
      <c r="D33" s="2450" t="s">
        <v>3210</v>
      </c>
      <c r="E33" s="2451" t="s">
        <v>2160</v>
      </c>
      <c r="F33" s="2452" t="str">
        <f>IF(D32="楼面单价","取值（单价）","取值（总价）")</f>
        <v>取值（总价）</v>
      </c>
      <c r="G33" s="137"/>
      <c r="H33" s="137"/>
      <c r="I33" s="137"/>
    </row>
    <row r="34" spans="1:15" ht="15">
      <c r="A34" s="2453"/>
      <c r="B34" s="2454" t="s">
        <v>2161</v>
      </c>
      <c r="C34" s="156">
        <f ca="1">IF(C33="自定义",F34,C32-C35)</f>
        <v>74138</v>
      </c>
      <c r="D34" s="1054">
        <f ca="1">IF(C33="自定义",ROUND(C34/C32,3),IF(C33="收益比率",SUMIF(INDIRECT("'"&amp;D33&amp;"'"&amp;"!b:b"),"土地收益比率",INDIRECT("'"&amp;D33&amp;"'"&amp;"!c:c")),SUMIF(INDIRECT("'"&amp;D33&amp;"'"&amp;"!b:b"),"土地成本比率",INDIRECT("'"&amp;D33&amp;"'"&amp;"!c:c"))))</f>
        <v>0.79300000000000004</v>
      </c>
      <c r="E34" s="2455" t="s">
        <v>2162</v>
      </c>
      <c r="F34" s="1735"/>
      <c r="G34" s="137"/>
      <c r="H34" s="137"/>
      <c r="I34" s="137"/>
    </row>
    <row r="35" spans="1:15" ht="15.75" thickBot="1">
      <c r="A35" s="2456"/>
      <c r="B35" s="2457" t="s">
        <v>2163</v>
      </c>
      <c r="C35" s="1440">
        <f ca="1">IF(C33="自定义",F35,ROUND(C32*D35,0))</f>
        <v>19352</v>
      </c>
      <c r="D35" s="1441">
        <f ca="1">IF(C33="自定义",ROUND(C35/C32,3),IF(C33="收益比率",SUMIF(INDIRECT("'"&amp;D33&amp;"'"&amp;"!b:b"),"建筑物收益比率",INDIRECT("'"&amp;D33&amp;"'"&amp;"!c:c")),SUMIF(INDIRECT("'"&amp;D33&amp;"'"&amp;"!b:b"),"建筑物成本比率",INDIRECT("'"&amp;D33&amp;"'"&amp;"!c:c"))))</f>
        <v>0.20699999999999999</v>
      </c>
      <c r="E35" s="2458" t="s">
        <v>2164</v>
      </c>
      <c r="F35" s="162"/>
      <c r="G35" s="137"/>
      <c r="H35" s="137"/>
      <c r="I35" s="137"/>
    </row>
    <row r="36" spans="1:15" ht="15.75" hidden="1" thickBot="1">
      <c r="A36" s="3223" t="s">
        <v>2165</v>
      </c>
      <c r="B36" s="2459" t="s">
        <v>2166</v>
      </c>
      <c r="C36" s="153"/>
      <c r="D36" s="2460"/>
      <c r="E36" s="2461"/>
      <c r="F36" s="2462"/>
      <c r="G36" s="137"/>
      <c r="H36" s="137"/>
      <c r="I36" s="137"/>
    </row>
    <row r="37" spans="1:15" ht="15.75" hidden="1" thickBot="1">
      <c r="A37" s="3224"/>
      <c r="B37" s="2264" t="s">
        <v>2167</v>
      </c>
      <c r="C37" s="155"/>
      <c r="D37" s="1391"/>
      <c r="E37" s="1391"/>
      <c r="F37" s="2462"/>
      <c r="G37" s="137"/>
      <c r="H37" s="137"/>
      <c r="I37" s="137"/>
    </row>
    <row r="38" spans="1:15" ht="15.75" hidden="1" thickBot="1">
      <c r="A38" s="3225"/>
      <c r="B38" s="2463" t="s">
        <v>2168</v>
      </c>
      <c r="C38" s="726"/>
      <c r="D38" s="2464" t="s">
        <v>2169</v>
      </c>
      <c r="E38" s="1391"/>
      <c r="F38" s="2462"/>
      <c r="G38" s="137"/>
      <c r="H38" s="137"/>
      <c r="I38" s="137"/>
    </row>
    <row r="39" spans="1:15" ht="15" hidden="1">
      <c r="A39" s="2435" t="s">
        <v>2170</v>
      </c>
      <c r="B39" s="2465" t="s">
        <v>2171</v>
      </c>
      <c r="C39" s="2466" t="s">
        <v>2172</v>
      </c>
      <c r="D39" s="2466" t="s">
        <v>2173</v>
      </c>
      <c r="E39" s="2467" t="s">
        <v>2174</v>
      </c>
      <c r="F39" s="2462"/>
      <c r="G39" s="137"/>
      <c r="H39" s="137"/>
      <c r="I39" s="137"/>
    </row>
    <row r="40" spans="1:15" ht="14.25" hidden="1">
      <c r="A40" s="2468" t="s">
        <v>2175</v>
      </c>
      <c r="B40" s="157"/>
      <c r="C40" s="158"/>
      <c r="D40" s="158"/>
      <c r="E40" s="159"/>
      <c r="F40" s="2462"/>
      <c r="G40" s="137"/>
      <c r="H40" s="137"/>
      <c r="I40" s="137"/>
    </row>
    <row r="41" spans="1:15" ht="14.25" hidden="1">
      <c r="A41" s="2468" t="s">
        <v>2176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240" t="s">
        <v>2179</v>
      </c>
      <c r="B45" s="3241"/>
      <c r="C45" s="3242"/>
      <c r="D45" s="163">
        <f ca="1">ROUND(H101*F45,0)</f>
        <v>93490</v>
      </c>
      <c r="E45" s="164" t="s">
        <v>2180</v>
      </c>
      <c r="F45" s="165">
        <v>1</v>
      </c>
      <c r="G45" s="166" t="s">
        <v>2181</v>
      </c>
      <c r="H45" s="137"/>
      <c r="I45" s="137"/>
      <c r="J45" s="3159" t="s">
        <v>2182</v>
      </c>
      <c r="K45" s="3159"/>
      <c r="L45" s="3159"/>
      <c r="M45" s="3159"/>
      <c r="N45" s="3159"/>
      <c r="O45" s="3159"/>
    </row>
    <row r="46" spans="1:15" ht="14.25" hidden="1" customHeight="1">
      <c r="A46" s="3237" t="s">
        <v>2183</v>
      </c>
      <c r="B46" s="3238"/>
      <c r="C46" s="3238"/>
      <c r="D46" s="3238"/>
      <c r="E46" s="3238"/>
      <c r="F46" s="3238"/>
      <c r="G46" s="3239"/>
      <c r="H46" s="2478"/>
      <c r="I46" s="167"/>
      <c r="J46" s="1808">
        <v>1</v>
      </c>
      <c r="K46" s="3159" t="s">
        <v>2184</v>
      </c>
      <c r="L46" s="3159"/>
      <c r="M46" s="3160"/>
      <c r="N46" s="3160"/>
      <c r="O46" s="3160"/>
    </row>
    <row r="47" spans="1:15" ht="12" hidden="1" customHeight="1">
      <c r="A47" s="168" t="s">
        <v>2185</v>
      </c>
      <c r="B47" s="169"/>
      <c r="C47" s="170"/>
      <c r="D47" s="171" t="s">
        <v>2186</v>
      </c>
      <c r="E47" s="24" t="s">
        <v>2187</v>
      </c>
      <c r="F47" s="172" t="s">
        <v>2188</v>
      </c>
      <c r="G47" s="173" t="s">
        <v>2189</v>
      </c>
      <c r="H47" s="2478"/>
      <c r="I47" s="167"/>
      <c r="J47" s="1808">
        <v>2</v>
      </c>
      <c r="K47" s="3159" t="s">
        <v>2190</v>
      </c>
      <c r="L47" s="3159"/>
      <c r="M47" s="3161">
        <f>'数据-取费表'!B2</f>
        <v>43634</v>
      </c>
      <c r="N47" s="3161"/>
      <c r="O47" s="3161"/>
    </row>
    <row r="48" spans="1:15" ht="25.5" hidden="1">
      <c r="A48" s="3227" t="s">
        <v>2191</v>
      </c>
      <c r="B48" s="3228"/>
      <c r="C48" s="3228"/>
      <c r="D48" s="139">
        <f>IF(H48="情况1",0,IF(H48="情况2",D52,IF(H48="情况3",D53,IF(H48="情况4",D54))))</f>
        <v>0</v>
      </c>
      <c r="E48" s="1797" t="str">
        <f>IF(H48="情况4","(销售额-原购置价)×税（费）率","销售额×税（费）率")</f>
        <v>销售额×税（费）率</v>
      </c>
      <c r="F48" s="174" t="str">
        <f>IF(H48="情况1","免征",'数据-取费表'!B41)</f>
        <v>免征</v>
      </c>
      <c r="G48" s="2479" t="s">
        <v>2192</v>
      </c>
      <c r="H48" s="2480" t="s">
        <v>2193</v>
      </c>
      <c r="I48" s="2478"/>
      <c r="J48" s="1808">
        <v>3</v>
      </c>
      <c r="K48" s="3159" t="s">
        <v>2194</v>
      </c>
      <c r="L48" s="3159"/>
      <c r="M48" s="3162">
        <f ca="1">H101</f>
        <v>93490</v>
      </c>
      <c r="N48" s="3162"/>
      <c r="O48" s="3162"/>
    </row>
    <row r="49" spans="1:35" ht="25.5" hidden="1" customHeight="1">
      <c r="A49" s="175" t="s">
        <v>2195</v>
      </c>
      <c r="B49" s="3207" t="s">
        <v>2196</v>
      </c>
      <c r="C49" s="3207"/>
      <c r="D49" s="176">
        <v>0</v>
      </c>
      <c r="E49" s="23" t="s">
        <v>2197</v>
      </c>
      <c r="F49" s="28" t="s">
        <v>34</v>
      </c>
      <c r="G49" s="3188"/>
      <c r="H49" s="137"/>
      <c r="I49" s="2481"/>
      <c r="J49" s="1808">
        <v>4</v>
      </c>
      <c r="K49" s="3159" t="str">
        <f>IF(项目基本情况!E8="房地产抵押价值","房地产抵押价值","抵押担保权已注销时的房地产抵押价值")</f>
        <v>房地产抵押价值</v>
      </c>
      <c r="L49" s="3159"/>
      <c r="M49" s="3162">
        <f ca="1">IF(项目基本情况!E8="房地产抵押价值",H107,H109)</f>
        <v>93490</v>
      </c>
      <c r="N49" s="3162"/>
      <c r="O49" s="3162"/>
    </row>
    <row r="50" spans="1:35" ht="25.5" hidden="1" customHeight="1">
      <c r="A50" s="177"/>
      <c r="B50" s="3207" t="s">
        <v>2198</v>
      </c>
      <c r="C50" s="3207"/>
      <c r="D50" s="178"/>
      <c r="E50" s="31"/>
      <c r="F50" s="179"/>
      <c r="G50" s="3189"/>
      <c r="H50" s="137"/>
      <c r="I50" s="2481"/>
      <c r="J50" s="3159" t="s">
        <v>2199</v>
      </c>
      <c r="K50" s="3159"/>
      <c r="L50" s="3159"/>
      <c r="M50" s="3159"/>
      <c r="N50" s="3159"/>
      <c r="O50" s="3159"/>
    </row>
    <row r="51" spans="1:35" ht="12" hidden="1" customHeight="1">
      <c r="A51" s="180"/>
      <c r="B51" s="3207" t="s">
        <v>2200</v>
      </c>
      <c r="C51" s="3207"/>
      <c r="D51" s="181"/>
      <c r="E51" s="30"/>
      <c r="F51" s="179"/>
      <c r="G51" s="3190"/>
      <c r="H51" s="137"/>
      <c r="I51" s="2481"/>
      <c r="J51" s="2482" t="s">
        <v>2201</v>
      </c>
      <c r="K51" s="3159" t="s">
        <v>2202</v>
      </c>
      <c r="L51" s="3159"/>
      <c r="M51" s="2482" t="s">
        <v>2203</v>
      </c>
      <c r="N51" s="2482" t="s">
        <v>2204</v>
      </c>
      <c r="O51" s="2482" t="s">
        <v>2205</v>
      </c>
    </row>
    <row r="52" spans="1:35" ht="24" hidden="1" customHeight="1">
      <c r="A52" s="182" t="s">
        <v>2206</v>
      </c>
      <c r="B52" s="3207" t="s">
        <v>2207</v>
      </c>
      <c r="C52" s="3207"/>
      <c r="D52" s="181">
        <f ca="1">ROUND(D45*'数据-取费表'!B41/(1+'数据-取费表'!C42),0)</f>
        <v>4986</v>
      </c>
      <c r="E52" s="11" t="s">
        <v>2208</v>
      </c>
      <c r="F52" s="183">
        <f>'数据-取费表'!B41</f>
        <v>5.6000000000000001E-2</v>
      </c>
      <c r="G52" s="2483"/>
      <c r="H52" s="137"/>
      <c r="I52" s="2481"/>
      <c r="J52" s="1808">
        <v>1</v>
      </c>
      <c r="K52" s="3182" t="s">
        <v>2209</v>
      </c>
      <c r="L52" s="3182"/>
      <c r="M52" s="1750">
        <f>D48</f>
        <v>0</v>
      </c>
      <c r="N52" s="1808" t="str">
        <f>E48</f>
        <v>销售额×税（费）率</v>
      </c>
      <c r="O52" s="1751" t="str">
        <f>F48</f>
        <v>免征</v>
      </c>
    </row>
    <row r="53" spans="1:35" ht="12" hidden="1" customHeight="1">
      <c r="A53" s="182" t="s">
        <v>2210</v>
      </c>
      <c r="B53" s="3208" t="s">
        <v>2211</v>
      </c>
      <c r="C53" s="3209"/>
      <c r="D53" s="181">
        <f ca="1">ROUND(D45*'数据-取费表'!B41/(1+'数据-取费表'!C42),0)</f>
        <v>4986</v>
      </c>
      <c r="E53" s="11" t="s">
        <v>2208</v>
      </c>
      <c r="F53" s="183">
        <f>'数据-取费表'!B41</f>
        <v>5.6000000000000001E-2</v>
      </c>
      <c r="G53" s="2483"/>
      <c r="H53" s="137"/>
      <c r="I53" s="2481"/>
      <c r="J53" s="1808">
        <v>2</v>
      </c>
      <c r="K53" s="3182" t="s">
        <v>2212</v>
      </c>
      <c r="L53" s="3182"/>
      <c r="M53" s="1750">
        <f t="shared" ref="M53:O54" ca="1" si="0">D55</f>
        <v>47</v>
      </c>
      <c r="N53" s="1808" t="str">
        <f t="shared" si="0"/>
        <v>销售额×税（费）率</v>
      </c>
      <c r="O53" s="1751">
        <f t="shared" si="0"/>
        <v>5.0000000000000001E-4</v>
      </c>
    </row>
    <row r="54" spans="1:35" ht="12" hidden="1" customHeight="1">
      <c r="A54" s="182" t="s">
        <v>2213</v>
      </c>
      <c r="B54" s="3208" t="s">
        <v>2214</v>
      </c>
      <c r="C54" s="3209"/>
      <c r="D54" s="181">
        <f ca="1">C68</f>
        <v>4986</v>
      </c>
      <c r="E54" s="30" t="s">
        <v>2215</v>
      </c>
      <c r="F54" s="183">
        <f>'数据-取费表'!B41</f>
        <v>5.6000000000000001E-2</v>
      </c>
      <c r="G54" s="2483"/>
      <c r="H54" s="2484"/>
      <c r="I54" s="2481"/>
      <c r="J54" s="1808">
        <v>3</v>
      </c>
      <c r="K54" s="3182" t="s">
        <v>2216</v>
      </c>
      <c r="L54" s="3182"/>
      <c r="M54" s="1750">
        <f t="shared" ca="1" si="0"/>
        <v>52916</v>
      </c>
      <c r="N54" s="1808" t="str">
        <f t="shared" si="0"/>
        <v>增值额×税（费）率</v>
      </c>
      <c r="O54" s="1752" t="str">
        <f t="shared" si="0"/>
        <v>——</v>
      </c>
    </row>
    <row r="55" spans="1:35" ht="24" hidden="1" customHeight="1">
      <c r="A55" s="3246" t="s">
        <v>2217</v>
      </c>
      <c r="B55" s="3228"/>
      <c r="C55" s="3228"/>
      <c r="D55" s="184">
        <f ca="1">IF(H55="个人住宅",0,ROUND(D45*I55,0))</f>
        <v>47</v>
      </c>
      <c r="E55" s="11" t="s">
        <v>2218</v>
      </c>
      <c r="F55" s="183">
        <f>IF(H55="正常",I55,"免征")</f>
        <v>5.0000000000000001E-4</v>
      </c>
      <c r="G55" s="2483"/>
      <c r="H55" s="2480" t="s">
        <v>2219</v>
      </c>
      <c r="I55" s="185">
        <f>'数据-取费表'!B49</f>
        <v>5.0000000000000001E-4</v>
      </c>
      <c r="J55" s="1808" t="str">
        <f>IF(H59="非个人房产","",4)</f>
        <v/>
      </c>
      <c r="K55" s="3182" t="str">
        <f>IF(H59="非个人房产","——","个人所得税")</f>
        <v>——</v>
      </c>
      <c r="L55" s="3182"/>
      <c r="M55" s="1753" t="str">
        <f>D59</f>
        <v>——</v>
      </c>
      <c r="N55" s="1806" t="str">
        <f>E59</f>
        <v>——</v>
      </c>
      <c r="O55" s="1754" t="str">
        <f>F59</f>
        <v>——</v>
      </c>
    </row>
    <row r="56" spans="1:35" ht="24.75" hidden="1">
      <c r="A56" s="3246" t="s">
        <v>2220</v>
      </c>
      <c r="B56" s="3228"/>
      <c r="C56" s="3228"/>
      <c r="D56" s="184">
        <f ca="1">IF(H56="个人住宅",D57,D58)</f>
        <v>52916</v>
      </c>
      <c r="E56" s="11" t="s">
        <v>2221</v>
      </c>
      <c r="F56" s="183" t="str">
        <f>IF(H56="正常",F58,"免征")</f>
        <v>——</v>
      </c>
      <c r="G56" s="2485" t="s">
        <v>2222</v>
      </c>
      <c r="H56" s="2486" t="s">
        <v>2219</v>
      </c>
      <c r="I56" s="2487"/>
      <c r="J56" s="1808" t="str">
        <f>IF(项目基本情况!K6="上海银行",IF(J55="",4,J55+1),"")</f>
        <v/>
      </c>
      <c r="K56" s="3165" t="str">
        <f>IF(项目基本情况!K6="上海银行","其他处置费用","")</f>
        <v/>
      </c>
      <c r="L56" s="3166"/>
      <c r="M56" s="1750" t="str">
        <f>IF(项目基本情况!K6="上海银行",M69,"")</f>
        <v/>
      </c>
      <c r="N56" s="3168" t="str">
        <f>IF(项目基本情况!K6="上海银行","包含处置中涉及的律师、诉讼、拍卖、评估等费用","")</f>
        <v/>
      </c>
      <c r="O56" s="3169"/>
    </row>
    <row r="57" spans="1:35" ht="12.75" hidden="1">
      <c r="A57" s="182" t="s">
        <v>2195</v>
      </c>
      <c r="B57" s="3213" t="s">
        <v>2223</v>
      </c>
      <c r="C57" s="3214"/>
      <c r="D57" s="186">
        <v>0</v>
      </c>
      <c r="E57" s="23" t="s">
        <v>2197</v>
      </c>
      <c r="F57" s="154"/>
      <c r="G57" s="2483"/>
      <c r="H57" s="2487"/>
      <c r="I57" s="2487"/>
      <c r="J57" s="3182">
        <f>IF(AND(J55="",J56=""),4,IF(项目基本情况!K6="上海银行",结果表!J56+1,结果表!J55+1))</f>
        <v>4</v>
      </c>
      <c r="K57" s="3182" t="s">
        <v>2224</v>
      </c>
      <c r="L57" s="2488" t="s">
        <v>2225</v>
      </c>
      <c r="M57" s="1755"/>
      <c r="N57" s="1756">
        <f ca="1">SUMIF(M52:M56,"&lt;9e307")</f>
        <v>52963</v>
      </c>
      <c r="O57" s="2489"/>
      <c r="P57" s="1749">
        <f ca="1">N57/M49</f>
        <v>0.56650978714300992</v>
      </c>
    </row>
    <row r="58" spans="1:35" ht="24.75" hidden="1">
      <c r="A58" s="182" t="s">
        <v>2206</v>
      </c>
      <c r="B58" s="3213" t="s">
        <v>2226</v>
      </c>
      <c r="C58" s="3226"/>
      <c r="D58" s="184">
        <f ca="1">IF(H58="转让取得",C81,C97)</f>
        <v>52916</v>
      </c>
      <c r="E58" s="11" t="s">
        <v>2221</v>
      </c>
      <c r="F58" s="24" t="s">
        <v>34</v>
      </c>
      <c r="G58" s="2483"/>
      <c r="H58" s="2486" t="s">
        <v>2227</v>
      </c>
      <c r="I58" s="2487"/>
      <c r="J58" s="3182"/>
      <c r="K58" s="3182"/>
      <c r="L58" s="2488" t="s">
        <v>2228</v>
      </c>
      <c r="M58" s="1757"/>
      <c r="N58" s="2490" t="str">
        <f ca="1">NUMBERSTRING(INT(N57*10000),2)&amp;"元整"</f>
        <v>伍亿贰仟玖佰陆拾叁万元整</v>
      </c>
      <c r="O58" s="2491"/>
    </row>
    <row r="59" spans="1:35" ht="24.75" hidden="1" thickBot="1">
      <c r="A59" s="3186" t="s">
        <v>2229</v>
      </c>
      <c r="B59" s="3187"/>
      <c r="C59" s="3187"/>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184">
        <f>J57+1</f>
        <v>5</v>
      </c>
      <c r="K59" s="3182" t="s">
        <v>2231</v>
      </c>
      <c r="L59" s="1808" t="s">
        <v>2225</v>
      </c>
      <c r="M59" s="1758"/>
      <c r="N59" s="1759">
        <f ca="1">M49-N57</f>
        <v>40527</v>
      </c>
      <c r="O59" s="2493"/>
    </row>
    <row r="60" spans="1:35" ht="12" hidden="1" customHeight="1">
      <c r="A60" s="2494"/>
      <c r="B60" s="2416"/>
      <c r="C60" s="2416"/>
      <c r="D60" s="2416"/>
      <c r="E60" s="2163"/>
      <c r="F60" s="2487"/>
      <c r="G60" s="2487"/>
      <c r="H60" s="2495"/>
      <c r="I60" s="137"/>
      <c r="J60" s="3185"/>
      <c r="K60" s="3182"/>
      <c r="L60" s="2488" t="s">
        <v>2228</v>
      </c>
      <c r="M60" s="1757"/>
      <c r="N60" s="2490" t="str">
        <f ca="1">NUMBERSTRING(INT(N59*10000),2)&amp;"元整"</f>
        <v>肆亿零伍佰贰拾柒万元整</v>
      </c>
      <c r="O60" s="2491"/>
    </row>
    <row r="61" spans="1:35" ht="13.5" hidden="1" thickBot="1">
      <c r="A61" s="3245" t="s">
        <v>2232</v>
      </c>
      <c r="B61" s="3245"/>
      <c r="C61" s="3245"/>
      <c r="D61" s="3245"/>
      <c r="E61" s="3245"/>
      <c r="F61" s="2487"/>
      <c r="G61" s="2487"/>
      <c r="H61" s="2495"/>
      <c r="I61" s="137"/>
      <c r="J61" s="1808">
        <f>J59+1</f>
        <v>6</v>
      </c>
      <c r="K61" s="3182" t="s">
        <v>2233</v>
      </c>
      <c r="L61" s="3182"/>
      <c r="M61" s="1760"/>
      <c r="N61" s="1761">
        <f ca="1">ROUND(N59*10000/'数据-汇总表'!E3,0)</f>
        <v>11666</v>
      </c>
      <c r="O61" s="2496"/>
    </row>
    <row r="62" spans="1:35" ht="12.75" hidden="1">
      <c r="A62" s="3202" t="s">
        <v>2234</v>
      </c>
      <c r="B62" s="3203"/>
      <c r="C62" s="1800"/>
      <c r="D62" s="1800" t="s">
        <v>2235</v>
      </c>
      <c r="E62" s="191" t="s">
        <v>2236</v>
      </c>
      <c r="F62" s="2487"/>
      <c r="G62" s="2487"/>
      <c r="H62" s="2495"/>
      <c r="I62" s="137"/>
    </row>
    <row r="63" spans="1:35" ht="12.75" hidden="1">
      <c r="A63" s="202" t="s">
        <v>775</v>
      </c>
      <c r="B63" s="192" t="s">
        <v>2237</v>
      </c>
      <c r="C63" s="193">
        <f ca="1">ROUND((C64+C65)/(1+'数据-取费表'!C42),0)</f>
        <v>89038</v>
      </c>
      <c r="D63" s="194"/>
      <c r="E63" s="195"/>
      <c r="F63" s="2487"/>
      <c r="G63" s="2487"/>
      <c r="H63" s="2495"/>
      <c r="I63" s="137"/>
      <c r="J63" s="3167" t="s">
        <v>2238</v>
      </c>
      <c r="K63" s="2497" t="s">
        <v>2239</v>
      </c>
      <c r="L63" s="1748">
        <f ca="1">IF(M49&gt;10000,M49*0.5%,IF(AND(M49&gt;1000,M49&lt;=10000),M49*1%,IF(AND(M49&gt;100,M49&lt;=1000),M49*3%,IF(AND(M49&gt;10,M49&lt;=100),M49*5%,M49*8%))))</f>
        <v>467.45</v>
      </c>
      <c r="M63" s="24">
        <f ca="1">ROUND(L63,1)</f>
        <v>467.5</v>
      </c>
      <c r="Z63" s="2421"/>
      <c r="AI63" s="2422"/>
    </row>
    <row r="64" spans="1:35" ht="14.25" hidden="1" customHeight="1">
      <c r="A64" s="196" t="s">
        <v>770</v>
      </c>
      <c r="B64" s="197" t="s">
        <v>2240</v>
      </c>
      <c r="C64" s="198">
        <f ca="1">D45</f>
        <v>93490</v>
      </c>
      <c r="D64" s="199" t="s">
        <v>32</v>
      </c>
      <c r="E64" s="200"/>
      <c r="F64" s="2487"/>
      <c r="G64" s="2487"/>
      <c r="H64" s="2495"/>
      <c r="I64" s="137"/>
      <c r="J64" s="3167"/>
      <c r="K64" s="2497" t="s">
        <v>2241</v>
      </c>
      <c r="L64" s="1748">
        <f ca="1">IF(M49&gt;2000,M49*0.5%,IF(AND(M49&gt;1000,M49&lt;=2000),M49*0.6%,IF(AND(M49&gt;500,M49&lt;=1000),M49*0.7%,IF(AND(M49&gt;200,M49&lt;=500),M49*0.8%,IF(AND(M49&gt;100,M49&lt;=200),M49*0.9%,IF(AND(M49&gt;50,M49&lt;=100),M49*1%,IF(AND(M49&gt;20,M49&lt;=50),M49*1.5%,IF(AND(M49&gt;10,M49&lt;=20),M49*2%,IF(AND(M49&gt;1,M49&lt;=10),M49*2.5%)))))))))</f>
        <v>467.45</v>
      </c>
      <c r="M64" s="24">
        <f t="shared" ref="M64:M65" ca="1" si="1">ROUND(L64,1)</f>
        <v>467.5</v>
      </c>
      <c r="N64" s="137" t="s">
        <v>2242</v>
      </c>
      <c r="Z64" s="2421"/>
      <c r="AI64" s="2422"/>
    </row>
    <row r="65" spans="1:35" ht="14.25" hidden="1" customHeight="1">
      <c r="A65" s="196" t="s">
        <v>771</v>
      </c>
      <c r="B65" s="197" t="s">
        <v>2243</v>
      </c>
      <c r="C65" s="201"/>
      <c r="D65" s="199"/>
      <c r="E65" s="200"/>
      <c r="F65" s="2487"/>
      <c r="G65" s="2487"/>
      <c r="H65" s="2495"/>
      <c r="I65" s="137"/>
      <c r="J65" s="3167"/>
      <c r="K65" s="2497" t="s">
        <v>2244</v>
      </c>
      <c r="L65" s="1748">
        <f ca="1">IF(M49&gt;1000,M49*0.1%,IF(AND(M49&gt;500,M49&lt;=1000),M49*0.5%,IF(AND(M49&gt;50,M49&lt;=500),M49*1%,IF(AND(M49&gt;1,M49&lt;=50),M49*1.5%))))</f>
        <v>93.49</v>
      </c>
      <c r="M65" s="24">
        <f t="shared" ca="1" si="1"/>
        <v>93.5</v>
      </c>
      <c r="N65" s="137" t="s">
        <v>2242</v>
      </c>
      <c r="Z65" s="2421"/>
      <c r="AI65" s="2422"/>
    </row>
    <row r="66" spans="1:35" ht="14.25" hidden="1" customHeight="1">
      <c r="A66" s="202" t="s">
        <v>772</v>
      </c>
      <c r="B66" s="203" t="s">
        <v>2245</v>
      </c>
      <c r="C66" s="204"/>
      <c r="D66" s="205" t="s">
        <v>32</v>
      </c>
      <c r="E66" s="1772" t="s">
        <v>1367</v>
      </c>
      <c r="F66" s="2487"/>
      <c r="G66" s="2487"/>
      <c r="H66" s="2495"/>
      <c r="I66" s="137"/>
      <c r="J66" s="3167"/>
      <c r="K66" s="2497" t="s">
        <v>2246</v>
      </c>
      <c r="L66" s="1748">
        <f ca="1">M49*0.5%</f>
        <v>467.45</v>
      </c>
      <c r="M66" s="24">
        <f ca="1">IF(L66&gt;0.5,0.5,ROUND(L66,0))</f>
        <v>0.5</v>
      </c>
      <c r="N66" s="137" t="s">
        <v>2247</v>
      </c>
      <c r="Z66" s="2421"/>
      <c r="AI66" s="2422"/>
    </row>
    <row r="67" spans="1:35" ht="14.25" hidden="1" customHeight="1">
      <c r="A67" s="202" t="s">
        <v>773</v>
      </c>
      <c r="B67" s="203" t="s">
        <v>2248</v>
      </c>
      <c r="C67" s="206">
        <f ca="1">C63-C66</f>
        <v>89038</v>
      </c>
      <c r="D67" s="199" t="s">
        <v>32</v>
      </c>
      <c r="E67" s="200"/>
      <c r="F67" s="2487"/>
      <c r="G67" s="2487"/>
      <c r="H67" s="2495"/>
      <c r="I67" s="137"/>
      <c r="J67" s="3167"/>
      <c r="K67" s="2497" t="s">
        <v>2249</v>
      </c>
      <c r="L67" s="1748">
        <f ca="1">IF(M49&gt;=10000,(8.25+(M49-10000)*0.01%),IF(AND(M49&gt;=8000,M49&lt;10000),(7.85+(M49-8000)*0.02%),IF(AND(M49&gt;=5000,M49&lt;8000),(6.65+(M49-5000)*0.04%),IF(AND(M49&gt;=2000,M49&lt;5000),(4.25+(PM49-2000)*0.08%),IF(AND(M49&gt;=1000,M49&lt;2000),(2.75+(M49-1000)*0.15%),IF(AND(M49&gt;=100,M49&lt;1000),(0.5+(M49-100)*0.25%),IF(AND(M49&gt;0,M49&lt;100),M49*0.5%)))))))</f>
        <v>16.599</v>
      </c>
      <c r="M67" s="24">
        <f ca="1">ROUND(L67*0.9,1)</f>
        <v>14.9</v>
      </c>
      <c r="Z67" s="2421"/>
      <c r="AI67" s="2422"/>
    </row>
    <row r="68" spans="1:35" ht="14.25" hidden="1" customHeight="1" thickBot="1">
      <c r="A68" s="207" t="s">
        <v>774</v>
      </c>
      <c r="B68" s="208" t="s">
        <v>2250</v>
      </c>
      <c r="C68" s="209">
        <f ca="1">IF(C67&lt;=0,0,ROUND(C67*D68,0))</f>
        <v>4986</v>
      </c>
      <c r="D68" s="210">
        <f>'数据-取费表'!B41</f>
        <v>5.6000000000000001E-2</v>
      </c>
      <c r="E68" s="211"/>
      <c r="F68" s="2487"/>
      <c r="G68" s="2487"/>
      <c r="H68" s="2495"/>
      <c r="I68" s="137"/>
      <c r="J68" s="3167"/>
      <c r="K68" s="2497" t="s">
        <v>2251</v>
      </c>
      <c r="L68" s="1748">
        <f ca="1">IF(M49&gt;10000,M49*0.5%,IF(AND(M49&gt;5000,M49&lt;=10000),M49*1%,IF(AND(M49&gt;1000,M49&lt;=5000),M49*2%,IF(AND(M49&gt;200,M49&lt;=1000),M49*3%,M49*5%))))</f>
        <v>467.45</v>
      </c>
      <c r="M68" s="24">
        <f ca="1">ROUND(L68,1)</f>
        <v>467.5</v>
      </c>
      <c r="Z68" s="2421"/>
      <c r="AI68" s="2422"/>
    </row>
    <row r="69" spans="1:35" s="2444" customFormat="1" ht="16.5" hidden="1" customHeight="1">
      <c r="A69" s="2498"/>
      <c r="B69" s="2499"/>
      <c r="C69" s="2500"/>
      <c r="D69" s="2501"/>
      <c r="E69" s="2502"/>
      <c r="F69" s="2163"/>
      <c r="G69" s="2163"/>
      <c r="H69" s="2162"/>
      <c r="I69" s="2416"/>
      <c r="J69" s="3167"/>
      <c r="K69" s="2497" t="s">
        <v>2252</v>
      </c>
      <c r="L69" s="2503"/>
      <c r="M69" s="24">
        <f ca="1">ROUND(SUM(M63:M68),0)</f>
        <v>1511</v>
      </c>
      <c r="N69" s="1749">
        <f ca="1">M69/M49</f>
        <v>1.6162156380361534E-2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211" t="s">
        <v>2253</v>
      </c>
      <c r="B70" s="3212"/>
      <c r="C70" s="3212"/>
      <c r="D70" s="3212"/>
      <c r="E70" s="3212"/>
      <c r="F70" s="3212"/>
      <c r="G70" s="3212"/>
      <c r="H70" s="32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202" t="s">
        <v>2234</v>
      </c>
      <c r="B71" s="3203"/>
      <c r="C71" s="1800"/>
      <c r="D71" s="1800"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2254</v>
      </c>
      <c r="C72" s="206">
        <f ca="1">ROUND(D45/(1+'数据-取费表'!C42),0)</f>
        <v>89038</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2255</v>
      </c>
      <c r="C73" s="206">
        <f ca="1">C74+C78</f>
        <v>534</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2256</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2257</v>
      </c>
      <c r="C75" s="217"/>
      <c r="D75" s="199" t="s">
        <v>32</v>
      </c>
      <c r="E75" s="218" t="s">
        <v>2258</v>
      </c>
      <c r="F75" s="2509" t="s">
        <v>2259</v>
      </c>
      <c r="G75" s="218" t="s">
        <v>2260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2261</v>
      </c>
      <c r="C76" s="199">
        <f>IF(F75="购房发票",ROUND(C75*H75*D76,0),0)</f>
        <v>0</v>
      </c>
      <c r="D76" s="221">
        <v>0.05</v>
      </c>
      <c r="E76" s="3208" t="s">
        <v>2262</v>
      </c>
      <c r="F76" s="3207"/>
      <c r="G76" s="3207"/>
      <c r="H76" s="32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11" t="s">
        <v>2265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2266</v>
      </c>
      <c r="C78" s="224">
        <f ca="1">ROUND(D45*D78/(1+'数据-取费表'!C42),0)</f>
        <v>534</v>
      </c>
      <c r="D78" s="225">
        <f>'数据-取费表'!B43</f>
        <v>6.000000000000001E-3</v>
      </c>
      <c r="E78" s="3199" t="s">
        <v>2267</v>
      </c>
      <c r="F78" s="3200"/>
      <c r="G78" s="3200"/>
      <c r="H78" s="32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2268</v>
      </c>
      <c r="C79" s="206">
        <f ca="1">C72-C73</f>
        <v>88504</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2269</v>
      </c>
      <c r="C80" s="226">
        <f ca="1">IF(C79&lt;=0,0,C79/C73)</f>
        <v>165.73782771535579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2270</v>
      </c>
      <c r="C81" s="227">
        <f ca="1">ROUND(IF(C79&lt;=0,0,IF(C80&gt;=200%,C79*60%-C73*35%,IF(C80&gt;=100%,C79*50%-C73*15%,IF(C80&gt;=50%,C79*40%-C73*5%,IF(C80&lt;50%,C79*30%,0))))),0)</f>
        <v>52916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211" t="s">
        <v>2271</v>
      </c>
      <c r="B83" s="3212"/>
      <c r="C83" s="3212"/>
      <c r="D83" s="3212"/>
      <c r="E83" s="3212"/>
      <c r="F83" s="3212"/>
      <c r="G83" s="3212"/>
      <c r="H83" s="32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202" t="s">
        <v>2234</v>
      </c>
      <c r="B84" s="3203"/>
      <c r="C84" s="1800"/>
      <c r="D84" s="1800"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2254</v>
      </c>
      <c r="C85" s="206">
        <f ca="1">ROUND(D45/(1+'数据-取费表'!C42),0)</f>
        <v>89038</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2255</v>
      </c>
      <c r="C86" s="206">
        <f ca="1">IF(H88="仅含出让金",C87+C90+C91+C92+C93+C94,C87+C91+C92+C93+C94)</f>
        <v>534</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2272</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2273</v>
      </c>
      <c r="C88" s="235"/>
      <c r="D88" s="225"/>
      <c r="E88" s="236" t="s">
        <v>2274</v>
      </c>
      <c r="F88" s="1796"/>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2263</v>
      </c>
      <c r="C89" s="224">
        <f>ROUND(C88*D89,0)</f>
        <v>0</v>
      </c>
      <c r="D89" s="225">
        <f>'数据-取费表'!B48+'数据-取费表'!B49</f>
        <v>3.0499999999999999E-2</v>
      </c>
      <c r="E89" s="236" t="s">
        <v>2276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2277</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2278</v>
      </c>
      <c r="B91" s="197" t="s">
        <v>2279</v>
      </c>
      <c r="C91" s="224">
        <f>IF(H91="——",成本法!C33,I91)</f>
        <v>0</v>
      </c>
      <c r="D91" s="225"/>
      <c r="E91" s="3199" t="s">
        <v>2280</v>
      </c>
      <c r="F91" s="3200"/>
      <c r="G91" s="3200"/>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2282</v>
      </c>
      <c r="B92" s="197" t="s">
        <v>2283</v>
      </c>
      <c r="C92" s="224">
        <f>ROUND((C87+C90+C91)*D92,0)</f>
        <v>0</v>
      </c>
      <c r="D92" s="225">
        <v>0.1</v>
      </c>
      <c r="E92" s="3199" t="s">
        <v>2284</v>
      </c>
      <c r="F92" s="3200"/>
      <c r="G92" s="3200"/>
      <c r="H92" s="32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2285</v>
      </c>
      <c r="B93" s="197" t="s">
        <v>2266</v>
      </c>
      <c r="C93" s="224">
        <f ca="1">ROUND(D45*D93/(1+'数据-取费表'!C42),0)</f>
        <v>534</v>
      </c>
      <c r="D93" s="225">
        <f>'数据-取费表'!B43</f>
        <v>6.000000000000001E-3</v>
      </c>
      <c r="E93" s="3199" t="s">
        <v>2267</v>
      </c>
      <c r="F93" s="3200"/>
      <c r="G93" s="3200"/>
      <c r="H93" s="32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2286</v>
      </c>
      <c r="B94" s="197" t="s">
        <v>2287</v>
      </c>
      <c r="C94" s="235">
        <f>ROUND((C87+C90+C91)*D94,0)</f>
        <v>0</v>
      </c>
      <c r="D94" s="225">
        <v>0.2</v>
      </c>
      <c r="E94" s="3247" t="s">
        <v>2288</v>
      </c>
      <c r="F94" s="3248"/>
      <c r="G94" s="3248"/>
      <c r="H94" s="324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2268</v>
      </c>
      <c r="C95" s="206">
        <f ca="1">ROUND(C85-C86,0)</f>
        <v>88504</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2269</v>
      </c>
      <c r="C96" s="226">
        <f ca="1">IF(C95&lt;=0,0,C95/C86)</f>
        <v>165.73782771535579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2270</v>
      </c>
      <c r="C97" s="227">
        <f ca="1">ROUND(IF(C95&lt;=0,0,IF(C96&gt;=200%,C95*60%-C86*35%,IF(C96&gt;=100%,C95*50%-C86*15%,IF(C96&gt;=50%,C95*40%-C86*5%,IF(C96&lt;50%,C95*30%,0))))),0)</f>
        <v>52916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hidden="1" customHeight="1" thickBot="1">
      <c r="A99" s="2472" t="s">
        <v>2289</v>
      </c>
      <c r="B99" s="2416"/>
      <c r="C99" s="2416"/>
      <c r="D99" s="2416"/>
      <c r="E99" s="2163"/>
      <c r="F99" s="2163"/>
      <c r="G99" s="2163"/>
      <c r="H99" s="2162"/>
      <c r="I99" s="137"/>
    </row>
    <row r="100" spans="1:35" ht="18.75" hidden="1" customHeight="1">
      <c r="A100" s="3151" t="s">
        <v>2290</v>
      </c>
      <c r="B100" s="3152"/>
      <c r="C100" s="3152"/>
      <c r="D100" s="3183"/>
      <c r="E100" s="3152" t="s">
        <v>2291</v>
      </c>
      <c r="F100" s="3152"/>
      <c r="G100" s="3152"/>
      <c r="H100" s="3183"/>
      <c r="I100" s="137"/>
    </row>
    <row r="101" spans="1:35" ht="18.75" hidden="1" customHeight="1">
      <c r="A101" s="3191" t="s">
        <v>2292</v>
      </c>
      <c r="B101" s="3192"/>
      <c r="C101" s="735" t="str">
        <f>C4</f>
        <v>收益法</v>
      </c>
      <c r="D101" s="736" t="str">
        <f>D4</f>
        <v>典型户型修正商业</v>
      </c>
      <c r="E101" s="3163" t="s">
        <v>2293</v>
      </c>
      <c r="F101" s="3164"/>
      <c r="G101" s="2518" t="s">
        <v>2294</v>
      </c>
      <c r="H101" s="1044">
        <f ca="1">H118</f>
        <v>93490</v>
      </c>
      <c r="I101" s="137"/>
    </row>
    <row r="102" spans="1:35" ht="18.75" hidden="1" customHeight="1">
      <c r="A102" s="3193" t="s">
        <v>2295</v>
      </c>
      <c r="B102" s="2518" t="s">
        <v>2294</v>
      </c>
      <c r="C102" s="735">
        <f ca="1">C19</f>
        <v>85628</v>
      </c>
      <c r="D102" s="736">
        <f ca="1">D19</f>
        <v>101352</v>
      </c>
      <c r="E102" s="3163"/>
      <c r="F102" s="3164"/>
      <c r="G102" s="2518" t="s">
        <v>2296</v>
      </c>
      <c r="H102" s="370">
        <f ca="1">I118</f>
        <v>29983</v>
      </c>
      <c r="I102" s="137"/>
    </row>
    <row r="103" spans="1:35" ht="42.75" hidden="1" customHeight="1">
      <c r="A103" s="3193"/>
      <c r="B103" s="2518" t="s">
        <v>2296</v>
      </c>
      <c r="C103" s="737">
        <f ca="1">C20</f>
        <v>27461</v>
      </c>
      <c r="D103" s="738">
        <f ca="1">D20</f>
        <v>32504</v>
      </c>
      <c r="E103" s="3157" t="s">
        <v>2297</v>
      </c>
      <c r="F103" s="3158"/>
      <c r="G103" s="2519" t="s">
        <v>2298</v>
      </c>
      <c r="H103" s="1044">
        <f>IF(D36="正常操作",H104+H105+H106,H105+H106)</f>
        <v>0</v>
      </c>
      <c r="I103" s="137"/>
    </row>
    <row r="104" spans="1:35" ht="18.75" hidden="1" customHeight="1">
      <c r="A104" s="3193" t="s">
        <v>2299</v>
      </c>
      <c r="B104" s="2520" t="s">
        <v>2294</v>
      </c>
      <c r="C104" s="739">
        <f ca="1">H118</f>
        <v>93490</v>
      </c>
      <c r="D104" s="740"/>
      <c r="E104" s="2264" t="s">
        <v>2300</v>
      </c>
      <c r="F104" s="2255"/>
      <c r="G104" s="2519" t="s">
        <v>2298</v>
      </c>
      <c r="H104" s="1045">
        <f>IF(D36="同一抵押权人同一抵押物续贷",C36&amp;"（未扣减，详见特别提示）",C36)</f>
        <v>0</v>
      </c>
      <c r="I104" s="137"/>
    </row>
    <row r="105" spans="1:35" ht="18.75" hidden="1" customHeight="1" thickBot="1">
      <c r="A105" s="3205"/>
      <c r="B105" s="2521" t="s">
        <v>2296</v>
      </c>
      <c r="C105" s="741">
        <f ca="1">I118</f>
        <v>29983</v>
      </c>
      <c r="D105" s="742"/>
      <c r="E105" s="2264" t="s">
        <v>2301</v>
      </c>
      <c r="F105" s="2255"/>
      <c r="G105" s="2519" t="s">
        <v>2298</v>
      </c>
      <c r="H105" s="1045">
        <f>C37</f>
        <v>0</v>
      </c>
      <c r="I105" s="137"/>
    </row>
    <row r="106" spans="1:35" ht="18.75" hidden="1" customHeight="1">
      <c r="A106" s="2416" t="s">
        <v>2302</v>
      </c>
      <c r="B106" s="2416"/>
      <c r="C106" s="2416"/>
      <c r="D106" s="2416"/>
      <c r="E106" s="2522" t="s">
        <v>2303</v>
      </c>
      <c r="F106" s="2255"/>
      <c r="G106" s="2519" t="s">
        <v>2298</v>
      </c>
      <c r="H106" s="1045">
        <f>C38</f>
        <v>0</v>
      </c>
      <c r="I106" s="137"/>
    </row>
    <row r="107" spans="1:35" ht="18.75" hidden="1" customHeight="1">
      <c r="A107" s="137"/>
      <c r="B107" s="137"/>
      <c r="C107" s="137"/>
      <c r="D107" s="137"/>
      <c r="E107" s="3194" t="str">
        <f>IF(项目基本情况!E8="已注销","——","3.房地产抵押价值")</f>
        <v>3.房地产抵押价值</v>
      </c>
      <c r="F107" s="3164"/>
      <c r="G107" s="2518" t="s">
        <v>2294</v>
      </c>
      <c r="H107" s="1044">
        <f ca="1">IF(E107="——","——",H101-H103)</f>
        <v>93490</v>
      </c>
      <c r="I107" s="137"/>
    </row>
    <row r="108" spans="1:35" ht="18.75" hidden="1" customHeight="1">
      <c r="A108" s="137"/>
      <c r="B108" s="137"/>
      <c r="C108" s="137"/>
      <c r="D108" s="137"/>
      <c r="E108" s="3194"/>
      <c r="F108" s="3164"/>
      <c r="G108" s="2518" t="s">
        <v>2296</v>
      </c>
      <c r="H108" s="370">
        <f ca="1">ROUND(H107*10000/'数据-汇总表'!E3,0)</f>
        <v>26911</v>
      </c>
      <c r="I108" s="137"/>
    </row>
    <row r="109" spans="1:35" ht="18.75" hidden="1"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64"/>
      <c r="G109" s="2518" t="s">
        <v>2294</v>
      </c>
      <c r="H109" s="347" t="str">
        <f>IF(E109="——","——",H101-H105-H106)</f>
        <v>——</v>
      </c>
      <c r="I109" s="137"/>
    </row>
    <row r="110" spans="1:35" ht="18.75" hidden="1" customHeight="1">
      <c r="A110" s="137"/>
      <c r="B110" s="137"/>
      <c r="C110" s="137"/>
      <c r="D110" s="137"/>
      <c r="E110" s="3194"/>
      <c r="F110" s="3164"/>
      <c r="G110" s="2518" t="s">
        <v>2296</v>
      </c>
      <c r="H110" s="370" t="str">
        <f>IF(H109="——","——",ROUND(H109*10000/'数据-汇总表'!E3,0))</f>
        <v>——</v>
      </c>
      <c r="I110" s="137"/>
    </row>
    <row r="111" spans="1:35" ht="18.75" hidden="1" customHeight="1">
      <c r="A111" s="137"/>
      <c r="B111" s="137"/>
      <c r="C111" s="137"/>
      <c r="D111" s="137"/>
      <c r="E111" s="3195" t="str">
        <f>IF(项目基本情况!E9="抵押净值",IF(OR(项目基本情况!E8="已注销",项目基本情况!E8="房地产抵押价值"),"4.抵押净值","5.抵押净值"),"——")</f>
        <v>4.抵押净值</v>
      </c>
      <c r="F111" s="3196"/>
      <c r="G111" s="2518" t="s">
        <v>2294</v>
      </c>
      <c r="H111" s="1044">
        <f ca="1">IF(E111="——","——",N59)</f>
        <v>40527</v>
      </c>
      <c r="I111" s="137"/>
    </row>
    <row r="112" spans="1:35" ht="18.75" hidden="1" customHeight="1" thickBot="1">
      <c r="A112" s="137"/>
      <c r="B112" s="137"/>
      <c r="C112" s="137"/>
      <c r="D112" s="137"/>
      <c r="E112" s="3197"/>
      <c r="F112" s="3198"/>
      <c r="G112" s="2523" t="s">
        <v>2296</v>
      </c>
      <c r="H112" s="789">
        <f ca="1">IF(E111="——","——",N61)</f>
        <v>11666</v>
      </c>
      <c r="I112" s="137"/>
    </row>
    <row r="113" spans="1:11" ht="18.75" hidden="1" customHeight="1">
      <c r="A113" s="137"/>
      <c r="B113" s="137"/>
      <c r="C113" s="137"/>
      <c r="D113" s="137"/>
      <c r="E113" s="3206" t="s">
        <v>2302</v>
      </c>
      <c r="F113" s="3206"/>
      <c r="G113" s="3206"/>
      <c r="H113" s="3206"/>
      <c r="I113" s="137"/>
    </row>
    <row r="114" spans="1:11" ht="3.75" customHeight="1">
      <c r="A114" s="2416"/>
      <c r="B114" s="2416"/>
      <c r="C114" s="2416"/>
      <c r="D114" s="2416"/>
      <c r="E114" s="2494"/>
      <c r="F114" s="2494"/>
      <c r="G114" s="2494"/>
      <c r="H114" s="2494"/>
      <c r="I114" s="2416"/>
    </row>
    <row r="115" spans="1:11" ht="18.75" customHeight="1">
      <c r="A115" s="3219" t="s">
        <v>2304</v>
      </c>
      <c r="B115" s="3220"/>
      <c r="C115" s="3220"/>
      <c r="D115" s="3220"/>
      <c r="E115" s="3220"/>
      <c r="F115" s="3220"/>
      <c r="G115" s="3220"/>
      <c r="H115" s="3220"/>
      <c r="I115" s="3221"/>
    </row>
    <row r="116" spans="1:11" ht="27" customHeight="1">
      <c r="A116" s="3130" t="s">
        <v>2305</v>
      </c>
      <c r="B116" s="3173" t="s">
        <v>2306</v>
      </c>
      <c r="C116" s="3173" t="s">
        <v>2307</v>
      </c>
      <c r="D116" s="3179" t="s">
        <v>2308</v>
      </c>
      <c r="E116" s="3180"/>
      <c r="F116" s="3215" t="s">
        <v>2309</v>
      </c>
      <c r="G116" s="3215"/>
      <c r="H116" s="3130" t="s">
        <v>2310</v>
      </c>
      <c r="I116" s="3130"/>
    </row>
    <row r="117" spans="1:11" ht="18.75" customHeight="1">
      <c r="A117" s="3130"/>
      <c r="B117" s="3174"/>
      <c r="C117" s="3174"/>
      <c r="D117" s="1794" t="s">
        <v>2311</v>
      </c>
      <c r="E117" s="1794" t="s">
        <v>2312</v>
      </c>
      <c r="F117" s="1794" t="s">
        <v>2311</v>
      </c>
      <c r="G117" s="1794" t="s">
        <v>2313</v>
      </c>
      <c r="H117" s="1794" t="s">
        <v>2311</v>
      </c>
      <c r="I117" s="1794" t="s">
        <v>2313</v>
      </c>
    </row>
    <row r="118" spans="1:11" ht="24.75" customHeight="1">
      <c r="A118" s="2524" t="str">
        <f>项目基本情况!S2</f>
        <v>北京市朝阳区北苑路28号院1号楼房地产</v>
      </c>
      <c r="B118" s="1794">
        <f>M18</f>
        <v>31181.27</v>
      </c>
      <c r="C118" s="1794">
        <f>M19</f>
        <v>9142.39</v>
      </c>
      <c r="D118" s="1794">
        <f ca="1">ROUND(IF(D32="总价",C34,E118*B118/10000),0)</f>
        <v>74138</v>
      </c>
      <c r="E118" s="1794">
        <f ca="1">ROUND(IF(C33="自定义",IF(D32="楼面单价",C34,D118*10000/B118),I118-G118),0)</f>
        <v>23777</v>
      </c>
      <c r="F118" s="1794">
        <f ca="1">ROUND(IF(D32="总价",C35,G118*B118/10000),0)</f>
        <v>19352</v>
      </c>
      <c r="G118" s="1794">
        <f ca="1">ROUND(IF(D32="楼面单价",C35,F118*10000/B118),0)</f>
        <v>6206</v>
      </c>
      <c r="H118" s="1794">
        <f ca="1">ROUND(IF(D32="总价",C32,I118*B118/10000),0)</f>
        <v>93490</v>
      </c>
      <c r="I118" s="1794">
        <f ca="1">ROUND(IF(D32="楼面单价",C32,H118*10000/B118),0)</f>
        <v>29983</v>
      </c>
    </row>
    <row r="119" spans="1:11" ht="18.75" customHeight="1">
      <c r="A119" s="3130" t="s">
        <v>2314</v>
      </c>
      <c r="B119" s="3130"/>
      <c r="C119" s="3130"/>
      <c r="D119" s="3175" t="str">
        <f ca="1">NUMBERSTRING(INT(D118*10000),2)&amp;"元整"</f>
        <v>柒亿肆仟壹佰叁拾捌万元整</v>
      </c>
      <c r="E119" s="3176"/>
      <c r="F119" s="3175" t="str">
        <f ca="1">NUMBERSTRING(INT(F118*10000),2)&amp;"元整"</f>
        <v>壹亿玖仟叁佰伍拾贰万元整</v>
      </c>
      <c r="G119" s="3176"/>
      <c r="H119" s="3175" t="str">
        <f ca="1">NUMBERSTRING(INT(H118*10000),2)&amp;"元整"</f>
        <v>玖亿叁仟肆佰玖拾万元整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1" t="str">
        <f>IF(D120=0,"故，本次评估不存在"&amp;A120,"故，本次评估"&amp;A120&amp;"为人民币"&amp;D120&amp;"万元整。")</f>
        <v>故，本次评估不存在估价师知悉的法定优先受偿款</v>
      </c>
    </row>
    <row r="121" spans="1:11" ht="18.75" customHeight="1">
      <c r="A121" s="3216" t="s">
        <v>2314</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房地产抵押价值</v>
      </c>
      <c r="B122" s="3181"/>
      <c r="C122" s="3181"/>
      <c r="D122" s="3170">
        <f ca="1">H107</f>
        <v>93490</v>
      </c>
      <c r="E122" s="3171"/>
      <c r="F122" s="3171"/>
      <c r="G122" s="3171"/>
      <c r="H122" s="3171"/>
      <c r="I122" s="3172"/>
    </row>
    <row r="123" spans="1:11" ht="18.75" customHeight="1">
      <c r="A123" s="3130" t="s">
        <v>2314</v>
      </c>
      <c r="B123" s="3130"/>
      <c r="C123" s="3130"/>
      <c r="D123" s="3175" t="str">
        <f ca="1">NUMBERSTRING(INT(D122*10000),2)&amp;"元整"</f>
        <v>玖亿叁仟肆佰玖拾万元整</v>
      </c>
      <c r="E123" s="3177"/>
      <c r="F123" s="3177"/>
      <c r="G123" s="3177"/>
      <c r="H123" s="3177"/>
      <c r="I123" s="3176"/>
    </row>
    <row r="124" spans="1:11" ht="18.75" customHeight="1">
      <c r="A124" s="3181" t="str">
        <f>IF(项目基本情况!B9="房地产市场价值","",MID(E109,3,LEN(E109)-2))</f>
        <v/>
      </c>
      <c r="B124" s="3181"/>
      <c r="C124" s="3181"/>
      <c r="D124" s="3170" t="str">
        <f>H109</f>
        <v>——</v>
      </c>
      <c r="E124" s="3171"/>
      <c r="F124" s="3171"/>
      <c r="G124" s="3171"/>
      <c r="H124" s="3171"/>
      <c r="I124" s="3172"/>
    </row>
    <row r="125" spans="1:11" ht="18.75" customHeight="1">
      <c r="A125" s="3130" t="s">
        <v>2314</v>
      </c>
      <c r="B125" s="3130"/>
      <c r="C125" s="3130"/>
      <c r="D125" s="3175" t="e">
        <f>NUMBERSTRING(INT(D124*10000),2)&amp;"元整"</f>
        <v>#VALUE!</v>
      </c>
      <c r="E125" s="3177"/>
      <c r="F125" s="3177"/>
      <c r="G125" s="3177"/>
      <c r="H125" s="3177"/>
      <c r="I125" s="3176"/>
    </row>
    <row r="126" spans="1:11" ht="18.75" customHeight="1">
      <c r="A126" s="3181" t="str">
        <f>IF(项目基本情况!B9="房地产市场价值","",MID(E111,3,LEN(E111)-2))</f>
        <v>抵押净值</v>
      </c>
      <c r="B126" s="3181"/>
      <c r="C126" s="3181"/>
      <c r="D126" s="3170">
        <f ca="1">H111</f>
        <v>40527</v>
      </c>
      <c r="E126" s="3171"/>
      <c r="F126" s="3171"/>
      <c r="G126" s="3171"/>
      <c r="H126" s="3171"/>
      <c r="I126" s="3172"/>
    </row>
    <row r="127" spans="1:11" ht="18.75" customHeight="1">
      <c r="A127" s="3130" t="s">
        <v>2314</v>
      </c>
      <c r="B127" s="3130"/>
      <c r="C127" s="3130"/>
      <c r="D127" s="3175" t="str">
        <f ca="1">NUMBERSTRING(INT(D126*10000),2)&amp;"元整"</f>
        <v>肆亿零伍佰贰拾柒万元整</v>
      </c>
      <c r="E127" s="3177"/>
      <c r="F127" s="3177"/>
      <c r="G127" s="3177"/>
      <c r="H127" s="3177"/>
      <c r="I127" s="3176"/>
    </row>
    <row r="128" spans="1:11" ht="21.75" customHeight="1">
      <c r="A128" s="3178" t="s">
        <v>2315</v>
      </c>
      <c r="B128" s="3178"/>
      <c r="C128" s="3178"/>
      <c r="D128" s="3178"/>
      <c r="E128" s="3178"/>
      <c r="F128" s="3178"/>
      <c r="G128" s="3178"/>
      <c r="H128" s="3178"/>
      <c r="I128" s="317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5" priority="21" stopIfTrue="1" operator="equal">
      <formula>25</formula>
    </cfRule>
  </conditionalFormatting>
  <conditionalFormatting sqref="C8:C9">
    <cfRule type="cellIs" dxfId="164" priority="19" stopIfTrue="1" operator="equal">
      <formula>15</formula>
    </cfRule>
  </conditionalFormatting>
  <conditionalFormatting sqref="C14:C16">
    <cfRule type="cellIs" dxfId="163" priority="13" stopIfTrue="1" operator="equal">
      <formula>30</formula>
    </cfRule>
  </conditionalFormatting>
  <conditionalFormatting sqref="D5:D7">
    <cfRule type="cellIs" dxfId="162" priority="10" stopIfTrue="1" operator="equal">
      <formula>25</formula>
    </cfRule>
  </conditionalFormatting>
  <conditionalFormatting sqref="D8:D9">
    <cfRule type="cellIs" dxfId="161" priority="9" stopIfTrue="1" operator="equal">
      <formula>15</formula>
    </cfRule>
  </conditionalFormatting>
  <conditionalFormatting sqref="C10:D13">
    <cfRule type="cellIs" dxfId="160" priority="8" stopIfTrue="1" operator="equal">
      <formula>15</formula>
    </cfRule>
  </conditionalFormatting>
  <conditionalFormatting sqref="D14:D16">
    <cfRule type="cellIs" dxfId="159" priority="6"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6"/>
      <c r="C1" s="241"/>
      <c r="D1" s="241"/>
      <c r="E1" s="241"/>
      <c r="F1" s="241"/>
      <c r="G1" s="1378">
        <f>MATCH(B1,'数据-取费表'!A6:A16,0)+5</f>
        <v>8</v>
      </c>
    </row>
    <row r="2" spans="1:9" s="243" customFormat="1" ht="18" customHeight="1">
      <c r="A2" s="244" t="s">
        <v>2324</v>
      </c>
      <c r="B2" s="245">
        <f ca="1">IF(D2="——",C52,C52-E2)</f>
        <v>13746</v>
      </c>
      <c r="C2" s="242" t="s">
        <v>2325</v>
      </c>
      <c r="D2" s="2547" t="s">
        <v>70</v>
      </c>
      <c r="E2" s="1439" t="e">
        <f ca="1">SUMIF(INDIRECT("'"&amp;G2&amp;"'"&amp;"!A:A"),"承租人权益价值",INDIRECT("'"&amp;G2&amp;"'"&amp;"!c:c"))</f>
        <v>#REF!</v>
      </c>
      <c r="F2" s="2548" t="s">
        <v>2325</v>
      </c>
      <c r="G2" s="2549"/>
    </row>
    <row r="3" spans="1:9" s="243" customFormat="1" ht="18" customHeight="1" thickBot="1">
      <c r="A3" s="246" t="s">
        <v>2326</v>
      </c>
      <c r="B3" s="247">
        <f ca="1">ROUND(B2*10000/(IF(B1="",'数据-汇总表'!E3,INDIRECT("'数据-取费表'!k"&amp;$G$1))),0)</f>
        <v>3957</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0</v>
      </c>
      <c r="D5" s="254" t="s">
        <v>2331</v>
      </c>
      <c r="E5" s="255" t="s">
        <v>2332</v>
      </c>
      <c r="F5" s="255" t="s">
        <v>2333</v>
      </c>
      <c r="G5" s="256"/>
    </row>
    <row r="6" spans="1:9" s="257" customFormat="1" ht="13.5" customHeight="1">
      <c r="A6" s="948" t="s">
        <v>2334</v>
      </c>
      <c r="B6" s="258" t="s">
        <v>2335</v>
      </c>
      <c r="C6" s="259"/>
      <c r="D6" s="260"/>
      <c r="E6" s="261"/>
      <c r="F6" s="261"/>
      <c r="G6" s="262"/>
    </row>
    <row r="7" spans="1:9" s="257" customFormat="1" ht="13.5" customHeight="1">
      <c r="A7" s="948" t="s">
        <v>2336</v>
      </c>
      <c r="B7" s="258" t="s">
        <v>2337</v>
      </c>
      <c r="C7" s="263">
        <f>ROUND(C6*F7,0)</f>
        <v>0</v>
      </c>
      <c r="D7" s="263"/>
      <c r="E7" s="261"/>
      <c r="F7" s="264">
        <f>IF(项目基本情况!B8="出让",0,'数据-取费表'!B48+'数据-取费表'!B49)</f>
        <v>3.0499999999999999E-2</v>
      </c>
      <c r="G7" s="262"/>
    </row>
    <row r="8" spans="1:9" s="266" customFormat="1">
      <c r="A8" s="948" t="s">
        <v>2338</v>
      </c>
      <c r="B8" s="258" t="s">
        <v>2339</v>
      </c>
      <c r="C8" s="263">
        <f>IF(G8="已包含在土地购买价格中","0",IF(B1="",'数据-取费表'!B29,IF(G9="全部缴纳",C9+C10,H9)))</f>
        <v>0</v>
      </c>
      <c r="D8" s="265"/>
      <c r="E8" s="263"/>
      <c r="F8" s="264"/>
      <c r="G8" s="2550"/>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160</v>
      </c>
      <c r="F9" s="264"/>
      <c r="G9" s="2551"/>
      <c r="H9" s="1389"/>
      <c r="I9" s="2552" t="s">
        <v>2341</v>
      </c>
    </row>
    <row r="10" spans="1:9" s="257" customFormat="1" ht="13.5" customHeight="1">
      <c r="A10" s="949" t="s">
        <v>801</v>
      </c>
      <c r="B10" s="267" t="s">
        <v>2342</v>
      </c>
      <c r="C10" s="268">
        <f ca="1">ROUND(D10*E10/10000,0)</f>
        <v>695</v>
      </c>
      <c r="D10" s="1031">
        <f ca="1">IF(B1="",'数据-汇总表'!E6,IF(INDIRECT("'数据-取费表'!c"&amp;$G$1)="住宅",INDIRECT("'数据-取费表'!s"&amp;$G$1),INDIRECT("'数据-取费表'!k"&amp;$G$1)+INDIRECT("'数据-取费表'!s"&amp;$G$1)))</f>
        <v>34740.85</v>
      </c>
      <c r="E10" s="268">
        <f>'数据-取费表'!B28</f>
        <v>200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f ca="1">IF(G19="已包含在土地取得成本中","0",ROUND(D19*E19/10000,0))</f>
        <v>695</v>
      </c>
      <c r="D19" s="1035">
        <f ca="1">D9+D10</f>
        <v>34740.85</v>
      </c>
      <c r="E19" s="254">
        <f>'数据-取费表'!B31</f>
        <v>200</v>
      </c>
      <c r="F19" s="274"/>
      <c r="G19" s="2550"/>
    </row>
    <row r="20" spans="1:7" s="257" customFormat="1" ht="13.5" customHeight="1">
      <c r="A20" s="298" t="s">
        <v>2355</v>
      </c>
      <c r="B20" s="253" t="s">
        <v>2356</v>
      </c>
      <c r="C20" s="275">
        <f ca="1">ROUND((C5+C19)*F20,0)</f>
        <v>21</v>
      </c>
      <c r="D20" s="275"/>
      <c r="E20" s="275"/>
      <c r="F20" s="276">
        <f>'数据-取费表'!B37</f>
        <v>0.03</v>
      </c>
      <c r="G20" s="277" t="s">
        <v>2357</v>
      </c>
    </row>
    <row r="21" spans="1:7" s="257" customFormat="1" ht="13.5" customHeight="1">
      <c r="A21" s="298" t="s">
        <v>2358</v>
      </c>
      <c r="B21" s="253" t="s">
        <v>2359</v>
      </c>
      <c r="C21" s="278">
        <f>F21</f>
        <v>0.03</v>
      </c>
      <c r="D21" s="279" t="s">
        <v>2360</v>
      </c>
      <c r="E21" s="275"/>
      <c r="F21" s="276">
        <f>'数据-取费表'!B38</f>
        <v>0.03</v>
      </c>
      <c r="G21" s="277" t="s">
        <v>2361</v>
      </c>
    </row>
    <row r="22" spans="1:7" s="257" customFormat="1" ht="13.5" customHeight="1">
      <c r="A22" s="298" t="s">
        <v>2362</v>
      </c>
      <c r="B22" s="253" t="s">
        <v>2363</v>
      </c>
      <c r="C22" s="1353">
        <f ca="1">ROUND(SUM(C23:C25),0)</f>
        <v>69</v>
      </c>
      <c r="D22" s="278">
        <f ca="1">C26</f>
        <v>1.4E-3</v>
      </c>
      <c r="E22" s="279" t="s">
        <v>2360</v>
      </c>
      <c r="F22" s="280">
        <f ca="1">'数据-取费表'!B40</f>
        <v>4.7500000000000001E-2</v>
      </c>
      <c r="G22" s="277" t="str">
        <f>IF('数据-取费表'!B22&lt;=1,"单利计息","复利计息")</f>
        <v>复利计息</v>
      </c>
    </row>
    <row r="23" spans="1:7" s="257" customFormat="1" ht="13.5" customHeight="1">
      <c r="A23" s="950" t="s">
        <v>2364</v>
      </c>
      <c r="B23" s="258" t="s">
        <v>2365</v>
      </c>
      <c r="C23" s="1354">
        <f ca="1">ROUND(IF('数据-取费表'!B22&lt;=1,C5*F22*'数据-取费表'!B23,C5*(POWER((1+F22),'数据-取费表'!B23)-1)),0)</f>
        <v>0</v>
      </c>
      <c r="D23" s="281"/>
      <c r="E23" s="281"/>
      <c r="F23" s="282"/>
      <c r="G23" s="283" t="s">
        <v>2366</v>
      </c>
    </row>
    <row r="24" spans="1:7" s="257" customFormat="1" ht="13.5" customHeight="1">
      <c r="A24" s="950" t="s">
        <v>2367</v>
      </c>
      <c r="B24" s="258" t="s">
        <v>2368</v>
      </c>
      <c r="C24" s="1354">
        <f ca="1">ROUND(IF('数据-取费表'!B22&lt;=1,C19*F22*('数据-取费表'!B19/2+'数据-取费表'!B21),C19*(POWER((1+F22),('数据-取费表'!B19/2+'数据-取费表'!B21))-1)),0)</f>
        <v>68</v>
      </c>
      <c r="D24" s="281"/>
      <c r="E24" s="281"/>
      <c r="F24" s="282"/>
      <c r="G24" s="283" t="s">
        <v>2369</v>
      </c>
    </row>
    <row r="25" spans="1:7" s="257" customFormat="1" ht="24">
      <c r="A25" s="950" t="s">
        <v>2370</v>
      </c>
      <c r="B25" s="258" t="s">
        <v>2371</v>
      </c>
      <c r="C25" s="1354">
        <f ca="1">ROUND(IF('数据-取费表'!B22&lt;=1,C20*F22*'数据-取费表'!B23/2,C20*(POWER((1+F22),'数据-取费表'!B23/2)-1)),0)</f>
        <v>1</v>
      </c>
      <c r="D25" s="281"/>
      <c r="E25" s="284"/>
      <c r="F25" s="282"/>
      <c r="G25" s="285" t="s">
        <v>2372</v>
      </c>
    </row>
    <row r="26" spans="1:7" s="257" customFormat="1">
      <c r="A26" s="950" t="s">
        <v>795</v>
      </c>
      <c r="B26" s="258" t="s">
        <v>2373</v>
      </c>
      <c r="C26" s="281">
        <f ca="1">ROUND(IF('数据-取费表'!B22&lt;=1,F21*F22*'数据-取费表'!B23/2,F21*(POWER((1+F22),'数据-取费表'!B23/2)-1)),4)</f>
        <v>1.4E-3</v>
      </c>
      <c r="D26" s="281"/>
      <c r="E26" s="284"/>
      <c r="F26" s="282"/>
      <c r="G26" s="286"/>
    </row>
    <row r="27" spans="1:7" s="257" customFormat="1" ht="24.75">
      <c r="A27" s="298" t="s">
        <v>2374</v>
      </c>
      <c r="B27" s="287" t="s">
        <v>2375</v>
      </c>
      <c r="C27" s="288">
        <f ca="1">C28</f>
        <v>100</v>
      </c>
      <c r="D27" s="278">
        <f ca="1">C29</f>
        <v>4.1999999999999997E-3</v>
      </c>
      <c r="E27" s="279" t="s">
        <v>2376</v>
      </c>
      <c r="F27" s="289">
        <f ca="1">IF(B1="",'数据-取费表'!Q16,INDIRECT("'数据-取费表'!q"&amp;$G$1))</f>
        <v>0.14000000000000001</v>
      </c>
      <c r="G27" s="290" t="s">
        <v>2377</v>
      </c>
    </row>
    <row r="28" spans="1:7" s="257" customFormat="1" ht="13.5" customHeight="1">
      <c r="A28" s="950" t="s">
        <v>791</v>
      </c>
      <c r="B28" s="291" t="s">
        <v>2378</v>
      </c>
      <c r="C28" s="292">
        <f ca="1">ROUND((C5+C19+C20)*F27*'数据-取费表'!B21/'数据-取费表'!B20,0)</f>
        <v>100</v>
      </c>
      <c r="D28" s="278"/>
      <c r="E28" s="279"/>
      <c r="F28" s="289"/>
      <c r="G28" s="290"/>
    </row>
    <row r="29" spans="1:7" s="257" customFormat="1" ht="13.5" customHeight="1">
      <c r="A29" s="950" t="s">
        <v>792</v>
      </c>
      <c r="B29" s="291" t="s">
        <v>2379</v>
      </c>
      <c r="C29" s="281">
        <f ca="1">ROUND(C21*F27*'数据-取费表'!B21/'数据-取费表'!B20,4)</f>
        <v>4.1999999999999997E-3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971</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11605</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10244</v>
      </c>
      <c r="D34" s="260"/>
      <c r="E34" s="263"/>
      <c r="F34" s="300">
        <f ca="1">IF('数据-取费表'!B24=0,1,IF(B1="",'数据-取费表'!N16,INDIRECT("'数据-取费表'!n"&amp;$G$1)))</f>
        <v>1</v>
      </c>
      <c r="G34" s="262" t="s">
        <v>2388</v>
      </c>
    </row>
    <row r="35" spans="1:7" ht="13.5" customHeight="1">
      <c r="A35" s="950" t="s">
        <v>796</v>
      </c>
      <c r="B35" s="258" t="s">
        <v>2389</v>
      </c>
      <c r="C35" s="263">
        <f ca="1">ROUND(C34*F35,0)</f>
        <v>512</v>
      </c>
      <c r="D35" s="263"/>
      <c r="E35" s="263"/>
      <c r="F35" s="302">
        <f>'数据-取费表'!B33</f>
        <v>0.05</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0" t="s">
        <v>798</v>
      </c>
      <c r="B37" s="258" t="s">
        <v>2393</v>
      </c>
      <c r="C37" s="292">
        <f ca="1">ROUND(E37*D37*F34/10000,0)</f>
        <v>695</v>
      </c>
      <c r="D37" s="260">
        <f ca="1">D19</f>
        <v>34740.85</v>
      </c>
      <c r="E37" s="292">
        <f>'数据-取费表'!B35</f>
        <v>200</v>
      </c>
      <c r="F37" s="302"/>
      <c r="G37" s="304" t="s">
        <v>2394</v>
      </c>
    </row>
    <row r="38" spans="1:7" ht="13.5" customHeight="1">
      <c r="A38" s="950" t="s">
        <v>799</v>
      </c>
      <c r="B38" s="258" t="s">
        <v>2395</v>
      </c>
      <c r="C38" s="263">
        <f ca="1">ROUND(C34*F38,0)</f>
        <v>154</v>
      </c>
      <c r="D38" s="263"/>
      <c r="E38" s="263"/>
      <c r="F38" s="302">
        <f>'数据-取费表'!B36</f>
        <v>1.4999999999999999E-2</v>
      </c>
      <c r="G38" s="262" t="s">
        <v>2390</v>
      </c>
    </row>
    <row r="39" spans="1:7" s="257" customFormat="1" ht="13.5" customHeight="1">
      <c r="A39" s="298" t="s">
        <v>2396</v>
      </c>
      <c r="B39" s="253" t="s">
        <v>2397</v>
      </c>
      <c r="C39" s="275">
        <f ca="1">ROUND(C33*F20,0)</f>
        <v>348</v>
      </c>
      <c r="D39" s="275"/>
      <c r="E39" s="275"/>
      <c r="F39" s="276"/>
      <c r="G39" s="277" t="s">
        <v>2398</v>
      </c>
    </row>
    <row r="40" spans="1:7" s="257" customFormat="1" ht="13.5" customHeight="1">
      <c r="A40" s="298" t="s">
        <v>2399</v>
      </c>
      <c r="B40" s="253" t="s">
        <v>2400</v>
      </c>
      <c r="C40" s="1727">
        <f>F21</f>
        <v>0.03</v>
      </c>
      <c r="D40" s="279" t="s">
        <v>2401</v>
      </c>
      <c r="E40" s="275"/>
      <c r="F40" s="276"/>
      <c r="G40" s="277" t="s">
        <v>2402</v>
      </c>
    </row>
    <row r="41" spans="1:7" s="257" customFormat="1" ht="13.5" customHeight="1">
      <c r="A41" s="298" t="s">
        <v>2403</v>
      </c>
      <c r="B41" s="253" t="s">
        <v>2404</v>
      </c>
      <c r="C41" s="275">
        <f ca="1">ROUND(SUM(C42:C43),0)</f>
        <v>568</v>
      </c>
      <c r="D41" s="278">
        <f ca="1">C44</f>
        <v>1.4E-3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ROUND(IF('数据-取费表'!B22&lt;=1,C33*F22*'数据-取费表'!B21/2,C33*(POWER((1+F22),'数据-取费表'!B21/2)-1)),0)</f>
        <v>551</v>
      </c>
      <c r="D42" s="281"/>
      <c r="E42" s="281"/>
      <c r="F42" s="282"/>
      <c r="G42" s="3250" t="s">
        <v>2406</v>
      </c>
    </row>
    <row r="43" spans="1:7" ht="13.5" customHeight="1">
      <c r="A43" s="950" t="s">
        <v>792</v>
      </c>
      <c r="B43" s="258" t="s">
        <v>2407</v>
      </c>
      <c r="C43" s="281">
        <f ca="1">ROUND(IF('数据-取费表'!B22&lt;=1,C39*F22*'数据-取费表'!B21/2,C39*(POWER((1+F22),'数据-取费表'!B21/2)-1)),0)</f>
        <v>17</v>
      </c>
      <c r="D43" s="281"/>
      <c r="E43" s="281"/>
      <c r="F43" s="282"/>
      <c r="G43" s="3251"/>
    </row>
    <row r="44" spans="1:7" ht="13.5" customHeight="1">
      <c r="A44" s="950" t="s">
        <v>793</v>
      </c>
      <c r="B44" s="258" t="s">
        <v>2408</v>
      </c>
      <c r="C44" s="281">
        <f ca="1">ROUND(IF('数据-取费表'!B22&lt;=1,C40*F22*'数据-取费表'!B21/2,C40*(POWER((1+F22),'数据-取费表'!B21/2)-1)),4)</f>
        <v>1.4E-3</v>
      </c>
      <c r="D44" s="281"/>
      <c r="E44" s="281"/>
      <c r="F44" s="282"/>
      <c r="G44" s="3252"/>
    </row>
    <row r="45" spans="1:7" s="257" customFormat="1" ht="13.5" customHeight="1">
      <c r="A45" s="298" t="s">
        <v>2409</v>
      </c>
      <c r="B45" s="287" t="s">
        <v>2375</v>
      </c>
      <c r="C45" s="288">
        <f ca="1">C46</f>
        <v>1673</v>
      </c>
      <c r="D45" s="278">
        <f ca="1">C47</f>
        <v>4.1999999999999997E-3</v>
      </c>
      <c r="E45" s="279" t="s">
        <v>2401</v>
      </c>
      <c r="F45" s="289"/>
      <c r="G45" s="290" t="s">
        <v>2410</v>
      </c>
    </row>
    <row r="46" spans="1:7" s="257" customFormat="1" ht="13.5" customHeight="1">
      <c r="A46" s="950" t="s">
        <v>791</v>
      </c>
      <c r="B46" s="291" t="s">
        <v>2411</v>
      </c>
      <c r="C46" s="292">
        <f ca="1">ROUND((C33+C39)*F27,0)</f>
        <v>1673</v>
      </c>
      <c r="D46" s="306"/>
      <c r="E46" s="279"/>
      <c r="F46" s="289"/>
      <c r="G46" s="290"/>
    </row>
    <row r="47" spans="1:7" s="257" customFormat="1" ht="13.5" customHeight="1">
      <c r="A47" s="950" t="s">
        <v>792</v>
      </c>
      <c r="B47" s="291" t="s">
        <v>2412</v>
      </c>
      <c r="C47" s="281">
        <f ca="1">ROUND(C40*F27,4)</f>
        <v>4.1999999999999997E-3</v>
      </c>
      <c r="D47" s="306"/>
      <c r="E47" s="279"/>
      <c r="F47" s="289"/>
      <c r="G47" s="290"/>
    </row>
    <row r="48" spans="1:7" s="257" customFormat="1" ht="13.5" customHeight="1">
      <c r="A48" s="298" t="s">
        <v>2374</v>
      </c>
      <c r="B48" s="253" t="s">
        <v>2413</v>
      </c>
      <c r="C48" s="1727">
        <f>ROUND(F30/(1+'数据-取费表'!C42),4)</f>
        <v>5.33E-2</v>
      </c>
      <c r="D48" s="279" t="s">
        <v>2401</v>
      </c>
      <c r="E48" s="275"/>
      <c r="F48" s="280"/>
      <c r="G48" s="277" t="s">
        <v>2414</v>
      </c>
    </row>
    <row r="49" spans="1:7" ht="16.5" customHeight="1">
      <c r="A49" s="298" t="s">
        <v>2380</v>
      </c>
      <c r="B49" s="253" t="s">
        <v>2415</v>
      </c>
      <c r="C49" s="275">
        <f ca="1">ROUND((C33+C39+C41+C45)/(1-C40-D41-D45-C48),0)</f>
        <v>15579</v>
      </c>
      <c r="D49" s="275"/>
      <c r="E49" s="275"/>
      <c r="F49" s="307"/>
      <c r="G49" s="277" t="s">
        <v>2416</v>
      </c>
    </row>
    <row r="50" spans="1:7" s="301" customFormat="1" ht="24">
      <c r="A50" s="298" t="s">
        <v>2417</v>
      </c>
      <c r="B50" s="253" t="s">
        <v>2418</v>
      </c>
      <c r="C50" s="275"/>
      <c r="D50" s="275"/>
      <c r="E50" s="275"/>
      <c r="F50" s="307">
        <f>IF('数据-取费表'!B24=0,'数据-取费表'!N16,1)</f>
        <v>0.82</v>
      </c>
      <c r="G50" s="290" t="s">
        <v>2419</v>
      </c>
    </row>
    <row r="51" spans="1:7" ht="16.5" customHeight="1">
      <c r="A51" s="298" t="s">
        <v>2420</v>
      </c>
      <c r="B51" s="253" t="s">
        <v>2421</v>
      </c>
      <c r="C51" s="275">
        <f ca="1">ROUND(C49*F50,0)</f>
        <v>12775</v>
      </c>
      <c r="D51" s="275"/>
      <c r="E51" s="275"/>
      <c r="F51" s="307"/>
      <c r="G51" s="277" t="s">
        <v>2422</v>
      </c>
    </row>
    <row r="52" spans="1:7" s="251" customFormat="1" ht="16.5" thickBot="1">
      <c r="A52" s="308" t="s">
        <v>2423</v>
      </c>
      <c r="B52" s="309"/>
      <c r="C52" s="310">
        <f ca="1">C31+C51</f>
        <v>13746</v>
      </c>
      <c r="D52" s="309"/>
      <c r="E52" s="309"/>
      <c r="F52" s="309"/>
      <c r="G52" s="311"/>
    </row>
    <row r="55" spans="1:7" ht="15">
      <c r="B55" s="313" t="s">
        <v>2424</v>
      </c>
      <c r="C55" s="314"/>
    </row>
    <row r="56" spans="1:7">
      <c r="B56" s="316" t="s">
        <v>1509</v>
      </c>
      <c r="C56" s="318">
        <f ca="1">1-C57</f>
        <v>7.0999999999999952E-2</v>
      </c>
    </row>
    <row r="57" spans="1:7">
      <c r="B57" s="316" t="s">
        <v>1510</v>
      </c>
      <c r="C57" s="317">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64" t="str">
        <f>项目基本情况!B1</f>
        <v>北京市朝阳区北苑路28号院1号楼房地产抵押价值预评估</v>
      </c>
      <c r="C37" s="3064"/>
      <c r="D37" s="3064"/>
      <c r="E37" s="3064"/>
      <c r="F37" s="3064"/>
      <c r="G37" s="3064"/>
      <c r="H37" s="3064"/>
      <c r="I37" s="3064"/>
    </row>
    <row r="38" spans="1:9">
      <c r="A38" s="1015"/>
      <c r="B38" s="1015"/>
    </row>
    <row r="39" spans="1:9">
      <c r="A39" s="1013" t="s">
        <v>818</v>
      </c>
      <c r="B39" s="1013" t="s">
        <v>820</v>
      </c>
    </row>
    <row r="40" spans="1:9">
      <c r="A40" s="1013"/>
      <c r="B40" s="1941" t="str">
        <f>项目基本情况!B5</f>
        <v>北京道乐科技发展有限公司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郑燚（注册号：1120070131)、王鹏（注册号：1120050019)</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6"/>
      <c r="C1" s="2553" t="s">
        <v>2425</v>
      </c>
      <c r="D1" s="241"/>
      <c r="E1" s="241"/>
      <c r="F1" s="241"/>
      <c r="G1" s="1378">
        <f>MATCH(B1,'数据-取费表'!A6:A16,0)+5</f>
        <v>8</v>
      </c>
      <c r="H1" s="1281" t="str">
        <f>IF(ISERROR(FIND("住宅",B1)),"非住宅","住宅")</f>
        <v>非住宅</v>
      </c>
    </row>
    <row r="2" spans="1:8" s="243" customFormat="1" ht="18" customHeight="1">
      <c r="A2" s="244" t="s">
        <v>2324</v>
      </c>
      <c r="B2" s="245">
        <f ca="1">ROUND(IF(D2="——",C52/10000,C52/10000-E2),0)</f>
        <v>14716</v>
      </c>
      <c r="C2" s="242" t="s">
        <v>2325</v>
      </c>
      <c r="D2" s="2547" t="s">
        <v>70</v>
      </c>
      <c r="E2" s="1439" t="e">
        <f ca="1">SUMIF(INDIRECT("'"&amp;G2&amp;"'"&amp;"!A:A"),"承租人权益价值",INDIRECT("'"&amp;G2&amp;"'"&amp;"!c:c"))</f>
        <v>#REF!</v>
      </c>
      <c r="F2" s="2548" t="s">
        <v>2325</v>
      </c>
      <c r="G2" s="2549"/>
    </row>
    <row r="3" spans="1:8" s="243" customFormat="1" ht="18" customHeight="1" thickBot="1">
      <c r="A3" s="246" t="s">
        <v>2326</v>
      </c>
      <c r="B3" s="247">
        <f ca="1">ROUND(B2*10000/(IF(B1="",'数据-汇总表'!E3,INDIRECT("'数据-取费表'!k"&amp;$G$1))),0)</f>
        <v>4236</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6948170</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3.0499999999999999E-2</v>
      </c>
      <c r="G7" s="262"/>
    </row>
    <row r="8" spans="1:8" s="266" customFormat="1">
      <c r="A8" s="948" t="s">
        <v>2338</v>
      </c>
      <c r="B8" s="258" t="s">
        <v>2339</v>
      </c>
      <c r="C8" s="263">
        <f ca="1">IF(G8="已包含在土地购买价格中",0,C9+C10)</f>
        <v>6948170</v>
      </c>
      <c r="D8" s="265"/>
      <c r="E8" s="263"/>
      <c r="F8" s="264"/>
      <c r="G8" s="2550"/>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2342</v>
      </c>
      <c r="C10" s="268">
        <f ca="1">ROUND(D10*E10,0)</f>
        <v>6948170</v>
      </c>
      <c r="D10" s="1031">
        <f ca="1">IF(B1="",'数据-汇总表'!E6,IF(INDIRECT("'数据-取费表'!c"&amp;$G$1)="住宅",INDIRECT("'数据-取费表'!s"&amp;$G$1),INDIRECT("'数据-取费表'!k"&amp;$G$1)+INDIRECT("'数据-取费表'!s"&amp;$G$1)))</f>
        <v>34740.85</v>
      </c>
      <c r="E10" s="268">
        <f>'数据-取费表'!B28</f>
        <v>200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6948170</v>
      </c>
      <c r="D19" s="1035">
        <f ca="1">D9+D10</f>
        <v>34740.85</v>
      </c>
      <c r="E19" s="254">
        <f>'数据-取费表'!B31</f>
        <v>200</v>
      </c>
      <c r="F19" s="274"/>
      <c r="G19" s="2550"/>
    </row>
    <row r="20" spans="1:7" s="257" customFormat="1" ht="13.5" customHeight="1">
      <c r="A20" s="298" t="s">
        <v>2436</v>
      </c>
      <c r="B20" s="253" t="s">
        <v>2437</v>
      </c>
      <c r="C20" s="275">
        <f ca="1">ROUND((C5+C19)*F20,0)</f>
        <v>416890</v>
      </c>
      <c r="D20" s="275"/>
      <c r="E20" s="275"/>
      <c r="F20" s="276">
        <f>'数据-取费表'!B37</f>
        <v>0.03</v>
      </c>
      <c r="G20" s="277" t="s">
        <v>2438</v>
      </c>
    </row>
    <row r="21" spans="1:7" s="257" customFormat="1" ht="13.5" customHeight="1">
      <c r="A21" s="298" t="s">
        <v>2439</v>
      </c>
      <c r="B21" s="253" t="s">
        <v>2440</v>
      </c>
      <c r="C21" s="278">
        <f>F21</f>
        <v>0.03</v>
      </c>
      <c r="D21" s="279" t="s">
        <v>2441</v>
      </c>
      <c r="E21" s="275"/>
      <c r="F21" s="276">
        <f>'数据-取费表'!B38</f>
        <v>0.03</v>
      </c>
      <c r="G21" s="277" t="s">
        <v>2442</v>
      </c>
    </row>
    <row r="22" spans="1:7" s="257" customFormat="1" ht="13.5" customHeight="1">
      <c r="A22" s="298" t="s">
        <v>2443</v>
      </c>
      <c r="B22" s="253" t="s">
        <v>2444</v>
      </c>
      <c r="C22" s="1379">
        <f ca="1">ROUND(SUM(C23:C25),0)</f>
        <v>1371308</v>
      </c>
      <c r="D22" s="278">
        <f ca="1">C26</f>
        <v>1.4E-3</v>
      </c>
      <c r="E22" s="279" t="s">
        <v>2441</v>
      </c>
      <c r="F22" s="280">
        <f ca="1">'数据-取费表'!B40</f>
        <v>4.7500000000000001E-2</v>
      </c>
      <c r="G22" s="277" t="str">
        <f>IF('数据-取费表'!B22&lt;=1,"单利计息","复利计息")</f>
        <v>复利计息</v>
      </c>
    </row>
    <row r="23" spans="1:7" s="257" customFormat="1" ht="13.5" customHeight="1">
      <c r="A23" s="950" t="s">
        <v>2334</v>
      </c>
      <c r="B23" s="258" t="s">
        <v>2445</v>
      </c>
      <c r="C23" s="1380">
        <f ca="1">ROUND(IF('数据-取费表'!B22&lt;=1,C5*F22*'数据-取费表'!B22,C5*(POWER((1+F22),'数据-取费表'!B22)-1)),0)</f>
        <v>675753</v>
      </c>
      <c r="D23" s="281"/>
      <c r="E23" s="281"/>
      <c r="F23" s="282"/>
      <c r="G23" s="283" t="s">
        <v>2446</v>
      </c>
    </row>
    <row r="24" spans="1:7" s="257" customFormat="1" ht="13.5" customHeight="1">
      <c r="A24" s="950" t="s">
        <v>2336</v>
      </c>
      <c r="B24" s="258" t="s">
        <v>2447</v>
      </c>
      <c r="C24" s="1380">
        <f ca="1">ROUND(IF('数据-取费表'!B22&lt;=1,C19*F22*('数据-取费表'!B19/2+'数据-取费表'!B20),C19*(POWER((1+F22),('数据-取费表'!B19/2+'数据-取费表'!B20))-1)),0)</f>
        <v>675753</v>
      </c>
      <c r="D24" s="281"/>
      <c r="E24" s="281"/>
      <c r="F24" s="282"/>
      <c r="G24" s="283" t="s">
        <v>2448</v>
      </c>
    </row>
    <row r="25" spans="1:7" s="257" customFormat="1" ht="24">
      <c r="A25" s="950" t="s">
        <v>2338</v>
      </c>
      <c r="B25" s="258" t="s">
        <v>2449</v>
      </c>
      <c r="C25" s="1380">
        <f ca="1">ROUND(IF('数据-取费表'!B22&lt;=1,C20*F22*'数据-取费表'!B22/2,C20*(POWER((1+F22),'数据-取费表'!B22/2)-1)),0)</f>
        <v>19802</v>
      </c>
      <c r="D25" s="281"/>
      <c r="E25" s="284"/>
      <c r="F25" s="282"/>
      <c r="G25" s="285" t="s">
        <v>2450</v>
      </c>
    </row>
    <row r="26" spans="1:7" s="257" customFormat="1">
      <c r="A26" s="950" t="s">
        <v>795</v>
      </c>
      <c r="B26" s="258" t="s">
        <v>2373</v>
      </c>
      <c r="C26" s="281">
        <f ca="1">ROUND(IF('数据-取费表'!B22&lt;=1,F21*F22*'数据-取费表'!B22/2,F21*(POWER((1+F22),'数据-取费表'!B22/2)-1)),4)</f>
        <v>1.4E-3</v>
      </c>
      <c r="D26" s="281"/>
      <c r="E26" s="284"/>
      <c r="F26" s="282"/>
      <c r="G26" s="286"/>
    </row>
    <row r="27" spans="1:7" s="257" customFormat="1" ht="24.75">
      <c r="A27" s="298" t="s">
        <v>2374</v>
      </c>
      <c r="B27" s="287" t="s">
        <v>2375</v>
      </c>
      <c r="C27" s="288">
        <f ca="1">C28</f>
        <v>2003852</v>
      </c>
      <c r="D27" s="278">
        <f ca="1">C29</f>
        <v>4.1999999999999997E-3</v>
      </c>
      <c r="E27" s="279" t="s">
        <v>2376</v>
      </c>
      <c r="F27" s="289">
        <f ca="1">IF(B1="",'数据-取费表'!Q16,INDIRECT("'数据-取费表'!q"&amp;$G$1))</f>
        <v>0.14000000000000001</v>
      </c>
      <c r="G27" s="290" t="s">
        <v>2377</v>
      </c>
    </row>
    <row r="28" spans="1:7" s="257" customFormat="1" ht="13.5" customHeight="1">
      <c r="A28" s="950" t="s">
        <v>791</v>
      </c>
      <c r="B28" s="291" t="s">
        <v>2378</v>
      </c>
      <c r="C28" s="292">
        <f ca="1">ROUND((C5+C19+C20)*F27,0)</f>
        <v>2003852</v>
      </c>
      <c r="D28" s="278"/>
      <c r="E28" s="279"/>
      <c r="F28" s="289"/>
      <c r="G28" s="290"/>
    </row>
    <row r="29" spans="1:7" s="257" customFormat="1" ht="13.5" customHeight="1">
      <c r="A29" s="950" t="s">
        <v>792</v>
      </c>
      <c r="B29" s="291" t="s">
        <v>2379</v>
      </c>
      <c r="C29" s="281">
        <f ca="1">ROUND(C21*F27,4)</f>
        <v>4.1999999999999997E-3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19414323</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116049709</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102442760</v>
      </c>
      <c r="D34" s="260"/>
      <c r="E34" s="263"/>
      <c r="F34" s="300"/>
      <c r="G34" s="262"/>
    </row>
    <row r="35" spans="1:7" ht="13.5" customHeight="1">
      <c r="A35" s="950" t="s">
        <v>796</v>
      </c>
      <c r="B35" s="258" t="s">
        <v>2389</v>
      </c>
      <c r="C35" s="263">
        <f ca="1">ROUND(C34*F35,0)</f>
        <v>5122138</v>
      </c>
      <c r="D35" s="263"/>
      <c r="E35" s="263"/>
      <c r="F35" s="302">
        <f>'数据-取费表'!B33</f>
        <v>0.05</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0" t="s">
        <v>798</v>
      </c>
      <c r="B37" s="258" t="s">
        <v>2393</v>
      </c>
      <c r="C37" s="292">
        <f ca="1">ROUND(E37*D37,0)</f>
        <v>6948170</v>
      </c>
      <c r="D37" s="260">
        <f ca="1">D19</f>
        <v>34740.85</v>
      </c>
      <c r="E37" s="292">
        <f>'数据-取费表'!B35</f>
        <v>200</v>
      </c>
      <c r="F37" s="302"/>
      <c r="G37" s="304"/>
    </row>
    <row r="38" spans="1:7" ht="13.5" customHeight="1">
      <c r="A38" s="950" t="s">
        <v>799</v>
      </c>
      <c r="B38" s="258" t="s">
        <v>2395</v>
      </c>
      <c r="C38" s="263">
        <f ca="1">ROUND(C34*F38,0)</f>
        <v>1536641</v>
      </c>
      <c r="D38" s="263"/>
      <c r="E38" s="263"/>
      <c r="F38" s="302">
        <f>'数据-取费表'!B36</f>
        <v>1.4999999999999999E-2</v>
      </c>
      <c r="G38" s="262" t="s">
        <v>2390</v>
      </c>
    </row>
    <row r="39" spans="1:7" s="257" customFormat="1" ht="13.5" customHeight="1">
      <c r="A39" s="298" t="s">
        <v>2396</v>
      </c>
      <c r="B39" s="253" t="s">
        <v>2397</v>
      </c>
      <c r="C39" s="275">
        <f ca="1">ROUND(C33*F20,0)</f>
        <v>3481491</v>
      </c>
      <c r="D39" s="275"/>
      <c r="E39" s="275"/>
      <c r="F39" s="276"/>
      <c r="G39" s="277" t="s">
        <v>2398</v>
      </c>
    </row>
    <row r="40" spans="1:7" s="257" customFormat="1" ht="13.5" customHeight="1">
      <c r="A40" s="298" t="s">
        <v>2399</v>
      </c>
      <c r="B40" s="253" t="s">
        <v>2400</v>
      </c>
      <c r="C40" s="1727">
        <f>F21</f>
        <v>0.03</v>
      </c>
      <c r="D40" s="279" t="s">
        <v>2401</v>
      </c>
      <c r="E40" s="275"/>
      <c r="F40" s="276"/>
      <c r="G40" s="277" t="s">
        <v>2402</v>
      </c>
    </row>
    <row r="41" spans="1:7" s="257" customFormat="1" ht="13.5" customHeight="1">
      <c r="A41" s="298" t="s">
        <v>2403</v>
      </c>
      <c r="B41" s="253" t="s">
        <v>2404</v>
      </c>
      <c r="C41" s="275">
        <f ca="1">ROUND(SUM(C42:C43),0)</f>
        <v>5677732</v>
      </c>
      <c r="D41" s="278">
        <f ca="1">C44</f>
        <v>1.4E-3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ROUND(IF('数据-取费表'!B22&lt;=1,C33*F22*'数据-取费表'!B20/2,C33*(POWER((1+F22),'数据-取费表'!B20/2)-1)),0)</f>
        <v>5512361</v>
      </c>
      <c r="D42" s="281"/>
      <c r="E42" s="281"/>
      <c r="F42" s="282"/>
      <c r="G42" s="3250" t="s">
        <v>2453</v>
      </c>
    </row>
    <row r="43" spans="1:7" ht="13.5" customHeight="1">
      <c r="A43" s="950" t="s">
        <v>792</v>
      </c>
      <c r="B43" s="258" t="s">
        <v>2407</v>
      </c>
      <c r="C43" s="281">
        <f ca="1">ROUND(IF('数据-取费表'!B22&lt;=1,C39*F22*'数据-取费表'!B20/2,C39*(POWER((1+F22),'数据-取费表'!B20/2)-1)),0)</f>
        <v>165371</v>
      </c>
      <c r="D43" s="281"/>
      <c r="E43" s="281"/>
      <c r="F43" s="282"/>
      <c r="G43" s="3251"/>
    </row>
    <row r="44" spans="1:7" ht="13.5" customHeight="1">
      <c r="A44" s="950" t="s">
        <v>793</v>
      </c>
      <c r="B44" s="258" t="s">
        <v>2408</v>
      </c>
      <c r="C44" s="281">
        <f ca="1">ROUND(IF('数据-取费表'!B22&lt;=1,C40*F22*'数据-取费表'!B20/2,C40*(POWER((1+F22),'数据-取费表'!B20/2)-1)),4)</f>
        <v>1.4E-3</v>
      </c>
      <c r="D44" s="281"/>
      <c r="E44" s="281"/>
      <c r="F44" s="282"/>
      <c r="G44" s="3252"/>
    </row>
    <row r="45" spans="1:7" s="257" customFormat="1" ht="13.5" customHeight="1">
      <c r="A45" s="298" t="s">
        <v>2409</v>
      </c>
      <c r="B45" s="287" t="s">
        <v>2375</v>
      </c>
      <c r="C45" s="288">
        <f ca="1">C46</f>
        <v>16734368</v>
      </c>
      <c r="D45" s="278">
        <f ca="1">C47</f>
        <v>4.1999999999999997E-3</v>
      </c>
      <c r="E45" s="279" t="s">
        <v>2401</v>
      </c>
      <c r="F45" s="289"/>
      <c r="G45" s="290" t="s">
        <v>2410</v>
      </c>
    </row>
    <row r="46" spans="1:7" s="257" customFormat="1" ht="13.5" customHeight="1">
      <c r="A46" s="950" t="s">
        <v>791</v>
      </c>
      <c r="B46" s="291" t="s">
        <v>2411</v>
      </c>
      <c r="C46" s="292">
        <f ca="1">ROUND((C33+C39)*F27,0)</f>
        <v>16734368</v>
      </c>
      <c r="D46" s="306"/>
      <c r="E46" s="279"/>
      <c r="F46" s="289"/>
      <c r="G46" s="290"/>
    </row>
    <row r="47" spans="1:7" s="257" customFormat="1" ht="13.5" customHeight="1">
      <c r="A47" s="950" t="s">
        <v>792</v>
      </c>
      <c r="B47" s="291" t="s">
        <v>2412</v>
      </c>
      <c r="C47" s="281">
        <f ca="1">ROUND(C40*F27,4)</f>
        <v>4.1999999999999997E-3</v>
      </c>
      <c r="D47" s="306"/>
      <c r="E47" s="279"/>
      <c r="F47" s="289"/>
      <c r="G47" s="290"/>
    </row>
    <row r="48" spans="1:7" s="257" customFormat="1" ht="13.5" customHeight="1">
      <c r="A48" s="298" t="s">
        <v>2374</v>
      </c>
      <c r="B48" s="253" t="s">
        <v>2413</v>
      </c>
      <c r="C48" s="305">
        <f>ROUND(F30/(1+'数据-取费表'!C42),4)</f>
        <v>5.33E-2</v>
      </c>
      <c r="D48" s="279" t="s">
        <v>2401</v>
      </c>
      <c r="E48" s="275"/>
      <c r="F48" s="280"/>
      <c r="G48" s="277" t="s">
        <v>2414</v>
      </c>
    </row>
    <row r="49" spans="1:7" ht="16.5" customHeight="1">
      <c r="A49" s="298" t="s">
        <v>2380</v>
      </c>
      <c r="B49" s="253" t="s">
        <v>2454</v>
      </c>
      <c r="C49" s="275">
        <f ca="1">ROUND((C33+C39+C41+C45)/(1-C40-D41-D45-C48),0)</f>
        <v>155793327</v>
      </c>
      <c r="D49" s="275"/>
      <c r="E49" s="275"/>
      <c r="F49" s="307"/>
      <c r="G49" s="277" t="s">
        <v>2416</v>
      </c>
    </row>
    <row r="50" spans="1:7" s="301" customFormat="1">
      <c r="A50" s="298" t="s">
        <v>2417</v>
      </c>
      <c r="B50" s="253" t="s">
        <v>2418</v>
      </c>
      <c r="C50" s="275"/>
      <c r="D50" s="275"/>
      <c r="E50" s="275"/>
      <c r="F50" s="307">
        <f>IF('数据-取费表'!B24=0,'数据-取费表'!N16,1)</f>
        <v>0.82</v>
      </c>
      <c r="G50" s="290"/>
    </row>
    <row r="51" spans="1:7" ht="16.5" customHeight="1">
      <c r="A51" s="298" t="s">
        <v>2420</v>
      </c>
      <c r="B51" s="253" t="s">
        <v>2455</v>
      </c>
      <c r="C51" s="275">
        <f ca="1">ROUND(C49*F50,0)</f>
        <v>127750528</v>
      </c>
      <c r="D51" s="275"/>
      <c r="E51" s="275"/>
      <c r="F51" s="307"/>
      <c r="G51" s="277" t="s">
        <v>2422</v>
      </c>
    </row>
    <row r="52" spans="1:7" s="251" customFormat="1" ht="16.5" thickBot="1">
      <c r="A52" s="308" t="s">
        <v>2423</v>
      </c>
      <c r="B52" s="309"/>
      <c r="C52" s="310">
        <f ca="1">C31+C51</f>
        <v>147164851</v>
      </c>
      <c r="D52" s="309"/>
      <c r="E52" s="309"/>
      <c r="F52" s="309"/>
      <c r="G52" s="311"/>
    </row>
    <row r="55" spans="1:7" ht="15">
      <c r="B55" s="313" t="s">
        <v>2424</v>
      </c>
      <c r="C55" s="314"/>
    </row>
    <row r="56" spans="1:7">
      <c r="B56" s="316" t="s">
        <v>1509</v>
      </c>
      <c r="C56" s="318">
        <f ca="1">1-C57</f>
        <v>0.13200000000000001</v>
      </c>
    </row>
    <row r="57" spans="1:7">
      <c r="B57" s="316" t="s">
        <v>1510</v>
      </c>
      <c r="C57" s="317">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2456</v>
      </c>
      <c r="B1" s="1580"/>
      <c r="C1" s="1581"/>
      <c r="D1" s="1579"/>
      <c r="E1" s="319"/>
      <c r="F1" s="319"/>
      <c r="G1" s="1580"/>
      <c r="H1" s="319"/>
      <c r="I1" s="319"/>
      <c r="J1" s="319"/>
      <c r="K1" s="319">
        <f>MATCH(C1,'数据-取费表'!A6:A16,0)+5</f>
        <v>8</v>
      </c>
    </row>
    <row r="2" spans="1:33" ht="18" customHeight="1">
      <c r="A2" s="244" t="s">
        <v>2324</v>
      </c>
      <c r="B2" s="247">
        <f ca="1">C32</f>
        <v>-793</v>
      </c>
      <c r="C2" s="319" t="s">
        <v>2457</v>
      </c>
      <c r="D2" s="319"/>
      <c r="E2" s="319"/>
      <c r="F2" s="319"/>
      <c r="G2" s="319"/>
      <c r="H2" s="319"/>
      <c r="I2" s="319"/>
      <c r="J2" s="319"/>
      <c r="K2" s="319"/>
    </row>
    <row r="3" spans="1:33" ht="18" customHeight="1" thickBot="1">
      <c r="A3" s="246" t="s">
        <v>2326</v>
      </c>
      <c r="B3" s="247">
        <f ca="1">ROUND(B2*10000/IF(C1="",'数据-汇总表'!E3,INDIRECT("'数据-取费表'!K"&amp;$K$1)),0)</f>
        <v>-228</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4" t="s">
        <v>2462</v>
      </c>
      <c r="D5" s="2554" t="s">
        <v>2463</v>
      </c>
      <c r="E5" s="2554" t="s">
        <v>2464</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4"/>
      <c r="F12" s="975">
        <f>'数据-取费表'!B33</f>
        <v>0.05</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4"/>
      <c r="F13" s="975">
        <f>'数据-取费表'!B34</f>
        <v>0</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34740.85</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34740.85</v>
      </c>
      <c r="E17" s="24">
        <f>'数据-取费表'!B32</f>
        <v>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695</v>
      </c>
      <c r="D18" s="1032"/>
      <c r="E18" s="24"/>
      <c r="F18" s="975"/>
      <c r="G18" s="2556"/>
      <c r="H18" s="1576"/>
      <c r="I18" s="2557"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2492</v>
      </c>
      <c r="C20" s="24">
        <f ca="1">ROUND(D20*E20/10000,0)</f>
        <v>695</v>
      </c>
      <c r="D20" s="1032">
        <f ca="1">IF(C1="",'数据-汇总表'!E6,IF(INDIRECT("'数据-取费表'!c"&amp;$K$1)="住宅",INDIRECT("'数据-取费表'!s"&amp;$K$1),INDIRECT("'数据-取费表'!k"&amp;$K$1)+INDIRECT("'数据-取费表'!s"&amp;$K$1)))</f>
        <v>34740.85</v>
      </c>
      <c r="E20" s="24">
        <f>'数据-取费表'!B28</f>
        <v>200</v>
      </c>
      <c r="F20" s="975"/>
      <c r="G20" s="15"/>
      <c r="H20" s="980"/>
      <c r="I20" s="980"/>
      <c r="J20" s="980"/>
      <c r="K20" s="981"/>
    </row>
    <row r="21" spans="1:33" s="974" customFormat="1" ht="13.5" customHeight="1">
      <c r="A21" s="960" t="s">
        <v>802</v>
      </c>
      <c r="B21" s="984" t="s">
        <v>2493</v>
      </c>
      <c r="C21" s="985">
        <f ca="1">C16+C17+C18</f>
        <v>695</v>
      </c>
      <c r="D21" s="986"/>
      <c r="E21" s="324"/>
      <c r="F21" s="324"/>
      <c r="G21" s="139" t="s">
        <v>2494</v>
      </c>
      <c r="H21" s="978"/>
      <c r="I21" s="978"/>
      <c r="J21" s="978"/>
      <c r="K21" s="979"/>
    </row>
    <row r="22" spans="1:33" s="974" customFormat="1" ht="13.5" customHeight="1">
      <c r="A22" s="960" t="s">
        <v>2466</v>
      </c>
      <c r="B22" s="984" t="s">
        <v>2495</v>
      </c>
      <c r="C22" s="985">
        <f ca="1">ROUND(C21*F22,0)</f>
        <v>21</v>
      </c>
      <c r="D22" s="324"/>
      <c r="E22" s="324"/>
      <c r="F22" s="987">
        <f>'数据-取费表'!B37</f>
        <v>0.03</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0.03</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2506</v>
      </c>
      <c r="B28" s="2559" t="s">
        <v>2507</v>
      </c>
      <c r="C28" s="330">
        <f ca="1">C30</f>
        <v>100</v>
      </c>
      <c r="D28" s="323">
        <f ca="1">C29</f>
        <v>0</v>
      </c>
      <c r="E28" s="325" t="s">
        <v>15</v>
      </c>
      <c r="F28" s="331">
        <f ca="1">IF(C1="",'数据-取费表'!Q16,INDIRECT("'数据-取费表'!q"&amp;$K$1))</f>
        <v>0.14000000000000001</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100</v>
      </c>
      <c r="D30" s="327"/>
      <c r="E30" s="328"/>
      <c r="F30" s="333"/>
      <c r="G30" s="139"/>
      <c r="H30" s="978"/>
      <c r="I30" s="978"/>
      <c r="J30" s="978"/>
      <c r="K30" s="979"/>
    </row>
    <row r="31" spans="1:33" s="974" customFormat="1" ht="13.5" customHeight="1" thickBot="1">
      <c r="A31" s="2560"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-793</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22" sqref="E2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1373</v>
      </c>
      <c r="D1" s="1819" t="s">
        <v>70</v>
      </c>
      <c r="E1" s="1820" t="s">
        <v>1383</v>
      </c>
      <c r="F1" s="1282">
        <f ca="1">J53</f>
        <v>26.56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85628</v>
      </c>
      <c r="C2" s="1844" t="s">
        <v>1512</v>
      </c>
      <c r="D2" s="1844"/>
      <c r="E2" s="1845"/>
      <c r="F2" s="1846"/>
      <c r="G2" s="1847"/>
      <c r="H2" s="1839"/>
      <c r="I2" s="1839"/>
      <c r="J2" s="1839"/>
      <c r="K2" s="1840"/>
      <c r="L2" s="1839"/>
      <c r="M2" s="1839"/>
    </row>
    <row r="3" spans="1:37" ht="18" customHeight="1" thickBot="1">
      <c r="A3" s="1848" t="s">
        <v>1513</v>
      </c>
      <c r="B3" s="1849">
        <f ca="1">IF(ISERROR(B2*10000/F43),0,ROUND(B2*10000/F43,0))</f>
        <v>27461</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5887</v>
      </c>
      <c r="D5" s="1821" t="s">
        <v>1398</v>
      </c>
      <c r="E5" s="1292"/>
      <c r="F5" s="1293"/>
      <c r="G5" s="1850"/>
      <c r="H5" s="343">
        <v>1</v>
      </c>
      <c r="I5" s="344" t="s">
        <v>1397</v>
      </c>
      <c r="J5" s="1291">
        <f ca="1">J6+J10+J12</f>
        <v>0</v>
      </c>
      <c r="K5" s="1821" t="s">
        <v>1398</v>
      </c>
      <c r="L5" s="1292"/>
      <c r="M5" s="1293"/>
    </row>
    <row r="6" spans="1:37" ht="18" customHeight="1">
      <c r="A6" s="1290" t="s">
        <v>1032</v>
      </c>
      <c r="B6" s="3255" t="s">
        <v>1399</v>
      </c>
      <c r="C6" s="1295">
        <f ca="1">ROUND(F6*F8*F7*(1-F9)/10000,0)</f>
        <v>5880</v>
      </c>
      <c r="D6" s="163" t="s">
        <v>3028</v>
      </c>
      <c r="E6" s="346" t="s">
        <v>1401</v>
      </c>
      <c r="F6" s="347">
        <f ca="1">INDIRECT("'数据-取费表'!u"&amp;$G$1)</f>
        <v>5.74</v>
      </c>
      <c r="G6" s="1850"/>
      <c r="H6" s="1290" t="s">
        <v>1032</v>
      </c>
      <c r="I6" s="3255" t="s">
        <v>1399</v>
      </c>
      <c r="J6" s="345">
        <f ca="1">ROUND(M6*M8*M7*(1-M9)/10000,0)</f>
        <v>0</v>
      </c>
      <c r="K6" s="163" t="s">
        <v>3027</v>
      </c>
      <c r="L6" s="346" t="s">
        <v>1401</v>
      </c>
      <c r="M6" s="347">
        <f ca="1">INDIRECT("'数据-取费表'!z"&amp;$G$1)</f>
        <v>0</v>
      </c>
    </row>
    <row r="7" spans="1:37" ht="18" customHeight="1">
      <c r="A7" s="1294"/>
      <c r="B7" s="3256"/>
      <c r="C7" s="1296"/>
      <c r="D7" s="351"/>
      <c r="E7" s="1297" t="s">
        <v>1402</v>
      </c>
      <c r="F7" s="347">
        <f ca="1">IF(INDIRECT("'数据-取费表'!ah"&amp;$G$1)="",INDIRECT("'数据-取费表'!k"&amp;$G$1),INDIRECT("'数据-取费表'!ah"&amp;$G$1))</f>
        <v>31181.27</v>
      </c>
      <c r="G7" s="1850"/>
      <c r="H7" s="348"/>
      <c r="I7" s="3256"/>
      <c r="J7" s="350"/>
      <c r="K7" s="351"/>
      <c r="L7" s="346" t="s">
        <v>1402</v>
      </c>
      <c r="M7" s="347">
        <f ca="1">F7</f>
        <v>31181.27</v>
      </c>
    </row>
    <row r="8" spans="1:37" ht="18" customHeight="1">
      <c r="A8" s="348"/>
      <c r="B8" s="3256"/>
      <c r="C8" s="350"/>
      <c r="D8" s="351"/>
      <c r="E8" s="346" t="s">
        <v>1403</v>
      </c>
      <c r="F8" s="347">
        <f ca="1">INDIRECT("'数据-取费表'!ai"&amp;$G$1)</f>
        <v>365</v>
      </c>
      <c r="G8" s="1850"/>
      <c r="H8" s="348"/>
      <c r="I8" s="3256"/>
      <c r="J8" s="350"/>
      <c r="K8" s="351"/>
      <c r="L8" s="346" t="s">
        <v>1403</v>
      </c>
      <c r="M8" s="347">
        <f ca="1">INDIRECT("'数据-取费表'!ai"&amp;$G$1)</f>
        <v>365</v>
      </c>
    </row>
    <row r="9" spans="1:37" ht="18" customHeight="1">
      <c r="A9" s="348"/>
      <c r="B9" s="3257"/>
      <c r="C9" s="350"/>
      <c r="D9" s="351"/>
      <c r="E9" s="346" t="s">
        <v>1404</v>
      </c>
      <c r="F9" s="356">
        <f ca="1">INDIRECT("'数据-取费表'!w"&amp;$G$1)</f>
        <v>0.1</v>
      </c>
      <c r="G9" s="1850"/>
      <c r="H9" s="348"/>
      <c r="I9" s="3257"/>
      <c r="J9" s="350"/>
      <c r="K9" s="351"/>
      <c r="L9" s="357" t="s">
        <v>1404</v>
      </c>
      <c r="M9" s="358">
        <f ca="1">INDIRECT("'数据-取费表'!ab"&amp;$G$1)</f>
        <v>0</v>
      </c>
    </row>
    <row r="10" spans="1:37" ht="18" customHeight="1">
      <c r="A10" s="1290" t="s">
        <v>1036</v>
      </c>
      <c r="B10" s="1822" t="s">
        <v>1405</v>
      </c>
      <c r="C10" s="360">
        <f ca="1">ROUND(IF(F10="押一",C6/12*F11,IF(F10="押二",C6/12*2*F11,IF(F10="押三",C6/12*3*F11,C11*F11))),0)</f>
        <v>7</v>
      </c>
      <c r="D10" s="1823" t="s">
        <v>3037</v>
      </c>
      <c r="E10" s="357" t="s">
        <v>1406</v>
      </c>
      <c r="F10" s="1365" t="s">
        <v>3212</v>
      </c>
      <c r="G10" s="1850"/>
      <c r="H10" s="1290" t="s">
        <v>1036</v>
      </c>
      <c r="I10" s="1822" t="s">
        <v>1405</v>
      </c>
      <c r="J10" s="345">
        <f ca="1">ROUND(IF(M10="押一",J6/12*M11,IF(M10="押二",J6/12*2*M11,IF(M10="押三",J6/12*3*M11,J11*M11))),0)</f>
        <v>0</v>
      </c>
      <c r="K10" s="1823" t="s">
        <v>3036</v>
      </c>
      <c r="L10" s="357" t="s">
        <v>1406</v>
      </c>
      <c r="M10" s="1365" t="s">
        <v>1407</v>
      </c>
    </row>
    <row r="11" spans="1:37" ht="18" customHeight="1">
      <c r="A11" s="352"/>
      <c r="B11" s="1824" t="s">
        <v>1384</v>
      </c>
      <c r="C11" s="1177"/>
      <c r="D11" s="1825"/>
      <c r="E11" s="357" t="s">
        <v>1408</v>
      </c>
      <c r="F11" s="358">
        <f ca="1">'数据-取费表'!B39</f>
        <v>1.4999999999999999E-2</v>
      </c>
      <c r="G11" s="1850"/>
      <c r="H11" s="1298"/>
      <c r="I11" s="1824" t="s">
        <v>1384</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11756</v>
      </c>
      <c r="D13" s="1330" t="s">
        <v>1411</v>
      </c>
      <c r="E13" s="1330" t="s">
        <v>1412</v>
      </c>
      <c r="F13" s="1331">
        <f ca="1">INDIRECT("'数据-取费表'!y"&amp;$G$1)</f>
        <v>0.82</v>
      </c>
      <c r="G13" s="1850"/>
      <c r="H13" s="1328">
        <v>2</v>
      </c>
      <c r="I13" s="1329" t="s">
        <v>1410</v>
      </c>
      <c r="J13" s="1289">
        <f ca="1">ROUND(J14*J15,0)</f>
        <v>0</v>
      </c>
      <c r="K13" s="1336" t="s">
        <v>1411</v>
      </c>
      <c r="L13" s="1851"/>
      <c r="M13" s="1852"/>
    </row>
    <row r="14" spans="1:37" ht="18" customHeight="1">
      <c r="A14" s="1200" t="s">
        <v>1031</v>
      </c>
      <c r="B14" s="346" t="s">
        <v>1413</v>
      </c>
      <c r="C14" s="362">
        <f ca="1">INDIRECT("'数据-取费表'!m"&amp;$G$1)+INDIRECT("'数据-取费表'!t"&amp;$G$1)</f>
        <v>9354</v>
      </c>
      <c r="D14" s="1799" t="s">
        <v>1414</v>
      </c>
      <c r="E14" s="1793"/>
      <c r="F14" s="363"/>
      <c r="G14" s="1850"/>
      <c r="H14" s="1200" t="s">
        <v>1032</v>
      </c>
      <c r="I14" s="346" t="s">
        <v>1415</v>
      </c>
      <c r="J14" s="24">
        <f ca="1">C29</f>
        <v>14337</v>
      </c>
      <c r="K14" s="15"/>
      <c r="L14" s="978"/>
      <c r="M14" s="979"/>
    </row>
    <row r="15" spans="1:37" s="1857" customFormat="1" ht="18" customHeight="1" thickBot="1">
      <c r="A15" s="1200" t="s">
        <v>1033</v>
      </c>
      <c r="B15" s="346" t="s">
        <v>1416</v>
      </c>
      <c r="C15" s="24">
        <f ca="1">ROUND(C14*F15,0)</f>
        <v>468</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337</v>
      </c>
      <c r="K16" s="1336" t="s">
        <v>1421</v>
      </c>
      <c r="L16" s="1337"/>
      <c r="M16" s="1293"/>
    </row>
    <row r="17" spans="1:37" s="1857" customFormat="1" ht="18" customHeight="1">
      <c r="A17" s="1200" t="s">
        <v>1386</v>
      </c>
      <c r="B17" s="346" t="s">
        <v>1422</v>
      </c>
      <c r="C17" s="24">
        <f ca="1">ROUND(F17*(F43+INDIRECT("'数据-取费表'!S"&amp;$G$1))/10000,0)</f>
        <v>624</v>
      </c>
      <c r="D17" s="346" t="s">
        <v>1423</v>
      </c>
      <c r="E17" s="346" t="s">
        <v>1424</v>
      </c>
      <c r="F17" s="26">
        <f>'数据-取费表'!B35</f>
        <v>200</v>
      </c>
      <c r="G17" s="1853"/>
      <c r="H17" s="1200" t="s">
        <v>1032</v>
      </c>
      <c r="I17" s="346" t="s">
        <v>1425</v>
      </c>
      <c r="J17" s="24">
        <f ca="1">ROUND(IF(项目基本情况!B11="自然人",J5*M17,J18+J19+J20),1)</f>
        <v>121.8</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140</v>
      </c>
      <c r="D18" s="346" t="s">
        <v>1417</v>
      </c>
      <c r="E18" s="346" t="s">
        <v>1418</v>
      </c>
      <c r="F18" s="366">
        <f>'数据-取费表'!B36</f>
        <v>1.4999999999999999E-2</v>
      </c>
      <c r="G18" s="1853"/>
      <c r="H18" s="1200" t="s">
        <v>1031</v>
      </c>
      <c r="I18" s="346" t="s">
        <v>1429</v>
      </c>
      <c r="J18" s="24">
        <f ca="1">ROUND(J5*M18/(1+'数据-取费表'!C42),2)</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10586</v>
      </c>
      <c r="D19" s="139" t="s">
        <v>1432</v>
      </c>
      <c r="E19" s="1817"/>
      <c r="F19" s="26"/>
      <c r="G19" s="1850"/>
      <c r="H19" s="1200" t="s">
        <v>1033</v>
      </c>
      <c r="I19" s="346" t="s">
        <v>1433</v>
      </c>
      <c r="J19" s="24">
        <f ca="1">IF(K19="按租金收入计税",ROUND(J5*M19,2),ROUND(C29*M19*0.7,2))</f>
        <v>120.43</v>
      </c>
      <c r="K19" s="1827" t="s">
        <v>1434</v>
      </c>
      <c r="L19" s="346" t="s">
        <v>1418</v>
      </c>
      <c r="M19" s="366">
        <f>IF(K19="按租金收入计税",'数据-取费表'!B51,'数据-取费表'!B50)</f>
        <v>1.2E-2</v>
      </c>
    </row>
    <row r="20" spans="1:37" s="1857" customFormat="1" ht="18" customHeight="1">
      <c r="A20" s="1200" t="s">
        <v>1036</v>
      </c>
      <c r="B20" s="346" t="s">
        <v>1435</v>
      </c>
      <c r="C20" s="24">
        <f ca="1">ROUND(C19*F20,0)</f>
        <v>318</v>
      </c>
      <c r="D20" s="368" t="s">
        <v>1436</v>
      </c>
      <c r="E20" s="346" t="s">
        <v>1418</v>
      </c>
      <c r="F20" s="366">
        <f>'数据-取费表'!B37</f>
        <v>0.03</v>
      </c>
      <c r="G20" s="1853"/>
      <c r="H20" s="1200" t="s">
        <v>1385</v>
      </c>
      <c r="I20" s="163" t="s">
        <v>1437</v>
      </c>
      <c r="J20" s="25">
        <f ca="1">ROUND(M20*M21/10000,2)</f>
        <v>1.37</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18</v>
      </c>
      <c r="D21" s="368" t="s">
        <v>1441</v>
      </c>
      <c r="E21" s="346" t="s">
        <v>1442</v>
      </c>
      <c r="F21" s="366">
        <f>'数据-取费表'!B38</f>
        <v>0.03</v>
      </c>
      <c r="G21" s="1853"/>
      <c r="H21" s="371"/>
      <c r="I21" s="355"/>
      <c r="J21" s="29"/>
      <c r="K21" s="372"/>
      <c r="L21" s="346" t="s">
        <v>1443</v>
      </c>
      <c r="M21" s="347">
        <f ca="1">INDIRECT("'数据-取费表'!r"&amp;$G$1)</f>
        <v>9142.39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ROUND(J14*M22,1)</f>
        <v>215.1</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518</v>
      </c>
      <c r="D23" s="374" t="str">
        <f>IF(F23&lt;=1,"(建造成本+管理费用)×利率×(建设周期÷2)","(建造成本+管理费用)×((1+利率)^(建设周期÷2)-1)")</f>
        <v>(建造成本+管理费用)×((1+利率)^(建设周期÷2)-1)</v>
      </c>
      <c r="E23" s="346" t="s">
        <v>1448</v>
      </c>
      <c r="F23" s="370">
        <f>'数据-取费表'!B20</f>
        <v>2</v>
      </c>
      <c r="G23" s="1853"/>
      <c r="H23" s="1200" t="s">
        <v>1072</v>
      </c>
      <c r="I23" s="346" t="s">
        <v>1449</v>
      </c>
      <c r="J23" s="24">
        <f ca="1">ROUND(J13*M23,1)</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6" t="s">
        <v>1457</v>
      </c>
      <c r="C25" s="24"/>
      <c r="D25" s="139" t="s">
        <v>1458</v>
      </c>
      <c r="E25" s="1817"/>
      <c r="F25" s="26"/>
      <c r="G25" s="1850"/>
      <c r="H25" s="1328" t="s">
        <v>1028</v>
      </c>
      <c r="I25" s="1343" t="s">
        <v>1459</v>
      </c>
      <c r="J25" s="354">
        <f ca="1">J5-J16</f>
        <v>-337</v>
      </c>
      <c r="K25" s="1344" t="s">
        <v>1460</v>
      </c>
      <c r="L25" s="1345"/>
      <c r="M25" s="1346"/>
    </row>
    <row r="26" spans="1:37">
      <c r="A26" s="1200" t="s">
        <v>1031</v>
      </c>
      <c r="B26" s="346" t="s">
        <v>1461</v>
      </c>
      <c r="C26" s="24">
        <f ca="1">ROUND((C19+C20)*F26,0)</f>
        <v>1636</v>
      </c>
      <c r="D26" s="368" t="s">
        <v>1462</v>
      </c>
      <c r="E26" s="357" t="s">
        <v>1463</v>
      </c>
      <c r="F26" s="356">
        <f ca="1">INDIRECT("'数据-取费表'!q"&amp;$G$1)</f>
        <v>0.15</v>
      </c>
      <c r="G26" s="1850"/>
      <c r="H26" s="343" t="s">
        <v>1029</v>
      </c>
      <c r="I26" s="344" t="s">
        <v>1464</v>
      </c>
      <c r="J26" s="345">
        <f ca="1">IF(J5&lt;&gt;0,ROUND(J25*(1-((1+M28)/(1+M26))^M27)/(M26-M28),0),0)</f>
        <v>0</v>
      </c>
      <c r="K26" s="369" t="s">
        <v>1465</v>
      </c>
      <c r="L26" s="346" t="s">
        <v>1466</v>
      </c>
      <c r="M26" s="356">
        <f ca="1">INDIRECT("'数据-取费表'!I"&amp;$G$1)</f>
        <v>5.5E-2</v>
      </c>
    </row>
    <row r="27" spans="1:37" ht="18" customHeight="1">
      <c r="A27" s="1200" t="s">
        <v>1033</v>
      </c>
      <c r="B27" s="346" t="s">
        <v>1467</v>
      </c>
      <c r="C27" s="24">
        <f ca="1">ROUND(F21*F26,4)</f>
        <v>4.4999999999999997E-3</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14337</v>
      </c>
      <c r="D29" s="1341"/>
      <c r="E29" s="1339"/>
      <c r="F29" s="1342"/>
      <c r="G29" s="1853"/>
      <c r="H29" s="379" t="s">
        <v>1030</v>
      </c>
      <c r="I29" s="380" t="s">
        <v>1475</v>
      </c>
      <c r="J29" s="381">
        <f ca="1">ROUND(J26/(1+F40)^F41,0)</f>
        <v>0</v>
      </c>
      <c r="K29" s="382" t="s">
        <v>1476</v>
      </c>
      <c r="L29" s="383"/>
      <c r="M29" s="384">
        <f ca="1">INDIRECT("'数据-取费表'!k"&amp;$G$1)</f>
        <v>31181.27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1343</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ROUND(IF(项目基本情况!B11="自然人",C5*F31,C32+C33+C34),1)</f>
        <v>1021.8</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IF(项目基本情况!B11="自然人","——",ROUND(C5*F32/(1+'数据-取费表'!C42),2))</f>
        <v>313.97000000000003</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IF(项目基本情况!B11="自然人","——",IF(D33="按租金收入计税",ROUND(C5*F33,2),IF(D33="按房产原值计税",ROUND(C29*F33*0.7,2),INDIRECT("'数据-取费表'!Aj"&amp;$G$1))))</f>
        <v>706.44</v>
      </c>
      <c r="D33" s="1827" t="s">
        <v>3213</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IF(项目基本情况!B11="自然人","——",ROUND(F34*F35/10000,2))</f>
        <v>1.37</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9142.39</v>
      </c>
      <c r="G35" s="1850"/>
      <c r="H35" s="744"/>
      <c r="I35" s="1859"/>
      <c r="J35" s="1860"/>
      <c r="K35" s="1861"/>
      <c r="L35" s="1858"/>
      <c r="M35" s="1858"/>
    </row>
    <row r="36" spans="1:18" ht="18" customHeight="1">
      <c r="A36" s="1351" t="s">
        <v>1036</v>
      </c>
      <c r="B36" s="346" t="s">
        <v>1445</v>
      </c>
      <c r="C36" s="24">
        <f ca="1">ROUND(C29*F36,1)</f>
        <v>215.1</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ROUND(C13*F37,1)</f>
        <v>17.600000000000001</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88.3</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4">
        <f ca="1">C5-C30</f>
        <v>4544</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85628</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26.56</v>
      </c>
      <c r="G41" s="1850"/>
      <c r="H41" s="731"/>
      <c r="I41" s="1859"/>
      <c r="J41" s="1860"/>
      <c r="K41" s="750"/>
      <c r="L41" s="731"/>
      <c r="M41" s="731"/>
    </row>
    <row r="42" spans="1:18" ht="18" customHeight="1">
      <c r="A42" s="352"/>
      <c r="B42" s="353"/>
      <c r="C42" s="354"/>
      <c r="D42" s="372"/>
      <c r="E42" s="346" t="s">
        <v>1473</v>
      </c>
      <c r="F42" s="356">
        <f ca="1">INDIRECT("'数据-取费表'!v"&amp;$G$1)</f>
        <v>0.03</v>
      </c>
      <c r="G42" s="1850"/>
      <c r="H42" s="731"/>
      <c r="I42" s="1859"/>
      <c r="J42" s="1860"/>
      <c r="K42" s="750"/>
      <c r="L42" s="731"/>
      <c r="M42" s="731"/>
    </row>
    <row r="43" spans="1:18" ht="18" customHeight="1" thickBot="1">
      <c r="A43" s="379" t="s">
        <v>1030</v>
      </c>
      <c r="B43" s="380" t="s">
        <v>1483</v>
      </c>
      <c r="C43" s="381">
        <f ca="1">ROUND(C40*10000/F43,0)</f>
        <v>27461</v>
      </c>
      <c r="D43" s="382" t="s">
        <v>1484</v>
      </c>
      <c r="E43" s="383" t="s">
        <v>1485</v>
      </c>
      <c r="F43" s="384">
        <f ca="1">INDIRECT("'数据-取费表'!k"&amp;$G$1)</f>
        <v>31181.27</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-105467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t="s">
        <v>3214</v>
      </c>
      <c r="K47" s="1881" t="s">
        <v>1523</v>
      </c>
      <c r="L47" s="1882">
        <f ca="1">INDIRECT("'数据-取费表'!d"&amp;$G$1)</f>
        <v>40</v>
      </c>
      <c r="M47" s="1837" t="str">
        <f>IF(ISNUMBER(FIND("住宅",C1)),"住宅","非住宅")</f>
        <v>非住宅</v>
      </c>
      <c r="O47" s="1883" t="s">
        <v>1037</v>
      </c>
      <c r="P47" s="1884" t="s">
        <v>1524</v>
      </c>
      <c r="Q47" s="1885">
        <f ca="1">C40+J29</f>
        <v>85628</v>
      </c>
      <c r="R47" s="1885" t="s">
        <v>1525</v>
      </c>
    </row>
    <row r="48" spans="1:18" s="1841" customFormat="1" ht="28.5" thickBot="1">
      <c r="A48" s="1359" t="s">
        <v>1132</v>
      </c>
      <c r="B48" s="344" t="s">
        <v>1397</v>
      </c>
      <c r="C48" s="1816">
        <f ca="1">C49+C53+C55</f>
        <v>0</v>
      </c>
      <c r="D48" s="1361"/>
      <c r="E48" s="1362"/>
      <c r="F48" s="1180"/>
      <c r="G48" s="791"/>
      <c r="H48" s="792"/>
      <c r="I48" s="1886" t="s">
        <v>1526</v>
      </c>
      <c r="J48" s="1887" t="s">
        <v>3215</v>
      </c>
      <c r="K48" s="1888" t="s">
        <v>1527</v>
      </c>
      <c r="L48" s="1889">
        <f ca="1">INDIRECT("'数据-取费表'!f"&amp;$G$1)</f>
        <v>26.56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2"/>
      <c r="I49" s="1886" t="s">
        <v>1530</v>
      </c>
      <c r="J49" s="1891">
        <v>2008</v>
      </c>
      <c r="K49" s="1888" t="s">
        <v>1531</v>
      </c>
      <c r="L49" s="1892"/>
      <c r="O49" s="1893" t="s">
        <v>1039</v>
      </c>
      <c r="P49" s="1884" t="s">
        <v>1532</v>
      </c>
      <c r="Q49" s="1885">
        <f ca="1">C29</f>
        <v>14337</v>
      </c>
      <c r="R49" s="1885" t="s">
        <v>1525</v>
      </c>
    </row>
    <row r="50" spans="1:18" s="1841" customFormat="1" ht="13.5" thickBot="1">
      <c r="A50" s="1194"/>
      <c r="B50" s="1197"/>
      <c r="C50" s="1367"/>
      <c r="D50" s="1171"/>
      <c r="E50" s="1276" t="s">
        <v>1402</v>
      </c>
      <c r="F50" s="1277">
        <f ca="1">F7</f>
        <v>31181.27</v>
      </c>
      <c r="H50" s="792"/>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365</v>
      </c>
      <c r="I51" s="1897" t="s">
        <v>1536</v>
      </c>
      <c r="J51" s="1898">
        <f>IF(J49="",J50,J49+J50-YEAR('数据-取费表'!B2))</f>
        <v>49</v>
      </c>
      <c r="K51" s="1899" t="s">
        <v>1537</v>
      </c>
      <c r="L51" s="1900">
        <f ca="1">ROUND(-PV(INDIRECT("'数据-取费表'!h"&amp;$G$1),L48,(C39-C13*C76),0),0)</f>
        <v>52348</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26.56</v>
      </c>
      <c r="R52" s="1885" t="s">
        <v>1542</v>
      </c>
    </row>
    <row r="53" spans="1:18" s="1841" customFormat="1" ht="24.75" thickBot="1">
      <c r="A53" s="1404" t="s">
        <v>1134</v>
      </c>
      <c r="B53" s="1830" t="s">
        <v>1405</v>
      </c>
      <c r="C53" s="360">
        <f ca="1">ROUND(IF(F53="押一",C49/12*F11,IF(F53="押二",C49/12*2*F11,IF(F53="押三",C49/12*3*F11,C54*F11))),0)</f>
        <v>0</v>
      </c>
      <c r="D53" s="1823" t="s">
        <v>3036</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26.56</v>
      </c>
      <c r="K53" s="3253" t="s">
        <v>1544</v>
      </c>
      <c r="L53" s="3254"/>
      <c r="O53" s="1883" t="s">
        <v>1043</v>
      </c>
      <c r="P53" s="1884" t="s">
        <v>1545</v>
      </c>
      <c r="Q53" s="1885">
        <f ca="1">Q47+Q48</f>
        <v>85628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5">
        <f ca="1">C13</f>
        <v>11756</v>
      </c>
      <c r="D56" s="1913"/>
      <c r="E56" s="1914"/>
      <c r="F56" s="1906"/>
      <c r="I56" s="1915" t="s">
        <v>1550</v>
      </c>
      <c r="J56" s="1916" t="s">
        <v>3062</v>
      </c>
      <c r="K56" s="1886" t="s">
        <v>1551</v>
      </c>
      <c r="L56" s="1889" t="str">
        <f ca="1">IF(L48&lt;J51,"——",L48-J53)</f>
        <v>——</v>
      </c>
      <c r="O56" s="1883" t="s">
        <v>1037</v>
      </c>
      <c r="P56" s="1884" t="s">
        <v>1524</v>
      </c>
      <c r="Q56" s="1885">
        <f ca="1">C40+J29</f>
        <v>85628</v>
      </c>
      <c r="R56" s="1885" t="s">
        <v>1525</v>
      </c>
    </row>
    <row r="57" spans="1:18" s="1841" customFormat="1" ht="24.75" thickBot="1">
      <c r="A57" s="1917"/>
      <c r="B57" s="1168" t="s">
        <v>1474</v>
      </c>
      <c r="C57" s="281">
        <f ca="1">C29</f>
        <v>14337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6" t="s">
        <v>1420</v>
      </c>
      <c r="C58" s="360">
        <f ca="1">ROUND(C59+C64+C65+C66,0)</f>
        <v>1438</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1205.7</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1204.31</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1.37</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85628</v>
      </c>
      <c r="R62" s="1885" t="s">
        <v>1044</v>
      </c>
    </row>
    <row r="63" spans="1:18" s="1841" customFormat="1" ht="13.5" thickBot="1">
      <c r="A63" s="371"/>
      <c r="B63" s="1174"/>
      <c r="C63" s="29"/>
      <c r="D63" s="1184"/>
      <c r="E63" s="1168" t="s">
        <v>1495</v>
      </c>
      <c r="F63" s="347">
        <f t="shared" ca="1" si="0"/>
        <v>9142.39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215.1</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17.600000000000001</v>
      </c>
      <c r="D65" s="1182" t="s">
        <v>1450</v>
      </c>
      <c r="E65" s="1168" t="s">
        <v>1451</v>
      </c>
      <c r="F65" s="375">
        <f t="shared" ca="1" si="0"/>
        <v>1.5E-3</v>
      </c>
      <c r="I65" s="1928" t="s">
        <v>1575</v>
      </c>
      <c r="J65" s="1929">
        <v>40</v>
      </c>
      <c r="K65" s="1929">
        <v>30</v>
      </c>
      <c r="L65" s="1929">
        <v>50</v>
      </c>
      <c r="M65" s="1931">
        <v>0.02</v>
      </c>
      <c r="O65" s="1883" t="s">
        <v>1037</v>
      </c>
      <c r="P65" s="1884" t="s">
        <v>1576</v>
      </c>
      <c r="Q65" s="1885">
        <f ca="1">C40+J29</f>
        <v>85628</v>
      </c>
      <c r="R65" s="1885" t="s">
        <v>1525</v>
      </c>
    </row>
    <row r="66" spans="1:18" s="1841" customFormat="1" ht="16.5" thickBot="1">
      <c r="A66" s="1200" t="s">
        <v>1500</v>
      </c>
      <c r="B66" s="1168" t="s">
        <v>1435</v>
      </c>
      <c r="C66" s="24">
        <f ca="1">ROUND(C48*F66,1)</f>
        <v>0</v>
      </c>
      <c r="D66" s="1182" t="s">
        <v>1501</v>
      </c>
      <c r="E66" s="1168" t="s">
        <v>1418</v>
      </c>
      <c r="F66" s="356">
        <f t="shared" ca="1" si="0"/>
        <v>1.4999999999999999E-2</v>
      </c>
      <c r="O66" s="1883" t="s">
        <v>1038</v>
      </c>
      <c r="P66" s="1884" t="s">
        <v>1554</v>
      </c>
      <c r="Q66" s="1885">
        <f ca="1">L60</f>
        <v>0</v>
      </c>
      <c r="R66" s="1885" t="s">
        <v>1577</v>
      </c>
    </row>
    <row r="67" spans="1:18" s="1841" customFormat="1" ht="16.5" thickBot="1">
      <c r="A67" s="1175" t="s">
        <v>1028</v>
      </c>
      <c r="B67" s="1185" t="s">
        <v>1459</v>
      </c>
      <c r="C67" s="360">
        <f ca="1">C48-C58</f>
        <v>-1438</v>
      </c>
      <c r="D67" s="1181" t="s">
        <v>1460</v>
      </c>
      <c r="E67" s="1186"/>
      <c r="F67" s="1187"/>
      <c r="O67" s="1893" t="s">
        <v>1039</v>
      </c>
      <c r="P67" s="1884" t="s">
        <v>1558</v>
      </c>
      <c r="Q67" s="1932">
        <f ca="1">L51</f>
        <v>52348</v>
      </c>
      <c r="R67" s="1885" t="s">
        <v>1578</v>
      </c>
    </row>
    <row r="68" spans="1:18" s="1841" customFormat="1" ht="16.5" thickBot="1">
      <c r="A68" s="1165" t="s">
        <v>1029</v>
      </c>
      <c r="B68" s="1166" t="s">
        <v>1481</v>
      </c>
      <c r="C68" s="345">
        <f ca="1">ROUND(C67*(1-((1+F70)/(1+F68))^F69)/(F68-F70),0)</f>
        <v>-19839</v>
      </c>
      <c r="D68" s="1183" t="s">
        <v>1465</v>
      </c>
      <c r="E68" s="1168" t="s">
        <v>1466</v>
      </c>
      <c r="F68" s="356">
        <f ca="1">F40</f>
        <v>5.5E-2</v>
      </c>
      <c r="O68" s="1893" t="s">
        <v>1040</v>
      </c>
      <c r="P68" s="1933" t="s">
        <v>1579</v>
      </c>
      <c r="Q68" s="1885">
        <f ca="1">ROUND(Q69-Q70*Q71,0)</f>
        <v>3604</v>
      </c>
      <c r="R68" s="1885" t="s">
        <v>1048</v>
      </c>
    </row>
    <row r="69" spans="1:18" s="1841" customFormat="1" ht="13.5" thickBot="1">
      <c r="A69" s="1169"/>
      <c r="B69" s="1170"/>
      <c r="C69" s="350"/>
      <c r="D69" s="1188" t="s">
        <v>1469</v>
      </c>
      <c r="E69" s="1168" t="s">
        <v>1470</v>
      </c>
      <c r="F69" s="378">
        <f ca="1">F41</f>
        <v>26.56</v>
      </c>
      <c r="O69" s="1893" t="s">
        <v>1045</v>
      </c>
      <c r="P69" s="1933" t="s">
        <v>1580</v>
      </c>
      <c r="Q69" s="1885">
        <f ca="1">C39</f>
        <v>4544</v>
      </c>
      <c r="R69" s="1885" t="s">
        <v>1525</v>
      </c>
    </row>
    <row r="70" spans="1:18" s="1841" customFormat="1" ht="13.5" thickBot="1">
      <c r="A70" s="1172"/>
      <c r="B70" s="1173"/>
      <c r="C70" s="354"/>
      <c r="D70" s="1184"/>
      <c r="E70" s="1168" t="s">
        <v>1473</v>
      </c>
      <c r="F70" s="1274"/>
      <c r="O70" s="1893" t="s">
        <v>1046</v>
      </c>
      <c r="P70" s="1933" t="s">
        <v>1581</v>
      </c>
      <c r="Q70" s="1885">
        <f ca="1">C13</f>
        <v>11756</v>
      </c>
      <c r="R70" s="1885" t="s">
        <v>1525</v>
      </c>
    </row>
    <row r="71" spans="1:18" s="1841" customFormat="1" ht="13.5" thickBot="1">
      <c r="A71" s="1189" t="s">
        <v>1030</v>
      </c>
      <c r="B71" s="1190" t="s">
        <v>1483</v>
      </c>
      <c r="C71" s="381">
        <f ca="1">ROUND(C68*10000/F71,0)</f>
        <v>-6362</v>
      </c>
      <c r="D71" s="1191" t="s">
        <v>1484</v>
      </c>
      <c r="E71" s="1192" t="s">
        <v>1485</v>
      </c>
      <c r="F71" s="384">
        <f ca="1">F43</f>
        <v>31181.27</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940</v>
      </c>
      <c r="D75" s="1841"/>
      <c r="E75" s="1841"/>
      <c r="F75" s="1841"/>
      <c r="K75" s="1867"/>
      <c r="L75" s="1841"/>
      <c r="O75" s="1883" t="s">
        <v>1043</v>
      </c>
      <c r="P75" s="1884" t="s">
        <v>1545</v>
      </c>
      <c r="Q75" s="1885">
        <f ca="1">Q65+Q66</f>
        <v>85628</v>
      </c>
      <c r="R75" s="1885" t="s">
        <v>1044</v>
      </c>
    </row>
    <row r="76" spans="1:18">
      <c r="B76" s="387" t="s">
        <v>1503</v>
      </c>
      <c r="C76" s="388">
        <f ca="1">INDIRECT("'数据-取费表'!j"&amp;$G$1)</f>
        <v>0.08</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0.79300000000000004</v>
      </c>
    </row>
    <row r="80" spans="1:18">
      <c r="B80" s="385" t="s">
        <v>1507</v>
      </c>
      <c r="C80" s="317">
        <f ca="1">ROUND(C75/C39,3)</f>
        <v>0.20699999999999999</v>
      </c>
    </row>
    <row r="81" spans="2:3">
      <c r="B81" s="313" t="s">
        <v>1508</v>
      </c>
      <c r="C81" s="281"/>
    </row>
    <row r="82" spans="2:3">
      <c r="B82" s="316" t="s">
        <v>1509</v>
      </c>
      <c r="C82" s="318">
        <f ca="1">1-C83</f>
        <v>0.86299999999999999</v>
      </c>
    </row>
    <row r="83" spans="2:3">
      <c r="B83" s="316" t="s">
        <v>1510</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E52" sqref="E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2" t="s">
        <v>2639</v>
      </c>
      <c r="C1" s="1633" t="s">
        <v>2527</v>
      </c>
      <c r="D1" s="1620" t="s">
        <v>1373</v>
      </c>
      <c r="E1" s="2657"/>
      <c r="F1" s="2584" t="s">
        <v>3221</v>
      </c>
      <c r="G1" s="1630" t="s">
        <v>2640</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2324</v>
      </c>
      <c r="B2" s="1417">
        <f>IF(C2="——",ROUND(C49*D3/10000,0),ROUND(C49*D3/10000,0)-D2)</f>
        <v>151762</v>
      </c>
      <c r="C2" s="2586" t="s">
        <v>70</v>
      </c>
      <c r="D2" s="1364" t="e">
        <f ca="1">SUMIF(INDIRECT("'"&amp;F2&amp;"'"&amp;"!A:A"),"承租人权益价值",INDIRECT("'"&amp;F2&amp;"'"&amp;"!c:c"))</f>
        <v>#REF!</v>
      </c>
      <c r="E2" s="2587" t="s">
        <v>2325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2326</v>
      </c>
      <c r="B3" s="608">
        <f>IF(C2="——",C49,ROUND(B2*10000/D3,0))</f>
        <v>48671</v>
      </c>
      <c r="C3" s="399" t="s">
        <v>2641</v>
      </c>
      <c r="D3" s="398">
        <f>IF(D1="",'数据-汇总表'!E3,SUMIF('数据-汇总表'!$C19:$C33,D1,'数据-汇总表'!$E19:$E33))</f>
        <v>31181.27</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2642</v>
      </c>
      <c r="B4" s="401"/>
      <c r="C4" s="3278" t="s">
        <v>2643</v>
      </c>
      <c r="D4" s="3279"/>
      <c r="E4" s="3280" t="s">
        <v>2644</v>
      </c>
      <c r="F4" s="3281"/>
      <c r="G4" s="3278" t="s">
        <v>2645</v>
      </c>
      <c r="H4" s="3279"/>
      <c r="I4" s="3278" t="s">
        <v>2646</v>
      </c>
      <c r="J4" s="3279"/>
      <c r="K4" s="609" t="s">
        <v>2647</v>
      </c>
      <c r="L4" s="1129"/>
      <c r="M4" s="1130"/>
      <c r="N4" s="1130"/>
      <c r="O4" s="1130"/>
      <c r="P4" s="3282" t="s">
        <v>2648</v>
      </c>
      <c r="Q4" s="3283"/>
      <c r="R4" s="3264" t="s">
        <v>2644</v>
      </c>
      <c r="S4" s="3265"/>
      <c r="T4" s="3264" t="s">
        <v>2645</v>
      </c>
      <c r="U4" s="3265"/>
      <c r="V4" s="3261" t="s">
        <v>2646</v>
      </c>
      <c r="W4" s="3261"/>
      <c r="X4" s="1812"/>
      <c r="Y4" s="3264" t="s">
        <v>2648</v>
      </c>
      <c r="Z4" s="3265"/>
      <c r="AA4" s="3258" t="s">
        <v>2644</v>
      </c>
      <c r="AB4" s="3261" t="s">
        <v>2645</v>
      </c>
      <c r="AC4" s="3258" t="s">
        <v>2646</v>
      </c>
    </row>
    <row r="5" spans="1:29" ht="15">
      <c r="A5" s="403"/>
      <c r="B5" s="404"/>
      <c r="C5" s="3270" t="s">
        <v>2539</v>
      </c>
      <c r="D5" s="3271"/>
      <c r="E5" s="3268" t="s">
        <v>3271</v>
      </c>
      <c r="F5" s="3269"/>
      <c r="G5" s="3274" t="s">
        <v>3273</v>
      </c>
      <c r="H5" s="3271"/>
      <c r="I5" s="3274" t="s">
        <v>3272</v>
      </c>
      <c r="J5" s="3271"/>
      <c r="K5" s="609"/>
      <c r="L5" s="1129"/>
      <c r="M5" s="1130"/>
      <c r="N5" s="1130"/>
      <c r="O5" s="1130"/>
      <c r="P5" s="3284"/>
      <c r="Q5" s="3285"/>
      <c r="R5" s="3266"/>
      <c r="S5" s="3267"/>
      <c r="T5" s="3266"/>
      <c r="U5" s="3267"/>
      <c r="V5" s="3261"/>
      <c r="W5" s="3261"/>
      <c r="X5" s="1812"/>
      <c r="Y5" s="3266"/>
      <c r="Z5" s="3267"/>
      <c r="AA5" s="3259"/>
      <c r="AB5" s="3261"/>
      <c r="AC5" s="3259"/>
    </row>
    <row r="6" spans="1:29" ht="15.75" thickBot="1">
      <c r="A6" s="405"/>
      <c r="B6" s="406"/>
      <c r="C6" s="3272" t="s">
        <v>2543</v>
      </c>
      <c r="D6" s="3273"/>
      <c r="E6" s="3275" t="s">
        <v>2543</v>
      </c>
      <c r="F6" s="3276"/>
      <c r="G6" s="3275" t="s">
        <v>2543</v>
      </c>
      <c r="H6" s="3276"/>
      <c r="I6" s="3272" t="s">
        <v>2543</v>
      </c>
      <c r="J6" s="3273"/>
      <c r="K6" s="609" t="s">
        <v>2544</v>
      </c>
      <c r="L6" s="1129"/>
      <c r="M6" s="1130"/>
      <c r="N6" s="1130"/>
      <c r="O6" s="1130"/>
      <c r="P6" s="3286"/>
      <c r="Q6" s="3287"/>
      <c r="R6" s="3266"/>
      <c r="S6" s="3267"/>
      <c r="T6" s="3288"/>
      <c r="U6" s="3289"/>
      <c r="V6" s="3261"/>
      <c r="W6" s="3261"/>
      <c r="X6" s="1812"/>
      <c r="Y6" s="3288"/>
      <c r="Z6" s="3289"/>
      <c r="AA6" s="3260"/>
      <c r="AB6" s="3261"/>
      <c r="AC6" s="3260"/>
    </row>
    <row r="7" spans="1:29" s="116" customFormat="1" ht="15.75" thickBot="1">
      <c r="A7" s="407" t="s">
        <v>2545</v>
      </c>
      <c r="B7" s="408"/>
      <c r="C7" s="409">
        <f>'数据-取费表'!B2</f>
        <v>43634</v>
      </c>
      <c r="D7" s="410">
        <v>100</v>
      </c>
      <c r="E7" s="411">
        <v>43634</v>
      </c>
      <c r="F7" s="412">
        <f>SUMIF(58:58,YEAR(E7)&amp;"-"&amp;MONTH(E7),59:59)</f>
        <v>100</v>
      </c>
      <c r="G7" s="411">
        <v>43634</v>
      </c>
      <c r="H7" s="410">
        <f>SUMIF(58:58,YEAR(G7)&amp;"-"&amp;MONTH(G7),59:59)</f>
        <v>100</v>
      </c>
      <c r="I7" s="411">
        <v>43634</v>
      </c>
      <c r="J7" s="410">
        <f>SUMIF(58:58,YEAR(I7)&amp;"-"&amp;MONTH(I7),59:59)</f>
        <v>100</v>
      </c>
      <c r="K7" s="610"/>
      <c r="L7" s="1131"/>
      <c r="M7" s="1132"/>
      <c r="N7" s="1132"/>
      <c r="O7" s="1132"/>
      <c r="P7" s="3262" t="s">
        <v>2546</v>
      </c>
      <c r="Q7" s="3290"/>
      <c r="R7" s="769" t="s">
        <v>17</v>
      </c>
      <c r="S7" s="770">
        <f t="shared" ref="S7:S15" si="0">F7</f>
        <v>100</v>
      </c>
      <c r="T7" s="769" t="s">
        <v>17</v>
      </c>
      <c r="U7" s="770">
        <f t="shared" ref="U7:U15" si="1">H7</f>
        <v>100</v>
      </c>
      <c r="V7" s="769" t="s">
        <v>17</v>
      </c>
      <c r="W7" s="770">
        <f t="shared" ref="W7:W15" si="2">J7</f>
        <v>100</v>
      </c>
      <c r="X7" s="771"/>
      <c r="Y7" s="3262" t="s">
        <v>2546</v>
      </c>
      <c r="Z7" s="3263"/>
      <c r="AA7" s="772">
        <f>D7/F7</f>
        <v>1</v>
      </c>
      <c r="AB7" s="772">
        <f>D7/H7</f>
        <v>1</v>
      </c>
      <c r="AC7" s="772">
        <f>D7/J7</f>
        <v>1</v>
      </c>
    </row>
    <row r="8" spans="1:29" s="116" customFormat="1" ht="15.75" thickBot="1">
      <c r="A8" s="407" t="s">
        <v>2547</v>
      </c>
      <c r="B8" s="408"/>
      <c r="C8" s="413" t="s">
        <v>2649</v>
      </c>
      <c r="D8" s="410">
        <v>100</v>
      </c>
      <c r="E8" s="413" t="s">
        <v>2649</v>
      </c>
      <c r="F8" s="412">
        <f>SUMIF(61:61,E8,62:62)-SUMIF(61:61,C8,62:62)+100</f>
        <v>100</v>
      </c>
      <c r="G8" s="413" t="s">
        <v>3226</v>
      </c>
      <c r="H8" s="410">
        <f>SUMIF(61:61,G8,62:62)-SUMIF(61:61,C8,62:62)+100</f>
        <v>100</v>
      </c>
      <c r="I8" s="413" t="s">
        <v>2649</v>
      </c>
      <c r="J8" s="410">
        <f>SUMIF(61:61,I8,62:62)-SUMIF(61:61,C8,62:62)+100</f>
        <v>100</v>
      </c>
      <c r="K8" s="610"/>
      <c r="L8" s="1131"/>
      <c r="M8" s="1132"/>
      <c r="N8" s="1132"/>
      <c r="O8" s="1132"/>
      <c r="P8" s="3262" t="s">
        <v>2549</v>
      </c>
      <c r="Q8" s="3263"/>
      <c r="R8" s="769" t="s">
        <v>17</v>
      </c>
      <c r="S8" s="770">
        <f t="shared" si="0"/>
        <v>100</v>
      </c>
      <c r="T8" s="769" t="s">
        <v>17</v>
      </c>
      <c r="U8" s="770">
        <f t="shared" si="1"/>
        <v>100</v>
      </c>
      <c r="V8" s="769" t="s">
        <v>17</v>
      </c>
      <c r="W8" s="770">
        <f t="shared" si="2"/>
        <v>100</v>
      </c>
      <c r="X8" s="771"/>
      <c r="Y8" s="3262" t="s">
        <v>2549</v>
      </c>
      <c r="Z8" s="3263"/>
      <c r="AA8" s="772">
        <f t="shared" ref="AA8:AA46" si="3">D8/F8</f>
        <v>1</v>
      </c>
      <c r="AB8" s="772">
        <f t="shared" ref="AB8:AB46" si="4">D8/H8</f>
        <v>1</v>
      </c>
      <c r="AC8" s="772">
        <f t="shared" ref="AC8:AC46" si="5">D8/J8</f>
        <v>1</v>
      </c>
    </row>
    <row r="9" spans="1:29" s="116" customFormat="1">
      <c r="A9" s="414" t="s">
        <v>2550</v>
      </c>
      <c r="B9" s="71" t="s">
        <v>2551</v>
      </c>
      <c r="C9" s="3039" t="s">
        <v>3235</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77" t="s">
        <v>2552</v>
      </c>
      <c r="Q9" s="1794" t="str">
        <f t="shared" ref="Q9:Q15" si="6">B9</f>
        <v>用途</v>
      </c>
      <c r="R9" s="769" t="s">
        <v>17</v>
      </c>
      <c r="S9" s="770">
        <f t="shared" si="0"/>
        <v>100</v>
      </c>
      <c r="T9" s="769" t="s">
        <v>17</v>
      </c>
      <c r="U9" s="770">
        <f t="shared" si="1"/>
        <v>100</v>
      </c>
      <c r="V9" s="769" t="s">
        <v>17</v>
      </c>
      <c r="W9" s="770">
        <f t="shared" si="2"/>
        <v>100</v>
      </c>
      <c r="X9" s="771"/>
      <c r="Y9" s="3130" t="s">
        <v>2553</v>
      </c>
      <c r="Z9" s="55" t="str">
        <f t="shared" ref="Z9:Z15" si="7">Q9</f>
        <v>用途</v>
      </c>
      <c r="AA9" s="772">
        <f t="shared" si="3"/>
        <v>1</v>
      </c>
      <c r="AB9" s="772">
        <f t="shared" si="4"/>
        <v>1</v>
      </c>
      <c r="AC9" s="772">
        <f t="shared" si="5"/>
        <v>1</v>
      </c>
    </row>
    <row r="10" spans="1:29" s="426" customFormat="1" ht="27.75" thickBot="1">
      <c r="A10" s="420"/>
      <c r="B10" s="421" t="s">
        <v>2554</v>
      </c>
      <c r="C10" s="422" t="s">
        <v>3236</v>
      </c>
      <c r="D10" s="135">
        <v>100</v>
      </c>
      <c r="E10" s="422" t="s">
        <v>3236</v>
      </c>
      <c r="F10" s="424">
        <f>SUMIF(65:65,E10,66:66)-SUMIF(65:65,C10,66:66)+100</f>
        <v>100</v>
      </c>
      <c r="G10" s="422" t="s">
        <v>3274</v>
      </c>
      <c r="H10" s="135">
        <f>SUMIF(65:65,G10,66:66)-SUMIF(65:65,C10,66:66)+100</f>
        <v>98</v>
      </c>
      <c r="I10" s="422" t="s">
        <v>3236</v>
      </c>
      <c r="J10" s="135">
        <f>SUMIF(65:65,I10,66:66)-SUMIF(65:65,C10,66:66)+100</f>
        <v>100</v>
      </c>
      <c r="K10" s="611">
        <v>2</v>
      </c>
      <c r="L10" s="1134"/>
      <c r="M10" s="1135"/>
      <c r="N10" s="1135"/>
      <c r="O10" s="1135"/>
      <c r="P10" s="3277"/>
      <c r="Q10" s="1794" t="str">
        <f t="shared" si="6"/>
        <v>土地使用年限（年）</v>
      </c>
      <c r="R10" s="769" t="s">
        <v>17</v>
      </c>
      <c r="S10" s="770">
        <f t="shared" si="0"/>
        <v>100</v>
      </c>
      <c r="T10" s="769" t="s">
        <v>17</v>
      </c>
      <c r="U10" s="770">
        <f t="shared" si="1"/>
        <v>98</v>
      </c>
      <c r="V10" s="769" t="s">
        <v>17</v>
      </c>
      <c r="W10" s="770">
        <f t="shared" si="2"/>
        <v>100</v>
      </c>
      <c r="X10" s="771"/>
      <c r="Y10" s="3130"/>
      <c r="Z10" s="55" t="str">
        <f t="shared" si="7"/>
        <v>土地使用年限（年）</v>
      </c>
      <c r="AA10" s="772">
        <f t="shared" si="3"/>
        <v>1</v>
      </c>
      <c r="AB10" s="772">
        <f t="shared" si="4"/>
        <v>1.0204081632653061</v>
      </c>
      <c r="AC10" s="772">
        <f t="shared" si="5"/>
        <v>1</v>
      </c>
    </row>
    <row r="11" spans="1:29" ht="15" hidden="1">
      <c r="A11" s="427"/>
      <c r="B11" s="421" t="s">
        <v>2555</v>
      </c>
      <c r="C11" s="428">
        <f>'数据-汇总表'!I6</f>
        <v>3.06</v>
      </c>
      <c r="D11" s="135">
        <v>100</v>
      </c>
      <c r="E11" s="429">
        <v>3</v>
      </c>
      <c r="F11" s="424">
        <f>LOOKUP(E11,68:68,69:69)-LOOKUP(C11,68:68,69:69)+100</f>
        <v>100</v>
      </c>
      <c r="G11" s="428">
        <v>3</v>
      </c>
      <c r="H11" s="135">
        <f>LOOKUP(G11,68:68,69:69)-LOOKUP(C11,68:68,69:69)+100</f>
        <v>100</v>
      </c>
      <c r="I11" s="428">
        <v>3</v>
      </c>
      <c r="J11" s="135">
        <f>LOOKUP(I11,68:68,69:69)-LOOKUP(C11,68:68,69:69)+100</f>
        <v>100</v>
      </c>
      <c r="K11" s="611">
        <v>0</v>
      </c>
      <c r="L11" s="1137"/>
      <c r="M11" s="1130"/>
      <c r="N11" s="1130"/>
      <c r="O11" s="1130"/>
      <c r="P11" s="3277"/>
      <c r="Q11" s="1794" t="str">
        <f t="shared" si="6"/>
        <v>容积率</v>
      </c>
      <c r="R11" s="769" t="s">
        <v>17</v>
      </c>
      <c r="S11" s="770">
        <f t="shared" si="0"/>
        <v>100</v>
      </c>
      <c r="T11" s="769" t="s">
        <v>17</v>
      </c>
      <c r="U11" s="770">
        <f t="shared" si="1"/>
        <v>100</v>
      </c>
      <c r="V11" s="769" t="s">
        <v>17</v>
      </c>
      <c r="W11" s="770">
        <f t="shared" si="2"/>
        <v>100</v>
      </c>
      <c r="X11" s="771"/>
      <c r="Y11" s="3130"/>
      <c r="Z11" s="55" t="str">
        <f t="shared" si="7"/>
        <v>容积率</v>
      </c>
      <c r="AA11" s="772">
        <f t="shared" si="3"/>
        <v>1</v>
      </c>
      <c r="AB11" s="772">
        <f t="shared" si="4"/>
        <v>1</v>
      </c>
      <c r="AC11" s="772">
        <f t="shared" si="5"/>
        <v>1</v>
      </c>
    </row>
    <row r="12" spans="1:29" s="116" customFormat="1" ht="15" hidden="1">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77"/>
      <c r="Q12" s="1794">
        <f t="shared" si="6"/>
        <v>111</v>
      </c>
      <c r="R12" s="769" t="s">
        <v>17</v>
      </c>
      <c r="S12" s="770">
        <f t="shared" si="0"/>
        <v>100</v>
      </c>
      <c r="T12" s="769" t="s">
        <v>17</v>
      </c>
      <c r="U12" s="770">
        <f t="shared" si="1"/>
        <v>100</v>
      </c>
      <c r="V12" s="769" t="s">
        <v>17</v>
      </c>
      <c r="W12" s="770">
        <f t="shared" si="2"/>
        <v>100</v>
      </c>
      <c r="X12" s="771"/>
      <c r="Y12" s="3130"/>
      <c r="Z12" s="55">
        <f t="shared" si="7"/>
        <v>111</v>
      </c>
      <c r="AA12" s="772">
        <f>D12/F12</f>
        <v>1</v>
      </c>
      <c r="AB12" s="772">
        <f>D12/H12</f>
        <v>1</v>
      </c>
      <c r="AC12" s="772">
        <f>D12/J12</f>
        <v>1</v>
      </c>
    </row>
    <row r="13" spans="1:29" ht="15" hidden="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77"/>
      <c r="Q13" s="1794">
        <f t="shared" si="6"/>
        <v>111</v>
      </c>
      <c r="R13" s="769" t="s">
        <v>17</v>
      </c>
      <c r="S13" s="770">
        <f t="shared" si="0"/>
        <v>100</v>
      </c>
      <c r="T13" s="769" t="s">
        <v>17</v>
      </c>
      <c r="U13" s="770">
        <f t="shared" si="1"/>
        <v>100</v>
      </c>
      <c r="V13" s="769" t="s">
        <v>17</v>
      </c>
      <c r="W13" s="770">
        <f t="shared" si="2"/>
        <v>100</v>
      </c>
      <c r="X13" s="771"/>
      <c r="Y13" s="3130"/>
      <c r="Z13" s="55">
        <f t="shared" si="7"/>
        <v>111</v>
      </c>
      <c r="AA13" s="772">
        <f t="shared" si="3"/>
        <v>1</v>
      </c>
      <c r="AB13" s="772">
        <f t="shared" si="4"/>
        <v>1</v>
      </c>
      <c r="AC13" s="772">
        <f t="shared" si="5"/>
        <v>1</v>
      </c>
    </row>
    <row r="14" spans="1:29" ht="15.75" hidden="1"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77"/>
      <c r="Q14" s="1794">
        <f t="shared" si="6"/>
        <v>111</v>
      </c>
      <c r="R14" s="769" t="s">
        <v>17</v>
      </c>
      <c r="S14" s="770">
        <f t="shared" si="0"/>
        <v>100</v>
      </c>
      <c r="T14" s="769" t="s">
        <v>17</v>
      </c>
      <c r="U14" s="770">
        <f t="shared" si="1"/>
        <v>100</v>
      </c>
      <c r="V14" s="769" t="s">
        <v>17</v>
      </c>
      <c r="W14" s="770">
        <f t="shared" si="2"/>
        <v>100</v>
      </c>
      <c r="X14" s="771"/>
      <c r="Y14" s="3130"/>
      <c r="Z14" s="55">
        <f t="shared" si="7"/>
        <v>111</v>
      </c>
      <c r="AA14" s="772">
        <f t="shared" si="3"/>
        <v>1</v>
      </c>
      <c r="AB14" s="772">
        <f t="shared" si="4"/>
        <v>1</v>
      </c>
      <c r="AC14" s="772">
        <f t="shared" si="5"/>
        <v>1</v>
      </c>
    </row>
    <row r="15" spans="1:29" ht="15">
      <c r="A15" s="439" t="s">
        <v>2556</v>
      </c>
      <c r="B15" s="69" t="s">
        <v>2650</v>
      </c>
      <c r="C15" s="2603" t="str">
        <f>估价对象房地状况!C4</f>
        <v>较好</v>
      </c>
      <c r="D15" s="440">
        <v>100</v>
      </c>
      <c r="E15" s="441"/>
      <c r="F15" s="442">
        <f>SUMIF(76:76,E16,77:77)-SUMIF(76:76,C16,77:77)+100</f>
        <v>98</v>
      </c>
      <c r="G15" s="443"/>
      <c r="H15" s="440">
        <f>SUMIF(76:76,G16,77:77)-SUMIF(76:76,C16,77:77)+100</f>
        <v>100</v>
      </c>
      <c r="I15" s="441"/>
      <c r="J15" s="440">
        <f>SUMIF(76:76,I16,77:77)-SUMIF(76:76,C16,77:77)+100</f>
        <v>100</v>
      </c>
      <c r="K15" s="613">
        <v>2</v>
      </c>
      <c r="L15" s="1139"/>
      <c r="M15" s="1130"/>
      <c r="N15" s="1130"/>
      <c r="O15" s="1130"/>
      <c r="P15" s="3291" t="s">
        <v>2557</v>
      </c>
      <c r="Q15" s="1809" t="str">
        <f t="shared" si="6"/>
        <v>商业繁华度</v>
      </c>
      <c r="R15" s="773" t="s">
        <v>17</v>
      </c>
      <c r="S15" s="774">
        <f t="shared" si="0"/>
        <v>98</v>
      </c>
      <c r="T15" s="773" t="s">
        <v>17</v>
      </c>
      <c r="U15" s="774">
        <f t="shared" si="1"/>
        <v>100</v>
      </c>
      <c r="V15" s="773" t="s">
        <v>17</v>
      </c>
      <c r="W15" s="774">
        <f t="shared" si="2"/>
        <v>100</v>
      </c>
      <c r="X15" s="1812"/>
      <c r="Y15" s="3293" t="s">
        <v>2557</v>
      </c>
      <c r="Z15" s="1813" t="str">
        <f t="shared" si="7"/>
        <v>商业繁华度</v>
      </c>
      <c r="AA15" s="1810">
        <f t="shared" si="3"/>
        <v>1.0204081632653061</v>
      </c>
      <c r="AB15" s="1810">
        <f t="shared" si="4"/>
        <v>1</v>
      </c>
      <c r="AC15" s="1810">
        <f t="shared" si="5"/>
        <v>1</v>
      </c>
    </row>
    <row r="16" spans="1:29" ht="15">
      <c r="A16" s="427"/>
      <c r="B16" s="445"/>
      <c r="C16" s="446" t="s">
        <v>3229</v>
      </c>
      <c r="D16" s="447"/>
      <c r="E16" s="446" t="s">
        <v>3239</v>
      </c>
      <c r="F16" s="448"/>
      <c r="G16" s="446" t="s">
        <v>3229</v>
      </c>
      <c r="H16" s="449"/>
      <c r="I16" s="446" t="s">
        <v>3229</v>
      </c>
      <c r="J16" s="447"/>
      <c r="K16" s="614"/>
      <c r="L16" s="1139"/>
      <c r="M16" s="1130"/>
      <c r="N16" s="1130"/>
      <c r="O16" s="1130"/>
      <c r="P16" s="3292"/>
      <c r="Q16" s="1809"/>
      <c r="R16" s="773"/>
      <c r="S16" s="774"/>
      <c r="T16" s="773"/>
      <c r="U16" s="774"/>
      <c r="V16" s="773"/>
      <c r="W16" s="774"/>
      <c r="X16" s="1812"/>
      <c r="Y16" s="3294"/>
      <c r="Z16" s="1813"/>
      <c r="AA16" s="1810">
        <v>1</v>
      </c>
      <c r="AB16" s="1810">
        <v>1</v>
      </c>
      <c r="AC16" s="1810">
        <v>1</v>
      </c>
    </row>
    <row r="17" spans="1:29" ht="15">
      <c r="A17" s="427"/>
      <c r="B17" s="450" t="s">
        <v>2094</v>
      </c>
      <c r="C17" s="2607" t="str">
        <f>估价对象房地状况!C6</f>
        <v>较好</v>
      </c>
      <c r="D17" s="449">
        <v>100</v>
      </c>
      <c r="E17" s="451"/>
      <c r="F17" s="452">
        <f>SUMIF(78:78,E18,79:79)-SUMIF(78:78,C18,79:79)+100</f>
        <v>98</v>
      </c>
      <c r="G17" s="453"/>
      <c r="H17" s="454">
        <f>SUMIF(78:78,G18,79:79)-SUMIF(78:78,C18,79:79)+100</f>
        <v>100</v>
      </c>
      <c r="I17" s="451"/>
      <c r="J17" s="454">
        <f>SUMIF(78:78,I18,79:79)-SUMIF(78:78,C18,79:79)+100</f>
        <v>100</v>
      </c>
      <c r="K17" s="613">
        <v>2</v>
      </c>
      <c r="L17" s="1139"/>
      <c r="M17" s="1130"/>
      <c r="N17" s="1130"/>
      <c r="O17" s="1130"/>
      <c r="P17" s="3292"/>
      <c r="Q17" s="1809" t="str">
        <f>B17</f>
        <v>交通便捷度</v>
      </c>
      <c r="R17" s="773" t="s">
        <v>17</v>
      </c>
      <c r="S17" s="774">
        <f>F17</f>
        <v>98</v>
      </c>
      <c r="T17" s="773" t="s">
        <v>17</v>
      </c>
      <c r="U17" s="774">
        <f>H17</f>
        <v>100</v>
      </c>
      <c r="V17" s="773" t="s">
        <v>17</v>
      </c>
      <c r="W17" s="774">
        <f>J17</f>
        <v>100</v>
      </c>
      <c r="X17" s="1812"/>
      <c r="Y17" s="3294"/>
      <c r="Z17" s="1813" t="str">
        <f>Q17</f>
        <v>交通便捷度</v>
      </c>
      <c r="AA17" s="1810">
        <f t="shared" si="3"/>
        <v>1.0204081632653061</v>
      </c>
      <c r="AB17" s="1810">
        <f t="shared" si="4"/>
        <v>1</v>
      </c>
      <c r="AC17" s="1810">
        <f t="shared" si="5"/>
        <v>1</v>
      </c>
    </row>
    <row r="18" spans="1:29" ht="15">
      <c r="A18" s="427"/>
      <c r="B18" s="455"/>
      <c r="C18" s="2608" t="s">
        <v>3229</v>
      </c>
      <c r="D18" s="449"/>
      <c r="E18" s="2610" t="s">
        <v>3239</v>
      </c>
      <c r="F18" s="452"/>
      <c r="G18" s="2609" t="s">
        <v>3229</v>
      </c>
      <c r="H18" s="447"/>
      <c r="I18" s="2610" t="s">
        <v>3229</v>
      </c>
      <c r="J18" s="447"/>
      <c r="K18" s="614"/>
      <c r="L18" s="1139"/>
      <c r="M18" s="1130"/>
      <c r="N18" s="1130"/>
      <c r="O18" s="1130"/>
      <c r="P18" s="3292"/>
      <c r="Q18" s="1809"/>
      <c r="R18" s="773"/>
      <c r="S18" s="774"/>
      <c r="T18" s="773"/>
      <c r="U18" s="774"/>
      <c r="V18" s="773"/>
      <c r="W18" s="774"/>
      <c r="X18" s="1812"/>
      <c r="Y18" s="3294"/>
      <c r="Z18" s="1813"/>
      <c r="AA18" s="1810">
        <v>1</v>
      </c>
      <c r="AB18" s="1810">
        <v>1</v>
      </c>
      <c r="AC18" s="1810">
        <v>1</v>
      </c>
    </row>
    <row r="19" spans="1:29" ht="15">
      <c r="A19" s="427"/>
      <c r="B19" s="450" t="s">
        <v>2651</v>
      </c>
      <c r="C19" s="2607"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92"/>
      <c r="Q19" s="1809" t="str">
        <f>B19</f>
        <v>公共配套设施</v>
      </c>
      <c r="R19" s="773" t="s">
        <v>17</v>
      </c>
      <c r="S19" s="774">
        <f>F19</f>
        <v>100</v>
      </c>
      <c r="T19" s="773" t="s">
        <v>17</v>
      </c>
      <c r="U19" s="774">
        <f>H19</f>
        <v>100</v>
      </c>
      <c r="V19" s="773" t="s">
        <v>17</v>
      </c>
      <c r="W19" s="774">
        <f>J19</f>
        <v>100</v>
      </c>
      <c r="X19" s="1812"/>
      <c r="Y19" s="3294"/>
      <c r="Z19" s="1813" t="str">
        <f>Q19</f>
        <v>公共配套设施</v>
      </c>
      <c r="AA19" s="1810">
        <f t="shared" si="3"/>
        <v>1</v>
      </c>
      <c r="AB19" s="1810">
        <f t="shared" si="4"/>
        <v>1</v>
      </c>
      <c r="AC19" s="1810">
        <f t="shared" si="5"/>
        <v>1</v>
      </c>
    </row>
    <row r="20" spans="1:29" ht="15">
      <c r="A20" s="427"/>
      <c r="B20" s="455"/>
      <c r="C20" s="446" t="s">
        <v>3229</v>
      </c>
      <c r="D20" s="447"/>
      <c r="E20" s="2605" t="s">
        <v>3229</v>
      </c>
      <c r="F20" s="448"/>
      <c r="G20" s="2604" t="s">
        <v>3229</v>
      </c>
      <c r="H20" s="447"/>
      <c r="I20" s="2604" t="s">
        <v>3229</v>
      </c>
      <c r="J20" s="447"/>
      <c r="K20" s="614"/>
      <c r="L20" s="1139"/>
      <c r="M20" s="1130"/>
      <c r="N20" s="1130"/>
      <c r="O20" s="1130"/>
      <c r="P20" s="3292"/>
      <c r="Q20" s="1809"/>
      <c r="R20" s="773"/>
      <c r="S20" s="774"/>
      <c r="T20" s="773"/>
      <c r="U20" s="774"/>
      <c r="V20" s="773"/>
      <c r="W20" s="774"/>
      <c r="X20" s="1812"/>
      <c r="Y20" s="3294"/>
      <c r="Z20" s="1813"/>
      <c r="AA20" s="1810">
        <v>1</v>
      </c>
      <c r="AB20" s="1810">
        <v>1</v>
      </c>
      <c r="AC20" s="1810">
        <v>1</v>
      </c>
    </row>
    <row r="21" spans="1:29" ht="15">
      <c r="A21" s="427"/>
      <c r="B21" s="1383" t="s">
        <v>2652</v>
      </c>
      <c r="C21" s="2607"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92"/>
      <c r="Q21" s="1809" t="str">
        <f>B21</f>
        <v>基础设施水平</v>
      </c>
      <c r="R21" s="773" t="s">
        <v>17</v>
      </c>
      <c r="S21" s="774">
        <f>F21</f>
        <v>100</v>
      </c>
      <c r="T21" s="773" t="s">
        <v>17</v>
      </c>
      <c r="U21" s="774">
        <f>H21</f>
        <v>100</v>
      </c>
      <c r="V21" s="773" t="s">
        <v>17</v>
      </c>
      <c r="W21" s="774">
        <f>J21</f>
        <v>100</v>
      </c>
      <c r="X21" s="1812"/>
      <c r="Y21" s="3294"/>
      <c r="Z21" s="1813" t="str">
        <f>Q21</f>
        <v>基础设施水平</v>
      </c>
      <c r="AA21" s="1810">
        <f t="shared" ref="AA21" si="8">D21/F21</f>
        <v>1</v>
      </c>
      <c r="AB21" s="1810">
        <f t="shared" ref="AB21" si="9">D21/H21</f>
        <v>1</v>
      </c>
      <c r="AC21" s="1810">
        <f t="shared" ref="AC21" si="10">D21/J21</f>
        <v>1</v>
      </c>
    </row>
    <row r="22" spans="1:29" ht="15">
      <c r="A22" s="427"/>
      <c r="B22" s="1383"/>
      <c r="C22" s="2608" t="s">
        <v>3230</v>
      </c>
      <c r="D22" s="447"/>
      <c r="E22" s="446" t="s">
        <v>3230</v>
      </c>
      <c r="F22" s="448"/>
      <c r="G22" s="446" t="s">
        <v>3230</v>
      </c>
      <c r="H22" s="447"/>
      <c r="I22" s="446" t="s">
        <v>3230</v>
      </c>
      <c r="J22" s="447"/>
      <c r="K22" s="1382"/>
      <c r="L22" s="1139"/>
      <c r="M22" s="1130"/>
      <c r="N22" s="1130"/>
      <c r="O22" s="1130"/>
      <c r="P22" s="3292"/>
      <c r="Q22" s="1809"/>
      <c r="R22" s="773"/>
      <c r="S22" s="774"/>
      <c r="T22" s="773"/>
      <c r="U22" s="774"/>
      <c r="V22" s="773"/>
      <c r="W22" s="774"/>
      <c r="X22" s="1812"/>
      <c r="Y22" s="3294"/>
      <c r="Z22" s="1813"/>
      <c r="AA22" s="1810">
        <v>1</v>
      </c>
      <c r="AB22" s="1810">
        <v>1</v>
      </c>
      <c r="AC22" s="1810">
        <v>1</v>
      </c>
    </row>
    <row r="23" spans="1:29" ht="15">
      <c r="A23" s="427"/>
      <c r="B23" s="450" t="s">
        <v>2099</v>
      </c>
      <c r="C23" s="2664" t="str">
        <f>估价对象房地状况!C9</f>
        <v>一般</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292"/>
      <c r="Q23" s="1809" t="str">
        <f>B23</f>
        <v>自然及人文环境</v>
      </c>
      <c r="R23" s="773" t="s">
        <v>17</v>
      </c>
      <c r="S23" s="774">
        <f>F23</f>
        <v>100</v>
      </c>
      <c r="T23" s="773" t="s">
        <v>17</v>
      </c>
      <c r="U23" s="774">
        <f>H23</f>
        <v>100</v>
      </c>
      <c r="V23" s="773" t="s">
        <v>17</v>
      </c>
      <c r="W23" s="774">
        <f>J23</f>
        <v>100</v>
      </c>
      <c r="X23" s="1812"/>
      <c r="Y23" s="3294"/>
      <c r="Z23" s="1813" t="str">
        <f>Q23</f>
        <v>自然及人文环境</v>
      </c>
      <c r="AA23" s="1810">
        <f t="shared" si="3"/>
        <v>1</v>
      </c>
      <c r="AB23" s="1810">
        <f t="shared" si="4"/>
        <v>1</v>
      </c>
      <c r="AC23" s="1810">
        <f t="shared" si="5"/>
        <v>1</v>
      </c>
    </row>
    <row r="24" spans="1:29" ht="15">
      <c r="A24" s="427"/>
      <c r="B24" s="455"/>
      <c r="C24" s="446" t="s">
        <v>3239</v>
      </c>
      <c r="D24" s="447"/>
      <c r="E24" s="446" t="s">
        <v>3239</v>
      </c>
      <c r="F24" s="448"/>
      <c r="G24" s="446" t="s">
        <v>3239</v>
      </c>
      <c r="H24" s="447"/>
      <c r="I24" s="446" t="s">
        <v>3239</v>
      </c>
      <c r="J24" s="447"/>
      <c r="K24" s="614"/>
      <c r="L24" s="1139"/>
      <c r="M24" s="1130"/>
      <c r="N24" s="1130"/>
      <c r="O24" s="1130"/>
      <c r="P24" s="3292"/>
      <c r="Q24" s="1809"/>
      <c r="R24" s="773"/>
      <c r="S24" s="774"/>
      <c r="T24" s="773"/>
      <c r="U24" s="774"/>
      <c r="V24" s="773"/>
      <c r="W24" s="774"/>
      <c r="X24" s="1812"/>
      <c r="Y24" s="3294"/>
      <c r="Z24" s="1813"/>
      <c r="AA24" s="1810">
        <v>1</v>
      </c>
      <c r="AB24" s="1810">
        <v>1</v>
      </c>
      <c r="AC24" s="1810">
        <v>1</v>
      </c>
    </row>
    <row r="25" spans="1:29" ht="15">
      <c r="A25" s="427"/>
      <c r="B25" s="421" t="s">
        <v>2653</v>
      </c>
      <c r="C25" s="615" t="s">
        <v>3233</v>
      </c>
      <c r="D25" s="434">
        <v>100</v>
      </c>
      <c r="E25" s="615" t="s">
        <v>3233</v>
      </c>
      <c r="F25" s="460">
        <f>SUMIF(86:86,E25,87:87)-SUMIF(86:86,C25,87:87)+100</f>
        <v>100</v>
      </c>
      <c r="G25" s="615" t="s">
        <v>3233</v>
      </c>
      <c r="H25" s="434">
        <f>SUMIF(86:86,G25,87:87)-SUMIF(86:86,C25,87:87)+100</f>
        <v>100</v>
      </c>
      <c r="I25" s="615" t="s">
        <v>3233</v>
      </c>
      <c r="J25" s="434">
        <f>SUMIF(86:86,I25,87:87)-SUMIF(86:86,C25,87:87)+100</f>
        <v>100</v>
      </c>
      <c r="K25" s="611">
        <v>2</v>
      </c>
      <c r="L25" s="1139"/>
      <c r="M25" s="1130"/>
      <c r="N25" s="1130"/>
      <c r="O25" s="1130"/>
      <c r="P25" s="3292"/>
      <c r="Q25" s="1809" t="str">
        <f t="shared" ref="Q25:Q46" si="11">B25</f>
        <v>临街状况</v>
      </c>
      <c r="R25" s="773" t="s">
        <v>17</v>
      </c>
      <c r="S25" s="774">
        <f>F25</f>
        <v>100</v>
      </c>
      <c r="T25" s="773" t="s">
        <v>17</v>
      </c>
      <c r="U25" s="774">
        <f>H25</f>
        <v>100</v>
      </c>
      <c r="V25" s="773" t="s">
        <v>17</v>
      </c>
      <c r="W25" s="774">
        <f>J25</f>
        <v>100</v>
      </c>
      <c r="X25" s="1812"/>
      <c r="Y25" s="3294"/>
      <c r="Z25" s="1813" t="str">
        <f>Q25</f>
        <v>临街状况</v>
      </c>
      <c r="AA25" s="1810">
        <f t="shared" si="3"/>
        <v>1</v>
      </c>
      <c r="AB25" s="1810">
        <f t="shared" si="4"/>
        <v>1</v>
      </c>
      <c r="AC25" s="1810">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2"/>
      <c r="Q26" s="1809" t="str">
        <f t="shared" si="11"/>
        <v>平面位置/可视性</v>
      </c>
      <c r="R26" s="773" t="s">
        <v>17</v>
      </c>
      <c r="S26" s="774">
        <f>F26</f>
        <v>100</v>
      </c>
      <c r="T26" s="773" t="s">
        <v>17</v>
      </c>
      <c r="U26" s="774">
        <f>H26</f>
        <v>100</v>
      </c>
      <c r="V26" s="773" t="s">
        <v>17</v>
      </c>
      <c r="W26" s="774">
        <f>J26</f>
        <v>100</v>
      </c>
      <c r="X26" s="1812"/>
      <c r="Y26" s="3294"/>
      <c r="Z26" s="1813" t="str">
        <f>Q26</f>
        <v>平面位置/可视性</v>
      </c>
      <c r="AA26" s="1810">
        <f t="shared" si="3"/>
        <v>1</v>
      </c>
      <c r="AB26" s="1810">
        <f t="shared" si="4"/>
        <v>1</v>
      </c>
      <c r="AC26" s="1810">
        <f t="shared" si="5"/>
        <v>1</v>
      </c>
    </row>
    <row r="27" spans="1:29" s="116" customFormat="1" ht="15">
      <c r="A27" s="430"/>
      <c r="B27" s="450" t="s">
        <v>2655</v>
      </c>
      <c r="C27" s="2665" t="s">
        <v>3238</v>
      </c>
      <c r="D27" s="461">
        <v>100</v>
      </c>
      <c r="E27" s="2665" t="s">
        <v>3239</v>
      </c>
      <c r="F27" s="463">
        <f>SUMIF(90:90,E27,91:91)-SUMIF(90:90,C27,91:91)+100</f>
        <v>98</v>
      </c>
      <c r="G27" s="2665" t="s">
        <v>3238</v>
      </c>
      <c r="H27" s="461">
        <f>SUMIF(90:90,G27,91:91)-SUMIF(90:90,C27,91:91)+100</f>
        <v>100</v>
      </c>
      <c r="I27" s="2665" t="s">
        <v>3238</v>
      </c>
      <c r="J27" s="461">
        <f>SUMIF(90:90,I27,91:91)-SUMIF(90:90,C27,91:91)+100</f>
        <v>100</v>
      </c>
      <c r="K27" s="611">
        <v>2</v>
      </c>
      <c r="L27" s="1131"/>
      <c r="M27" s="1132"/>
      <c r="N27" s="1132"/>
      <c r="O27" s="1132"/>
      <c r="P27" s="3292"/>
      <c r="Q27" s="1794" t="str">
        <f t="shared" si="11"/>
        <v>人流量</v>
      </c>
      <c r="R27" s="769" t="s">
        <v>17</v>
      </c>
      <c r="S27" s="770">
        <f>F27</f>
        <v>98</v>
      </c>
      <c r="T27" s="769" t="s">
        <v>17</v>
      </c>
      <c r="U27" s="770">
        <f>H27</f>
        <v>100</v>
      </c>
      <c r="V27" s="769" t="s">
        <v>17</v>
      </c>
      <c r="W27" s="770">
        <f>J27</f>
        <v>100</v>
      </c>
      <c r="X27" s="771"/>
      <c r="Y27" s="3294"/>
      <c r="Z27" s="55" t="str">
        <f>Q27</f>
        <v>人流量</v>
      </c>
      <c r="AA27" s="1810">
        <f>D27/F27</f>
        <v>1.0204081632653061</v>
      </c>
      <c r="AB27" s="1810">
        <f>D27/H27</f>
        <v>1</v>
      </c>
      <c r="AC27" s="1810">
        <f>D27/J27</f>
        <v>1</v>
      </c>
    </row>
    <row r="28" spans="1:29" ht="15.75" thickBot="1">
      <c r="A28" s="427"/>
      <c r="B28" s="421" t="s">
        <v>2656</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9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94"/>
      <c r="Z28" s="1813" t="str">
        <f t="shared" ref="Z28:Z46" si="15">Q28</f>
        <v>楼层</v>
      </c>
      <c r="AA28" s="1810">
        <f t="shared" si="3"/>
        <v>1</v>
      </c>
      <c r="AB28" s="1810">
        <f t="shared" si="4"/>
        <v>1</v>
      </c>
      <c r="AC28" s="1810">
        <f t="shared" si="5"/>
        <v>1</v>
      </c>
    </row>
    <row r="29" spans="1:29" ht="15" hidden="1">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2"/>
      <c r="Q29" s="1809">
        <f t="shared" si="11"/>
        <v>111</v>
      </c>
      <c r="R29" s="773" t="s">
        <v>17</v>
      </c>
      <c r="S29" s="774">
        <f t="shared" si="12"/>
        <v>100</v>
      </c>
      <c r="T29" s="773" t="s">
        <v>17</v>
      </c>
      <c r="U29" s="774">
        <f t="shared" si="13"/>
        <v>100</v>
      </c>
      <c r="V29" s="773" t="s">
        <v>17</v>
      </c>
      <c r="W29" s="774">
        <f t="shared" si="14"/>
        <v>100</v>
      </c>
      <c r="X29" s="1812"/>
      <c r="Y29" s="3294"/>
      <c r="Z29" s="1813">
        <f t="shared" si="15"/>
        <v>111</v>
      </c>
      <c r="AA29" s="1810">
        <f t="shared" si="3"/>
        <v>1</v>
      </c>
      <c r="AB29" s="1810">
        <f t="shared" si="4"/>
        <v>1</v>
      </c>
      <c r="AC29" s="1810">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2"/>
      <c r="Q30" s="1809">
        <f t="shared" si="11"/>
        <v>111</v>
      </c>
      <c r="R30" s="773" t="s">
        <v>17</v>
      </c>
      <c r="S30" s="774">
        <f t="shared" si="12"/>
        <v>100</v>
      </c>
      <c r="T30" s="773" t="s">
        <v>17</v>
      </c>
      <c r="U30" s="774">
        <f t="shared" si="13"/>
        <v>100</v>
      </c>
      <c r="V30" s="773" t="s">
        <v>17</v>
      </c>
      <c r="W30" s="774">
        <f t="shared" si="14"/>
        <v>100</v>
      </c>
      <c r="X30" s="1812"/>
      <c r="Y30" s="3294"/>
      <c r="Z30" s="1813">
        <f t="shared" si="15"/>
        <v>111</v>
      </c>
      <c r="AA30" s="1810">
        <f t="shared" si="3"/>
        <v>1</v>
      </c>
      <c r="AB30" s="1810">
        <f t="shared" si="4"/>
        <v>1</v>
      </c>
      <c r="AC30" s="1810">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2"/>
      <c r="Q31" s="1809">
        <f t="shared" si="11"/>
        <v>111</v>
      </c>
      <c r="R31" s="773" t="s">
        <v>17</v>
      </c>
      <c r="S31" s="774">
        <f t="shared" si="12"/>
        <v>100</v>
      </c>
      <c r="T31" s="773" t="s">
        <v>17</v>
      </c>
      <c r="U31" s="774">
        <f t="shared" si="13"/>
        <v>100</v>
      </c>
      <c r="V31" s="773" t="s">
        <v>17</v>
      </c>
      <c r="W31" s="774">
        <f t="shared" si="14"/>
        <v>100</v>
      </c>
      <c r="X31" s="1812"/>
      <c r="Y31" s="3294"/>
      <c r="Z31" s="1813">
        <f t="shared" si="15"/>
        <v>111</v>
      </c>
      <c r="AA31" s="1810">
        <f t="shared" si="3"/>
        <v>1</v>
      </c>
      <c r="AB31" s="1810">
        <f t="shared" si="4"/>
        <v>1</v>
      </c>
      <c r="AC31" s="1810">
        <f t="shared" si="5"/>
        <v>1</v>
      </c>
    </row>
    <row r="32" spans="1:29" ht="15">
      <c r="A32" s="439" t="s">
        <v>2560</v>
      </c>
      <c r="B32" s="3063" t="s">
        <v>2657</v>
      </c>
      <c r="C32" s="2617" t="s">
        <v>3260</v>
      </c>
      <c r="D32" s="466">
        <v>100</v>
      </c>
      <c r="E32" s="2617" t="s">
        <v>3290</v>
      </c>
      <c r="F32" s="460">
        <f>SUMIF(100:100,E32,101:101)-SUMIF(100:100,C32,101:101)+100</f>
        <v>94</v>
      </c>
      <c r="G32" s="2617" t="s">
        <v>3290</v>
      </c>
      <c r="H32" s="434">
        <f>SUMIF(100:100,G32,101:101)-SUMIF(100:100,C32,101:101)+100</f>
        <v>94</v>
      </c>
      <c r="I32" s="2617" t="s">
        <v>3290</v>
      </c>
      <c r="J32" s="466">
        <f>SUMIF(100:100,I32,101:101)-SUMIF(100:100,C32,101:101)+100</f>
        <v>94</v>
      </c>
      <c r="K32" s="611">
        <v>3</v>
      </c>
      <c r="L32" s="1139"/>
      <c r="M32" s="1130"/>
      <c r="N32" s="1130"/>
      <c r="O32" s="1130"/>
      <c r="P32" s="3295" t="s">
        <v>2562</v>
      </c>
      <c r="Q32" s="1809" t="str">
        <f t="shared" si="11"/>
        <v>商业类型</v>
      </c>
      <c r="R32" s="773" t="s">
        <v>17</v>
      </c>
      <c r="S32" s="774">
        <f t="shared" si="12"/>
        <v>94</v>
      </c>
      <c r="T32" s="773" t="s">
        <v>17</v>
      </c>
      <c r="U32" s="774">
        <f t="shared" si="13"/>
        <v>94</v>
      </c>
      <c r="V32" s="773" t="s">
        <v>17</v>
      </c>
      <c r="W32" s="774">
        <f t="shared" si="14"/>
        <v>94</v>
      </c>
      <c r="X32" s="1812"/>
      <c r="Y32" s="3298" t="s">
        <v>2562</v>
      </c>
      <c r="Z32" s="1813" t="str">
        <f t="shared" si="15"/>
        <v>商业类型</v>
      </c>
      <c r="AA32" s="1810">
        <f t="shared" si="3"/>
        <v>1.0638297872340425</v>
      </c>
      <c r="AB32" s="1810">
        <f t="shared" si="4"/>
        <v>1.0638297872340425</v>
      </c>
      <c r="AC32" s="1810">
        <f t="shared" si="5"/>
        <v>1.0638297872340425</v>
      </c>
    </row>
    <row r="33" spans="1:29" s="470" customFormat="1" ht="15">
      <c r="A33" s="467"/>
      <c r="B33" s="421" t="s">
        <v>2563</v>
      </c>
      <c r="C33" s="468">
        <f>Sheet1!E6</f>
        <v>5971.11</v>
      </c>
      <c r="D33" s="135">
        <v>100</v>
      </c>
      <c r="E33" s="429">
        <v>54</v>
      </c>
      <c r="F33" s="424">
        <f>LOOKUP(E33,103:103,104:104)-LOOKUP(C33,103:103,104:104)+100</f>
        <v>110</v>
      </c>
      <c r="G33" s="428">
        <v>110</v>
      </c>
      <c r="H33" s="135">
        <f>LOOKUP(G33,103:103,104:104)-LOOKUP(C33,103:103,104:104)+100</f>
        <v>110</v>
      </c>
      <c r="I33" s="428">
        <v>99</v>
      </c>
      <c r="J33" s="135">
        <f>LOOKUP(I33,103:103,104:104)-LOOKUP(C33,103:103,104:104)+100</f>
        <v>110</v>
      </c>
      <c r="K33" s="612"/>
      <c r="L33" s="1137"/>
      <c r="M33" s="1140"/>
      <c r="N33" s="1140"/>
      <c r="O33" s="1140"/>
      <c r="P33" s="3296"/>
      <c r="Q33" s="775" t="str">
        <f t="shared" si="11"/>
        <v>项目建筑规模</v>
      </c>
      <c r="R33" s="776" t="s">
        <v>17</v>
      </c>
      <c r="S33" s="777">
        <f t="shared" si="12"/>
        <v>110</v>
      </c>
      <c r="T33" s="776" t="s">
        <v>17</v>
      </c>
      <c r="U33" s="777">
        <f t="shared" si="13"/>
        <v>110</v>
      </c>
      <c r="V33" s="776" t="s">
        <v>17</v>
      </c>
      <c r="W33" s="777">
        <f t="shared" si="14"/>
        <v>110</v>
      </c>
      <c r="X33" s="778"/>
      <c r="Y33" s="3298"/>
      <c r="Z33" s="779" t="str">
        <f t="shared" si="15"/>
        <v>项目建筑规模</v>
      </c>
      <c r="AA33" s="1810">
        <f t="shared" si="3"/>
        <v>0.90909090909090906</v>
      </c>
      <c r="AB33" s="1810">
        <f t="shared" si="4"/>
        <v>0.90909090909090906</v>
      </c>
      <c r="AC33" s="1810">
        <f t="shared" si="5"/>
        <v>0.90909090909090906</v>
      </c>
    </row>
    <row r="34" spans="1:29" ht="15">
      <c r="A34" s="471"/>
      <c r="B34" s="421" t="s">
        <v>2564</v>
      </c>
      <c r="C34" s="2619" t="s">
        <v>3214</v>
      </c>
      <c r="D34" s="434">
        <v>100</v>
      </c>
      <c r="E34" s="2619" t="s">
        <v>3214</v>
      </c>
      <c r="F34" s="460">
        <f>SUMIF(105:105,E34,106:106)-SUMIF(105:105,C34,106:106)+100</f>
        <v>100</v>
      </c>
      <c r="G34" s="2619" t="s">
        <v>3214</v>
      </c>
      <c r="H34" s="434">
        <f>SUMIF(105:105,G34,106:106)-SUMIF(105:105,C34,106:106)+100</f>
        <v>100</v>
      </c>
      <c r="I34" s="2619" t="s">
        <v>3214</v>
      </c>
      <c r="J34" s="434">
        <f>SUMIF(105:105,I34,106:106)-SUMIF(105:105,C34,106:106)+100</f>
        <v>100</v>
      </c>
      <c r="K34" s="611">
        <v>2</v>
      </c>
      <c r="L34" s="1139"/>
      <c r="M34" s="1130"/>
      <c r="N34" s="1130"/>
      <c r="O34" s="1130"/>
      <c r="P34" s="3296"/>
      <c r="Q34" s="1809" t="str">
        <f t="shared" si="11"/>
        <v>建筑结构</v>
      </c>
      <c r="R34" s="773" t="s">
        <v>17</v>
      </c>
      <c r="S34" s="774">
        <f t="shared" si="12"/>
        <v>100</v>
      </c>
      <c r="T34" s="773" t="s">
        <v>17</v>
      </c>
      <c r="U34" s="774">
        <f t="shared" si="13"/>
        <v>100</v>
      </c>
      <c r="V34" s="773" t="s">
        <v>17</v>
      </c>
      <c r="W34" s="774">
        <f t="shared" si="14"/>
        <v>100</v>
      </c>
      <c r="X34" s="1812"/>
      <c r="Y34" s="3298"/>
      <c r="Z34" s="1813" t="str">
        <f t="shared" si="15"/>
        <v>建筑结构</v>
      </c>
      <c r="AA34" s="1810">
        <f t="shared" si="3"/>
        <v>1</v>
      </c>
      <c r="AB34" s="1810">
        <f t="shared" si="4"/>
        <v>1</v>
      </c>
      <c r="AC34" s="1810">
        <f t="shared" si="5"/>
        <v>1</v>
      </c>
    </row>
    <row r="35" spans="1:29" ht="15">
      <c r="A35" s="471"/>
      <c r="B35" s="421" t="s">
        <v>2658</v>
      </c>
      <c r="C35" s="2613" t="s">
        <v>3255</v>
      </c>
      <c r="D35" s="434">
        <v>100</v>
      </c>
      <c r="E35" s="2613" t="s">
        <v>3255</v>
      </c>
      <c r="F35" s="460">
        <f>SUMIF(107:107,E35,108:108)-SUMIF(107:107,C35,108:108)+100</f>
        <v>100</v>
      </c>
      <c r="G35" s="2613" t="s">
        <v>3255</v>
      </c>
      <c r="H35" s="434">
        <f>SUMIF(107:107,G35,108:108)-SUMIF(107:107,C35,108:108)+100</f>
        <v>100</v>
      </c>
      <c r="I35" s="2613" t="s">
        <v>3255</v>
      </c>
      <c r="J35" s="434">
        <f>SUMIF(107:107,I35,108:108)-SUMIF(107:107,C35,108:108)+100</f>
        <v>100</v>
      </c>
      <c r="K35" s="611">
        <v>2</v>
      </c>
      <c r="L35" s="1139"/>
      <c r="M35" s="1130"/>
      <c r="N35" s="1130"/>
      <c r="O35" s="1130"/>
      <c r="P35" s="3296"/>
      <c r="Q35" s="1809" t="str">
        <f t="shared" si="11"/>
        <v>公共部分装修</v>
      </c>
      <c r="R35" s="773" t="s">
        <v>17</v>
      </c>
      <c r="S35" s="774">
        <f t="shared" si="12"/>
        <v>100</v>
      </c>
      <c r="T35" s="773" t="s">
        <v>17</v>
      </c>
      <c r="U35" s="774">
        <f t="shared" si="13"/>
        <v>100</v>
      </c>
      <c r="V35" s="773" t="s">
        <v>17</v>
      </c>
      <c r="W35" s="774">
        <f t="shared" si="14"/>
        <v>100</v>
      </c>
      <c r="X35" s="1812"/>
      <c r="Y35" s="3298"/>
      <c r="Z35" s="1813" t="str">
        <f t="shared" si="15"/>
        <v>公共部分装修</v>
      </c>
      <c r="AA35" s="1810">
        <f t="shared" si="3"/>
        <v>1</v>
      </c>
      <c r="AB35" s="1810">
        <f t="shared" si="4"/>
        <v>1</v>
      </c>
      <c r="AC35" s="1810">
        <f t="shared" si="5"/>
        <v>1</v>
      </c>
    </row>
    <row r="36" spans="1:29" ht="15">
      <c r="A36" s="471"/>
      <c r="B36" s="421" t="s">
        <v>2659</v>
      </c>
      <c r="C36" s="473">
        <f>'数据-取费表'!Y6</f>
        <v>0.82</v>
      </c>
      <c r="D36" s="434">
        <v>100</v>
      </c>
      <c r="E36" s="473">
        <f>1-(2019-2010)/60</f>
        <v>0.85</v>
      </c>
      <c r="F36" s="460">
        <f>LOOKUP(E36,110:110,111:111)-LOOKUP(C36,110:110,111:111)+100</f>
        <v>100</v>
      </c>
      <c r="G36" s="473">
        <f>1-(2019-1999)/60</f>
        <v>0.66666666666666674</v>
      </c>
      <c r="H36" s="460">
        <f>LOOKUP(G36,110:110,111:111)-LOOKUP(C36,110:110,111:111)+100</f>
        <v>96</v>
      </c>
      <c r="I36" s="473">
        <f>1-(2019-2013)/60</f>
        <v>0.9</v>
      </c>
      <c r="J36" s="434">
        <f>LOOKUP(I36,110:110,111:111)-LOOKUP(C36,110:110,111:111)+100</f>
        <v>102</v>
      </c>
      <c r="K36" s="611">
        <v>2</v>
      </c>
      <c r="L36" s="1139"/>
      <c r="M36" s="1130"/>
      <c r="N36" s="1130"/>
      <c r="O36" s="1130"/>
      <c r="P36" s="3296"/>
      <c r="Q36" s="1809" t="str">
        <f t="shared" si="11"/>
        <v>成新度</v>
      </c>
      <c r="R36" s="773" t="s">
        <v>17</v>
      </c>
      <c r="S36" s="774">
        <f t="shared" si="12"/>
        <v>100</v>
      </c>
      <c r="T36" s="773" t="s">
        <v>17</v>
      </c>
      <c r="U36" s="774">
        <f t="shared" si="13"/>
        <v>96</v>
      </c>
      <c r="V36" s="773" t="s">
        <v>17</v>
      </c>
      <c r="W36" s="774">
        <f t="shared" si="14"/>
        <v>102</v>
      </c>
      <c r="X36" s="1812"/>
      <c r="Y36" s="3298"/>
      <c r="Z36" s="1813" t="str">
        <f t="shared" si="15"/>
        <v>成新度</v>
      </c>
      <c r="AA36" s="1810">
        <f t="shared" si="3"/>
        <v>1</v>
      </c>
      <c r="AB36" s="1810">
        <f t="shared" si="4"/>
        <v>1.0416666666666667</v>
      </c>
      <c r="AC36" s="1810">
        <f t="shared" si="5"/>
        <v>0.98039215686274506</v>
      </c>
    </row>
    <row r="37" spans="1:29" s="116" customFormat="1" ht="15">
      <c r="A37" s="472"/>
      <c r="B37" s="421" t="s">
        <v>2660</v>
      </c>
      <c r="C37" s="2613" t="s">
        <v>3230</v>
      </c>
      <c r="D37" s="135">
        <v>100</v>
      </c>
      <c r="E37" s="2613" t="s">
        <v>3230</v>
      </c>
      <c r="F37" s="460">
        <f>SUMIF(112:112,E37,113:113)-SUMIF(112:112,C37,113:113)+100</f>
        <v>100</v>
      </c>
      <c r="G37" s="2613" t="s">
        <v>3230</v>
      </c>
      <c r="H37" s="434">
        <f>SUMIF(112:112,G37,113:113)-SUMIF(112:112,C37,113:113)+100</f>
        <v>100</v>
      </c>
      <c r="I37" s="2613" t="s">
        <v>3230</v>
      </c>
      <c r="J37" s="434">
        <f>SUMIF(112:112,I37,113:113)-SUMIF(112:112,C37,113:113)+100</f>
        <v>100</v>
      </c>
      <c r="K37" s="611">
        <v>1</v>
      </c>
      <c r="L37" s="1131"/>
      <c r="M37" s="1132"/>
      <c r="N37" s="1132"/>
      <c r="O37" s="1132"/>
      <c r="P37" s="3296"/>
      <c r="Q37" s="1794" t="str">
        <f t="shared" si="11"/>
        <v>市政基础设施</v>
      </c>
      <c r="R37" s="769" t="s">
        <v>17</v>
      </c>
      <c r="S37" s="770">
        <f t="shared" si="12"/>
        <v>100</v>
      </c>
      <c r="T37" s="769" t="s">
        <v>17</v>
      </c>
      <c r="U37" s="770">
        <f t="shared" si="13"/>
        <v>100</v>
      </c>
      <c r="V37" s="769" t="s">
        <v>17</v>
      </c>
      <c r="W37" s="770">
        <f t="shared" si="14"/>
        <v>100</v>
      </c>
      <c r="X37" s="771"/>
      <c r="Y37" s="3298"/>
      <c r="Z37" s="55" t="str">
        <f t="shared" si="15"/>
        <v>市政基础设施</v>
      </c>
      <c r="AA37" s="772">
        <f t="shared" si="3"/>
        <v>1</v>
      </c>
      <c r="AB37" s="772">
        <f t="shared" si="4"/>
        <v>1</v>
      </c>
      <c r="AC37" s="772">
        <f t="shared" si="5"/>
        <v>1</v>
      </c>
    </row>
    <row r="38" spans="1:29" ht="15">
      <c r="A38" s="471"/>
      <c r="B38" s="3052" t="s">
        <v>2661</v>
      </c>
      <c r="C38" s="2613" t="s">
        <v>3265</v>
      </c>
      <c r="D38" s="434">
        <v>100</v>
      </c>
      <c r="E38" s="2613" t="s">
        <v>3265</v>
      </c>
      <c r="F38" s="460">
        <f>SUMIF(114:114,E38,115:115)-SUMIF(114:114,C38,115:115)+100</f>
        <v>100</v>
      </c>
      <c r="G38" s="2613" t="s">
        <v>3265</v>
      </c>
      <c r="H38" s="434">
        <f>SUMIF(114:114,G38,115:115)-SUMIF(114:114,C38,115:115)+100</f>
        <v>100</v>
      </c>
      <c r="I38" s="2613" t="s">
        <v>3265</v>
      </c>
      <c r="J38" s="434">
        <f>SUMIF(114:114,I38,115:115)-SUMIF(114:114,C38,115:115)+100</f>
        <v>100</v>
      </c>
      <c r="K38" s="611">
        <v>3</v>
      </c>
      <c r="L38" s="1139"/>
      <c r="M38" s="1130"/>
      <c r="N38" s="1130"/>
      <c r="O38" s="1130"/>
      <c r="P38" s="3296" t="s">
        <v>2562</v>
      </c>
      <c r="Q38" s="1809" t="str">
        <f t="shared" si="11"/>
        <v>业态</v>
      </c>
      <c r="R38" s="773" t="s">
        <v>17</v>
      </c>
      <c r="S38" s="774">
        <f t="shared" si="12"/>
        <v>100</v>
      </c>
      <c r="T38" s="773" t="s">
        <v>17</v>
      </c>
      <c r="U38" s="774">
        <f t="shared" si="13"/>
        <v>100</v>
      </c>
      <c r="V38" s="773" t="s">
        <v>17</v>
      </c>
      <c r="W38" s="774">
        <f t="shared" si="14"/>
        <v>100</v>
      </c>
      <c r="X38" s="1812"/>
      <c r="Y38" s="3298" t="s">
        <v>2562</v>
      </c>
      <c r="Z38" s="1813" t="str">
        <f t="shared" si="15"/>
        <v>业态</v>
      </c>
      <c r="AA38" s="1810">
        <f t="shared" si="3"/>
        <v>1</v>
      </c>
      <c r="AB38" s="1810">
        <f t="shared" si="4"/>
        <v>1</v>
      </c>
      <c r="AC38" s="1810">
        <f t="shared" si="5"/>
        <v>1</v>
      </c>
    </row>
    <row r="39" spans="1:29" ht="15">
      <c r="A39" s="471"/>
      <c r="B39" s="421" t="s">
        <v>2662</v>
      </c>
      <c r="C39" s="2613" t="s">
        <v>3269</v>
      </c>
      <c r="D39" s="434">
        <v>100</v>
      </c>
      <c r="E39" s="2613" t="s">
        <v>3269</v>
      </c>
      <c r="F39" s="460">
        <f>SUMIF(116:116,E39,117:117)-SUMIF(116:116,C39,117:117)+100</f>
        <v>100</v>
      </c>
      <c r="G39" s="2613" t="s">
        <v>3269</v>
      </c>
      <c r="H39" s="434">
        <f>SUMIF(116:116,G39,117:117)-SUMIF(116:116,C39,117:117)+100</f>
        <v>100</v>
      </c>
      <c r="I39" s="2613" t="s">
        <v>3269</v>
      </c>
      <c r="J39" s="434">
        <f>SUMIF(116:116,I39,117:117)-SUMIF(116:116,C39,117:117)+100</f>
        <v>100</v>
      </c>
      <c r="K39" s="611">
        <v>5</v>
      </c>
      <c r="L39" s="1139"/>
      <c r="M39" s="1130"/>
      <c r="N39" s="1130"/>
      <c r="O39" s="1130"/>
      <c r="P39" s="3296"/>
      <c r="Q39" s="1809" t="str">
        <f t="shared" si="11"/>
        <v>层高</v>
      </c>
      <c r="R39" s="773" t="s">
        <v>17</v>
      </c>
      <c r="S39" s="774">
        <f t="shared" si="12"/>
        <v>100</v>
      </c>
      <c r="T39" s="773" t="s">
        <v>17</v>
      </c>
      <c r="U39" s="774">
        <f t="shared" si="13"/>
        <v>100</v>
      </c>
      <c r="V39" s="773" t="s">
        <v>17</v>
      </c>
      <c r="W39" s="774">
        <f t="shared" si="14"/>
        <v>100</v>
      </c>
      <c r="X39" s="1812"/>
      <c r="Y39" s="3298"/>
      <c r="Z39" s="1813" t="str">
        <f t="shared" si="15"/>
        <v>层高</v>
      </c>
      <c r="AA39" s="1810">
        <f t="shared" si="3"/>
        <v>1</v>
      </c>
      <c r="AB39" s="1810">
        <f t="shared" si="4"/>
        <v>1</v>
      </c>
      <c r="AC39" s="1810">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96"/>
      <c r="Q40" s="1809" t="str">
        <f t="shared" si="11"/>
        <v>单套建筑面积</v>
      </c>
      <c r="R40" s="773" t="s">
        <v>17</v>
      </c>
      <c r="S40" s="774">
        <f t="shared" si="12"/>
        <v>100</v>
      </c>
      <c r="T40" s="773" t="s">
        <v>17</v>
      </c>
      <c r="U40" s="774">
        <f t="shared" si="13"/>
        <v>100</v>
      </c>
      <c r="V40" s="773" t="s">
        <v>17</v>
      </c>
      <c r="W40" s="774">
        <f t="shared" si="14"/>
        <v>100</v>
      </c>
      <c r="X40" s="1812"/>
      <c r="Y40" s="3298"/>
      <c r="Z40" s="1813" t="str">
        <f t="shared" si="15"/>
        <v>单套建筑面积</v>
      </c>
      <c r="AA40" s="1810">
        <f t="shared" si="3"/>
        <v>1</v>
      </c>
      <c r="AB40" s="1810">
        <f t="shared" si="4"/>
        <v>1</v>
      </c>
      <c r="AC40" s="1810">
        <f t="shared" si="5"/>
        <v>1</v>
      </c>
    </row>
    <row r="41" spans="1:29" s="470" customFormat="1" ht="15">
      <c r="A41" s="467"/>
      <c r="B41" s="1811"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96"/>
      <c r="Q41" s="775" t="str">
        <f t="shared" si="11"/>
        <v>进深比</v>
      </c>
      <c r="R41" s="776" t="s">
        <v>17</v>
      </c>
      <c r="S41" s="777">
        <f t="shared" si="12"/>
        <v>100</v>
      </c>
      <c r="T41" s="776" t="s">
        <v>17</v>
      </c>
      <c r="U41" s="777">
        <f t="shared" si="13"/>
        <v>100</v>
      </c>
      <c r="V41" s="776" t="s">
        <v>17</v>
      </c>
      <c r="W41" s="777">
        <f t="shared" si="14"/>
        <v>100</v>
      </c>
      <c r="X41" s="778"/>
      <c r="Y41" s="3298"/>
      <c r="Z41" s="779" t="str">
        <f t="shared" si="15"/>
        <v>进深比</v>
      </c>
      <c r="AA41" s="1810">
        <f t="shared" si="3"/>
        <v>1</v>
      </c>
      <c r="AB41" s="1810">
        <f t="shared" si="4"/>
        <v>1</v>
      </c>
      <c r="AC41" s="1810">
        <f t="shared" si="5"/>
        <v>1</v>
      </c>
    </row>
    <row r="42" spans="1:29" ht="15">
      <c r="A42" s="471"/>
      <c r="B42" s="421" t="s">
        <v>2665</v>
      </c>
      <c r="C42" s="2613" t="s">
        <v>3255</v>
      </c>
      <c r="D42" s="434">
        <v>100</v>
      </c>
      <c r="E42" s="2613" t="s">
        <v>3255</v>
      </c>
      <c r="F42" s="460">
        <f>SUMIF(122:122,E42,123:123)-SUMIF(122:122,C42,123:123)+100</f>
        <v>100</v>
      </c>
      <c r="G42" s="2613" t="s">
        <v>3255</v>
      </c>
      <c r="H42" s="434">
        <f>SUMIF(122:122,G42,123:123)-SUMIF(122:122,C42,123:123)+100</f>
        <v>100</v>
      </c>
      <c r="I42" s="2613" t="s">
        <v>3255</v>
      </c>
      <c r="J42" s="434">
        <f>SUMIF(122:122,I42,123:123)-SUMIF(122:122,C42,123:123)+100</f>
        <v>100</v>
      </c>
      <c r="K42" s="611">
        <v>2</v>
      </c>
      <c r="L42" s="1139"/>
      <c r="M42" s="1130"/>
      <c r="N42" s="1130"/>
      <c r="O42" s="1130"/>
      <c r="P42" s="3296"/>
      <c r="Q42" s="1809" t="str">
        <f t="shared" si="11"/>
        <v>内部装修</v>
      </c>
      <c r="R42" s="773" t="s">
        <v>17</v>
      </c>
      <c r="S42" s="774">
        <f t="shared" si="12"/>
        <v>100</v>
      </c>
      <c r="T42" s="773" t="s">
        <v>17</v>
      </c>
      <c r="U42" s="774">
        <f t="shared" si="13"/>
        <v>100</v>
      </c>
      <c r="V42" s="773" t="s">
        <v>17</v>
      </c>
      <c r="W42" s="774">
        <f t="shared" si="14"/>
        <v>100</v>
      </c>
      <c r="X42" s="1812"/>
      <c r="Y42" s="3298"/>
      <c r="Z42" s="1813" t="str">
        <f t="shared" si="15"/>
        <v>内部装修</v>
      </c>
      <c r="AA42" s="1810">
        <f t="shared" si="3"/>
        <v>1</v>
      </c>
      <c r="AB42" s="1810">
        <f t="shared" si="4"/>
        <v>1</v>
      </c>
      <c r="AC42" s="1810">
        <f t="shared" si="5"/>
        <v>1</v>
      </c>
    </row>
    <row r="43" spans="1:29" ht="15">
      <c r="A43" s="471"/>
      <c r="B43" s="421" t="s">
        <v>2573</v>
      </c>
      <c r="C43" s="2613" t="s">
        <v>3229</v>
      </c>
      <c r="D43" s="434">
        <v>100</v>
      </c>
      <c r="E43" s="2613" t="s">
        <v>3229</v>
      </c>
      <c r="F43" s="460">
        <f>SUMIF(124:124,E43,125:125)-SUMIF(124:124,C43,125:125)+100</f>
        <v>100</v>
      </c>
      <c r="G43" s="2613" t="s">
        <v>3229</v>
      </c>
      <c r="H43" s="434">
        <f>SUMIF(124:124,G43,125:125)-SUMIF(124:124,C43,125:125)+100</f>
        <v>100</v>
      </c>
      <c r="I43" s="2613" t="s">
        <v>3229</v>
      </c>
      <c r="J43" s="434">
        <f>SUMIF(124:124,I43,125:125)-SUMIF(124:124,C43,125:125)+100</f>
        <v>100</v>
      </c>
      <c r="K43" s="611">
        <v>2</v>
      </c>
      <c r="L43" s="1139"/>
      <c r="M43" s="1130"/>
      <c r="N43" s="1130"/>
      <c r="O43" s="1130"/>
      <c r="P43" s="3296"/>
      <c r="Q43" s="1809" t="str">
        <f t="shared" si="11"/>
        <v>内部装修维护情况</v>
      </c>
      <c r="R43" s="773" t="s">
        <v>17</v>
      </c>
      <c r="S43" s="774">
        <f t="shared" si="12"/>
        <v>100</v>
      </c>
      <c r="T43" s="773" t="s">
        <v>17</v>
      </c>
      <c r="U43" s="774">
        <f t="shared" si="13"/>
        <v>100</v>
      </c>
      <c r="V43" s="773" t="s">
        <v>17</v>
      </c>
      <c r="W43" s="774">
        <f t="shared" si="14"/>
        <v>100</v>
      </c>
      <c r="X43" s="1812"/>
      <c r="Y43" s="3298"/>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96"/>
      <c r="Q44" s="1794">
        <f t="shared" si="11"/>
        <v>111</v>
      </c>
      <c r="R44" s="769" t="s">
        <v>17</v>
      </c>
      <c r="S44" s="770">
        <f t="shared" si="12"/>
        <v>100</v>
      </c>
      <c r="T44" s="769" t="s">
        <v>17</v>
      </c>
      <c r="U44" s="770">
        <f t="shared" si="13"/>
        <v>100</v>
      </c>
      <c r="V44" s="769" t="s">
        <v>17</v>
      </c>
      <c r="W44" s="770">
        <f t="shared" si="14"/>
        <v>100</v>
      </c>
      <c r="X44" s="771"/>
      <c r="Y44" s="329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96"/>
      <c r="Q45" s="1809">
        <f t="shared" si="11"/>
        <v>111</v>
      </c>
      <c r="R45" s="773" t="s">
        <v>17</v>
      </c>
      <c r="S45" s="774">
        <f t="shared" si="12"/>
        <v>100</v>
      </c>
      <c r="T45" s="773" t="s">
        <v>17</v>
      </c>
      <c r="U45" s="774">
        <f t="shared" si="13"/>
        <v>100</v>
      </c>
      <c r="V45" s="773" t="s">
        <v>17</v>
      </c>
      <c r="W45" s="774">
        <f t="shared" si="14"/>
        <v>100</v>
      </c>
      <c r="X45" s="1812"/>
      <c r="Y45" s="3298"/>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97"/>
      <c r="Q46" s="1809">
        <f t="shared" si="11"/>
        <v>111</v>
      </c>
      <c r="R46" s="773" t="s">
        <v>17</v>
      </c>
      <c r="S46" s="774">
        <f t="shared" si="12"/>
        <v>100</v>
      </c>
      <c r="T46" s="773" t="s">
        <v>17</v>
      </c>
      <c r="U46" s="774">
        <f t="shared" si="13"/>
        <v>100</v>
      </c>
      <c r="V46" s="773" t="s">
        <v>17</v>
      </c>
      <c r="W46" s="774">
        <f t="shared" si="14"/>
        <v>100</v>
      </c>
      <c r="X46" s="1812"/>
      <c r="Y46" s="3299"/>
      <c r="Z46" s="1813">
        <f t="shared" si="15"/>
        <v>111</v>
      </c>
      <c r="AA46" s="1810">
        <f t="shared" si="3"/>
        <v>1</v>
      </c>
      <c r="AB46" s="1810">
        <f t="shared" si="4"/>
        <v>1</v>
      </c>
      <c r="AC46" s="1810">
        <f t="shared" si="5"/>
        <v>1</v>
      </c>
    </row>
    <row r="47" spans="1:29" ht="15">
      <c r="A47" s="478" t="s">
        <v>2574</v>
      </c>
      <c r="B47" s="479"/>
      <c r="C47" s="1406" t="s">
        <v>1</v>
      </c>
      <c r="D47" s="1407"/>
      <c r="E47" s="1408">
        <f>ROUND(51852*K50,0)</f>
        <v>51852</v>
      </c>
      <c r="F47" s="1409"/>
      <c r="G47" s="1410">
        <f>ROUND(44091*K50,0)</f>
        <v>44091</v>
      </c>
      <c r="H47" s="1411"/>
      <c r="I47" s="1408">
        <f>ROUND(50000*K50,0)</f>
        <v>50000</v>
      </c>
      <c r="J47" s="1411"/>
      <c r="K47" s="782"/>
      <c r="L47" s="1142"/>
      <c r="M47" s="1143"/>
      <c r="N47" s="1130"/>
      <c r="O47" s="1143"/>
      <c r="P47" s="3300" t="str">
        <f>A47</f>
        <v>成交单价（元/平方米）</v>
      </c>
      <c r="Q47" s="3300"/>
      <c r="R47" s="3261">
        <f>E47</f>
        <v>51852</v>
      </c>
      <c r="S47" s="3261"/>
      <c r="T47" s="3261">
        <f>G47</f>
        <v>44091</v>
      </c>
      <c r="U47" s="3261"/>
      <c r="V47" s="3261">
        <f>I47</f>
        <v>50000</v>
      </c>
      <c r="W47" s="3261"/>
      <c r="X47" s="758"/>
      <c r="Y47" s="780"/>
      <c r="Z47" s="758"/>
      <c r="AA47" s="758"/>
      <c r="AB47" s="758"/>
      <c r="AC47" s="758"/>
    </row>
    <row r="48" spans="1:29" ht="15.75" thickBot="1">
      <c r="A48" s="485" t="s">
        <v>2666</v>
      </c>
      <c r="B48" s="486"/>
      <c r="C48" s="1412">
        <f>R49</f>
        <v>48671</v>
      </c>
      <c r="D48" s="1413"/>
      <c r="E48" s="1414">
        <f>R48</f>
        <v>53280</v>
      </c>
      <c r="F48" s="1414"/>
      <c r="G48" s="1412">
        <f>T48</f>
        <v>45324</v>
      </c>
      <c r="H48" s="1413"/>
      <c r="I48" s="1414">
        <f>V48</f>
        <v>47408</v>
      </c>
      <c r="J48" s="1413"/>
      <c r="K48" s="783"/>
      <c r="L48" s="1142"/>
      <c r="M48" s="1143"/>
      <c r="N48" s="1130"/>
      <c r="O48" s="1143"/>
      <c r="P48" s="3300" t="str">
        <f>A48</f>
        <v>比较价值（元/平方米）</v>
      </c>
      <c r="Q48" s="3300"/>
      <c r="R48" s="3301">
        <f>IF(F1="售价",ROUND(PRODUCT(R47,AA7:AA46),0),ROUND(PRODUCT(R47,AA7:AA46),1))</f>
        <v>53280</v>
      </c>
      <c r="S48" s="3301"/>
      <c r="T48" s="3301">
        <f>IF(F1="售价",ROUND(PRODUCT(T47,AB7:AB46),0),ROUND(PRODUCT(T47,AB7:AB46),1))</f>
        <v>45324</v>
      </c>
      <c r="U48" s="3301"/>
      <c r="V48" s="3301">
        <f>IF(F1="售价",ROUND(PRODUCT(V47,AC7:AC46),0),ROUND(PRODUCT(V47,AC7:AC46),1))</f>
        <v>47408</v>
      </c>
      <c r="W48" s="3301"/>
      <c r="X48" s="758"/>
      <c r="Y48" s="758"/>
      <c r="Z48" s="758"/>
      <c r="AA48" s="758"/>
      <c r="AB48" s="758"/>
      <c r="AC48" s="758"/>
    </row>
    <row r="49" spans="1:29" ht="15.75" thickBot="1">
      <c r="A49" s="491" t="s">
        <v>2667</v>
      </c>
      <c r="B49" s="492"/>
      <c r="C49" s="1416">
        <f>R49</f>
        <v>48671</v>
      </c>
      <c r="D49" s="1416"/>
      <c r="E49" s="1416"/>
      <c r="F49" s="1416"/>
      <c r="G49" s="1416"/>
      <c r="H49" s="1416"/>
      <c r="I49" s="1416"/>
      <c r="J49" s="1416"/>
      <c r="K49" s="784"/>
      <c r="L49" s="1142"/>
      <c r="M49" s="1143"/>
      <c r="N49" s="1130"/>
      <c r="O49" s="1143"/>
      <c r="P49" s="3302" t="str">
        <f>A49</f>
        <v>估价对象XX用房的比较价值（楼面单价，元/平方米）</v>
      </c>
      <c r="Q49" s="3303"/>
      <c r="R49" s="3304">
        <f>IF(F1="售价",ROUND(AVERAGE(R48:V48),0),ROUND(AVERAGE(R48:V48),1))</f>
        <v>48671</v>
      </c>
      <c r="S49" s="3304"/>
      <c r="T49" s="3304"/>
      <c r="U49" s="3304"/>
      <c r="V49" s="3304"/>
      <c r="W49" s="3304"/>
      <c r="X49" s="758"/>
      <c r="Y49" s="758"/>
      <c r="Z49" s="758"/>
      <c r="AA49" s="758"/>
      <c r="AB49" s="758"/>
      <c r="AC49" s="758"/>
    </row>
    <row r="50" spans="1:29">
      <c r="A50" s="1143"/>
      <c r="B50" s="1143"/>
      <c r="C50" s="1143"/>
      <c r="D50" s="1143"/>
      <c r="E50" s="1143">
        <v>2010</v>
      </c>
      <c r="F50" s="1143"/>
      <c r="G50" s="3045">
        <v>1999</v>
      </c>
      <c r="H50" s="1143"/>
      <c r="I50" s="1143">
        <v>2013</v>
      </c>
      <c r="J50" s="1143"/>
      <c r="K50" s="1104">
        <v>1</v>
      </c>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f>IF(E47&lt;E48,E48/E47-1,E47/E48-1)</f>
        <v>2.753992131451044E-2</v>
      </c>
      <c r="F52" s="499" t="str">
        <f>IF(OR(E52&gt;=0.3,E52&lt;=-0.3),"超过30%","")</f>
        <v/>
      </c>
      <c r="G52" s="498">
        <f>IF(G47&lt;G48,G48/G47-1,G47/G48-1)</f>
        <v>2.7964890794039521E-2</v>
      </c>
      <c r="H52" s="499" t="str">
        <f>IF(OR(G52&gt;=0.3,G52&lt;=-0.3),"超过30%","")</f>
        <v/>
      </c>
      <c r="I52" s="498">
        <f>IF(I47&lt;I48,I48/I47-1,I47/I48-1)</f>
        <v>5.4674316571042825E-2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f>IF(E48&lt;G48,G48/E48-1,E48/G48-1)</f>
        <v>0.17553613979348692</v>
      </c>
      <c r="F53" s="499" t="str">
        <f>IF(OR(E53&gt;=0.2,E53&lt;=-0.2),"超过20%","")</f>
        <v/>
      </c>
      <c r="G53" s="498">
        <f>IF(G48&lt;I48,I48/G48-1,G48/I48-1)</f>
        <v>4.5980054717147611E-2</v>
      </c>
      <c r="H53" s="499" t="str">
        <f>IF(OR(G53&gt;=0.2,G53&lt;=-0.2),"超过20%","")</f>
        <v/>
      </c>
      <c r="I53" s="498">
        <f>IF(I48&lt;E48,E48/I48-1,I48/E48-1)</f>
        <v>0.1238609517381033</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f>IF(E47&lt;G47,G47/E47-1,E47/G47-1)</f>
        <v>0.17602231747975772</v>
      </c>
      <c r="F54" s="499" t="str">
        <f>IF(OR(E54&gt;=0.3,E54&lt;=-0.3),"超过30%","")</f>
        <v/>
      </c>
      <c r="G54" s="498">
        <f>IF(G47&lt;I47,I47/G47-1,G47/I47-1)</f>
        <v>0.13401828037467967</v>
      </c>
      <c r="H54" s="499" t="str">
        <f>IF(OR(G54&gt;=0.3,G54&lt;=-0.3),"超过30%","")</f>
        <v/>
      </c>
      <c r="I54" s="498">
        <f>IF(I47&lt;E47,E47/I47-1,I47/E47-1)</f>
        <v>3.7039999999999962E-2</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2545</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6" customFormat="1" ht="15">
      <c r="A59" s="508"/>
      <c r="B59" s="509"/>
      <c r="C59" s="1572">
        <v>100</v>
      </c>
      <c r="D59" s="511">
        <f>C59-$C$60</f>
        <v>99</v>
      </c>
      <c r="E59" s="511">
        <f t="shared" ref="E59:L59" si="17">D59-$C$60</f>
        <v>98</v>
      </c>
      <c r="F59" s="511">
        <f t="shared" si="17"/>
        <v>97</v>
      </c>
      <c r="G59" s="511">
        <f t="shared" si="17"/>
        <v>96</v>
      </c>
      <c r="H59" s="511">
        <f t="shared" si="17"/>
        <v>95</v>
      </c>
      <c r="I59" s="511">
        <f t="shared" si="17"/>
        <v>94</v>
      </c>
      <c r="J59" s="511">
        <f t="shared" si="17"/>
        <v>93</v>
      </c>
      <c r="K59" s="511">
        <f t="shared" si="17"/>
        <v>92</v>
      </c>
      <c r="L59" s="511">
        <f t="shared" si="17"/>
        <v>91</v>
      </c>
      <c r="M59" s="512"/>
      <c r="N59" s="511"/>
      <c r="O59" s="512"/>
      <c r="P59" s="2628"/>
    </row>
    <row r="60" spans="1:29" s="116" customFormat="1" ht="15.75" thickBot="1">
      <c r="A60" s="514" t="s">
        <v>2582</v>
      </c>
      <c r="B60" s="515"/>
      <c r="C60" s="516">
        <v>1</v>
      </c>
      <c r="D60" s="517"/>
      <c r="E60" s="517"/>
      <c r="F60" s="517"/>
      <c r="G60" s="517"/>
      <c r="H60" s="517"/>
      <c r="I60" s="517"/>
      <c r="J60" s="517"/>
      <c r="K60" s="517"/>
      <c r="L60" s="517"/>
      <c r="M60" s="518"/>
      <c r="N60" s="517"/>
      <c r="O60" s="518"/>
      <c r="P60" s="2628"/>
      <c r="Q60" s="503"/>
    </row>
    <row r="61" spans="1:29" s="116" customFormat="1" ht="15">
      <c r="A61" s="520" t="s">
        <v>2547</v>
      </c>
      <c r="B61" s="509"/>
      <c r="C61" s="521" t="s">
        <v>2649</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2585</v>
      </c>
      <c r="B63" s="527" t="s">
        <v>2551</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3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30"/>
      <c r="Q66" s="503"/>
    </row>
    <row r="67" spans="1:17" ht="15.75" thickTop="1">
      <c r="A67" s="533"/>
      <c r="B67" s="545" t="s">
        <v>2555</v>
      </c>
      <c r="C67" s="546" t="str">
        <f>C68&amp;"（含）"&amp;"-"&amp;D68</f>
        <v>1（含）-2</v>
      </c>
      <c r="D67" s="546" t="str">
        <f t="shared" ref="D67:L67" si="18">D68&amp;"（含）"&amp;"-"&amp;E68</f>
        <v>2（含）-3</v>
      </c>
      <c r="E67" s="546" t="str">
        <f t="shared" si="18"/>
        <v>3（含）-4</v>
      </c>
      <c r="F67" s="546" t="str">
        <f t="shared" si="18"/>
        <v>4（含）-5</v>
      </c>
      <c r="G67" s="546" t="str">
        <f t="shared" si="18"/>
        <v>5（含）-</v>
      </c>
      <c r="H67" s="546" t="str">
        <f t="shared" si="18"/>
        <v>（含）-</v>
      </c>
      <c r="I67" s="546" t="str">
        <f t="shared" si="18"/>
        <v>（含）-</v>
      </c>
      <c r="J67" s="546" t="str">
        <f t="shared" si="18"/>
        <v>（含）-</v>
      </c>
      <c r="K67" s="546" t="str">
        <f t="shared" si="18"/>
        <v>（含）-</v>
      </c>
      <c r="L67" s="546" t="str">
        <f t="shared" si="18"/>
        <v>（含）-</v>
      </c>
      <c r="M67" s="447" t="str">
        <f>M68&amp;"（含）"&amp;"-"&amp;P68</f>
        <v>（含）-</v>
      </c>
      <c r="N67" s="1152"/>
      <c r="O67" s="1152"/>
      <c r="P67" s="2630"/>
      <c r="Q67" s="503"/>
    </row>
    <row r="68" spans="1:17" ht="15">
      <c r="A68" s="533"/>
      <c r="B68" s="547"/>
      <c r="C68" s="548">
        <v>1</v>
      </c>
      <c r="D68" s="548">
        <v>2</v>
      </c>
      <c r="E68" s="548">
        <v>3</v>
      </c>
      <c r="F68" s="548">
        <v>4</v>
      </c>
      <c r="G68" s="548">
        <v>5</v>
      </c>
      <c r="H68" s="548"/>
      <c r="I68" s="548"/>
      <c r="J68" s="548"/>
      <c r="K68" s="549"/>
      <c r="L68" s="550"/>
      <c r="M68" s="551"/>
      <c r="N68" s="1151"/>
      <c r="O68" s="1151"/>
      <c r="P68" s="2630"/>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0"/>
      <c r="Q81" s="503"/>
    </row>
    <row r="82" spans="1:17" ht="15.75" thickTop="1">
      <c r="A82" s="533"/>
      <c r="B82" s="545" t="s">
        <v>2652</v>
      </c>
      <c r="C82" s="659" t="s">
        <v>2672</v>
      </c>
      <c r="D82" s="659" t="s">
        <v>2673</v>
      </c>
      <c r="E82" s="659" t="s">
        <v>2674</v>
      </c>
      <c r="F82" s="659" t="s">
        <v>2675</v>
      </c>
      <c r="G82" s="659" t="s">
        <v>2676</v>
      </c>
      <c r="H82" s="538"/>
      <c r="I82" s="538"/>
      <c r="J82" s="538"/>
      <c r="K82" s="538"/>
      <c r="L82" s="538"/>
      <c r="M82" s="1381"/>
      <c r="N82" s="1152"/>
      <c r="O82" s="1152"/>
      <c r="P82" s="2630"/>
      <c r="Q82" s="503"/>
    </row>
    <row r="83" spans="1:17" ht="15.75" thickBot="1">
      <c r="A83" s="533"/>
      <c r="B83" s="545"/>
      <c r="C83" s="543">
        <v>100</v>
      </c>
      <c r="D83" s="543">
        <f>C83-$K21</f>
        <v>99</v>
      </c>
      <c r="E83" s="543">
        <f t="shared" ref="E83:G83" si="20">D83-$K21</f>
        <v>98</v>
      </c>
      <c r="F83" s="543">
        <f t="shared" si="20"/>
        <v>97</v>
      </c>
      <c r="G83" s="543">
        <f t="shared" si="20"/>
        <v>96</v>
      </c>
      <c r="H83" s="659"/>
      <c r="I83" s="659"/>
      <c r="J83" s="659"/>
      <c r="K83" s="659"/>
      <c r="L83" s="659"/>
      <c r="M83" s="449"/>
      <c r="N83" s="1152"/>
      <c r="O83" s="1152"/>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6" customFormat="1" ht="15.75" thickTop="1">
      <c r="A86" s="578"/>
      <c r="B86" s="537" t="s">
        <v>2677</v>
      </c>
      <c r="C86" s="3041" t="s">
        <v>3231</v>
      </c>
      <c r="D86" s="3041" t="s">
        <v>3232</v>
      </c>
      <c r="E86" s="3041" t="s">
        <v>3233</v>
      </c>
      <c r="F86" s="3041" t="s">
        <v>3234</v>
      </c>
      <c r="G86" s="553"/>
      <c r="H86" s="553"/>
      <c r="I86" s="553"/>
      <c r="J86" s="553"/>
      <c r="K86" s="553"/>
      <c r="L86" s="579"/>
      <c r="M86" s="580"/>
      <c r="N86" s="1150"/>
      <c r="O86" s="1150"/>
      <c r="P86" s="2630"/>
      <c r="Q86" s="503"/>
    </row>
    <row r="87" spans="1:17" s="116" customFormat="1" ht="15.75" thickBot="1">
      <c r="A87" s="578"/>
      <c r="B87" s="542"/>
      <c r="C87" s="581">
        <v>100</v>
      </c>
      <c r="D87" s="543">
        <f t="shared" ref="D87:M87" si="21">C87-$K25</f>
        <v>98</v>
      </c>
      <c r="E87" s="543">
        <f t="shared" si="21"/>
        <v>96</v>
      </c>
      <c r="F87" s="543">
        <f t="shared" si="21"/>
        <v>94</v>
      </c>
      <c r="G87" s="543">
        <f t="shared" si="21"/>
        <v>92</v>
      </c>
      <c r="H87" s="543">
        <f t="shared" si="21"/>
        <v>90</v>
      </c>
      <c r="I87" s="543">
        <f t="shared" si="21"/>
        <v>88</v>
      </c>
      <c r="J87" s="543">
        <f t="shared" si="21"/>
        <v>86</v>
      </c>
      <c r="K87" s="543">
        <f t="shared" si="21"/>
        <v>84</v>
      </c>
      <c r="L87" s="543">
        <f t="shared" si="21"/>
        <v>82</v>
      </c>
      <c r="M87" s="543">
        <f t="shared" si="21"/>
        <v>80</v>
      </c>
      <c r="N87" s="1152"/>
      <c r="O87" s="1152"/>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6"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3041" t="s">
        <v>3237</v>
      </c>
      <c r="D90" s="3041" t="s">
        <v>3238</v>
      </c>
      <c r="E90" s="3041" t="s">
        <v>3239</v>
      </c>
      <c r="F90" s="3041" t="s">
        <v>3240</v>
      </c>
      <c r="G90" s="3041" t="s">
        <v>3241</v>
      </c>
      <c r="H90" s="554"/>
      <c r="I90" s="554"/>
      <c r="J90" s="554"/>
      <c r="K90" s="554"/>
      <c r="L90" s="555"/>
      <c r="M90" s="556"/>
      <c r="N90" s="1153"/>
      <c r="O90" s="1153"/>
      <c r="P90" s="2631"/>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2560</v>
      </c>
      <c r="B100" s="527" t="s">
        <v>2678</v>
      </c>
      <c r="C100" s="3042" t="s">
        <v>3287</v>
      </c>
      <c r="D100" s="3042" t="s">
        <v>3288</v>
      </c>
      <c r="E100" s="3042" t="s">
        <v>3289</v>
      </c>
      <c r="F100" s="3042" t="s">
        <v>3291</v>
      </c>
      <c r="G100" s="3042"/>
      <c r="H100" s="529"/>
      <c r="I100" s="529"/>
      <c r="J100" s="529"/>
      <c r="K100" s="530"/>
      <c r="L100" s="531"/>
      <c r="M100" s="532"/>
      <c r="N100" s="1151"/>
      <c r="O100" s="1151"/>
      <c r="P100" s="2630"/>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52"/>
      <c r="O101" s="1152"/>
      <c r="P101" s="2630"/>
      <c r="Q101" s="503"/>
    </row>
    <row r="102" spans="1:17" ht="29.25" thickTop="1">
      <c r="A102" s="533"/>
      <c r="B102" s="537" t="s">
        <v>2610</v>
      </c>
      <c r="C102" s="577" t="str">
        <f>C103&amp;"(含)"&amp;"-"&amp;D103</f>
        <v>0(含)-300</v>
      </c>
      <c r="D102" s="577" t="str">
        <f t="shared" ref="D102:L102" si="24">D103&amp;"(含)"&amp;"-"&amp;E103</f>
        <v>300(含)-800</v>
      </c>
      <c r="E102" s="577" t="str">
        <f t="shared" si="24"/>
        <v>800(含)-1500</v>
      </c>
      <c r="F102" s="577" t="str">
        <f t="shared" si="24"/>
        <v>1500(含)-2500</v>
      </c>
      <c r="G102" s="577" t="str">
        <f t="shared" si="24"/>
        <v>2500(含)-4000</v>
      </c>
      <c r="H102" s="577" t="str">
        <f t="shared" si="24"/>
        <v>4000(含)-6000</v>
      </c>
      <c r="I102" s="577" t="str">
        <f t="shared" si="24"/>
        <v>6000(含)-8000</v>
      </c>
      <c r="J102" s="577" t="str">
        <f t="shared" si="24"/>
        <v>8000(含)-</v>
      </c>
      <c r="K102" s="577" t="str">
        <f t="shared" si="24"/>
        <v>(含)-</v>
      </c>
      <c r="L102" s="577" t="str">
        <f t="shared" si="24"/>
        <v>(含)-</v>
      </c>
      <c r="M102" s="621" t="str">
        <f>M103&amp;"(含)"&amp;"-"&amp;P103</f>
        <v>(含)-</v>
      </c>
      <c r="N102" s="1150"/>
      <c r="O102" s="1150"/>
      <c r="P102" s="2630"/>
      <c r="Q102" s="503"/>
    </row>
    <row r="103" spans="1:17" s="470" customFormat="1">
      <c r="A103" s="592"/>
      <c r="B103" s="593"/>
      <c r="C103" s="594">
        <v>0</v>
      </c>
      <c r="D103" s="594">
        <v>300</v>
      </c>
      <c r="E103" s="594">
        <v>800</v>
      </c>
      <c r="F103" s="594">
        <v>1500</v>
      </c>
      <c r="G103" s="594">
        <v>2500</v>
      </c>
      <c r="H103" s="594">
        <v>4000</v>
      </c>
      <c r="I103" s="594">
        <v>6000</v>
      </c>
      <c r="J103" s="595">
        <v>8000</v>
      </c>
      <c r="K103" s="595"/>
      <c r="L103" s="596"/>
      <c r="M103" s="597"/>
      <c r="N103" s="1153"/>
      <c r="O103" s="1153"/>
      <c r="P103" s="2631"/>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2"/>
      <c r="O104" s="1152"/>
      <c r="P104" s="2631"/>
      <c r="Q104" s="558"/>
    </row>
    <row r="105" spans="1:17" ht="15" thickTop="1">
      <c r="A105" s="598"/>
      <c r="B105" s="537" t="s">
        <v>2611</v>
      </c>
      <c r="C105" s="3041" t="s">
        <v>3261</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5">C106-$K34</f>
        <v>98</v>
      </c>
      <c r="E106" s="543">
        <f t="shared" si="25"/>
        <v>96</v>
      </c>
      <c r="F106" s="543">
        <f t="shared" si="25"/>
        <v>94</v>
      </c>
      <c r="G106" s="543">
        <f t="shared" si="25"/>
        <v>92</v>
      </c>
      <c r="H106" s="543">
        <f t="shared" si="25"/>
        <v>90</v>
      </c>
      <c r="I106" s="543">
        <f t="shared" si="25"/>
        <v>88</v>
      </c>
      <c r="J106" s="543">
        <f t="shared" si="25"/>
        <v>86</v>
      </c>
      <c r="K106" s="543">
        <f t="shared" si="25"/>
        <v>84</v>
      </c>
      <c r="L106" s="543">
        <f t="shared" si="25"/>
        <v>82</v>
      </c>
      <c r="M106" s="544">
        <f t="shared" si="25"/>
        <v>80</v>
      </c>
      <c r="N106" s="1152"/>
      <c r="O106" s="1152"/>
      <c r="P106" s="2630"/>
      <c r="Q106" s="503"/>
    </row>
    <row r="107" spans="1:17" ht="15" thickTop="1">
      <c r="A107" s="598"/>
      <c r="B107" s="537" t="s">
        <v>2613</v>
      </c>
      <c r="C107" s="3043" t="s">
        <v>3253</v>
      </c>
      <c r="D107" s="3043" t="s">
        <v>3254</v>
      </c>
      <c r="E107" s="3043" t="s">
        <v>3255</v>
      </c>
      <c r="F107" s="3044" t="s">
        <v>3256</v>
      </c>
      <c r="G107" s="582"/>
      <c r="H107" s="582"/>
      <c r="I107" s="582"/>
      <c r="J107" s="582"/>
      <c r="K107" s="583"/>
      <c r="L107" s="584"/>
      <c r="M107" s="585"/>
      <c r="N107" s="1151"/>
      <c r="O107" s="1151"/>
      <c r="P107" s="2630"/>
      <c r="Q107" s="503"/>
    </row>
    <row r="108" spans="1:17" ht="15.75" thickBot="1">
      <c r="A108" s="533"/>
      <c r="B108" s="542"/>
      <c r="C108" s="543">
        <v>100</v>
      </c>
      <c r="D108" s="543">
        <f t="shared" ref="D108:M108" si="26">C108-$K35</f>
        <v>98</v>
      </c>
      <c r="E108" s="543">
        <f t="shared" si="26"/>
        <v>96</v>
      </c>
      <c r="F108" s="543">
        <f t="shared" si="26"/>
        <v>94</v>
      </c>
      <c r="G108" s="543">
        <f t="shared" si="26"/>
        <v>92</v>
      </c>
      <c r="H108" s="543">
        <f t="shared" si="26"/>
        <v>90</v>
      </c>
      <c r="I108" s="543">
        <f t="shared" si="26"/>
        <v>88</v>
      </c>
      <c r="J108" s="543">
        <f t="shared" si="26"/>
        <v>86</v>
      </c>
      <c r="K108" s="543">
        <f t="shared" si="26"/>
        <v>84</v>
      </c>
      <c r="L108" s="543">
        <f t="shared" si="26"/>
        <v>82</v>
      </c>
      <c r="M108" s="544">
        <f t="shared" si="26"/>
        <v>80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102</v>
      </c>
      <c r="E111" s="543">
        <f t="shared" ref="E111:M111" si="27">D111+$K36</f>
        <v>104</v>
      </c>
      <c r="F111" s="543">
        <f t="shared" si="27"/>
        <v>106</v>
      </c>
      <c r="G111" s="543">
        <f t="shared" si="27"/>
        <v>108</v>
      </c>
      <c r="H111" s="543">
        <f t="shared" si="27"/>
        <v>110</v>
      </c>
      <c r="I111" s="543">
        <f t="shared" si="27"/>
        <v>112</v>
      </c>
      <c r="J111" s="543">
        <f t="shared" si="27"/>
        <v>114</v>
      </c>
      <c r="K111" s="543">
        <f t="shared" si="27"/>
        <v>116</v>
      </c>
      <c r="L111" s="543">
        <f t="shared" si="27"/>
        <v>118</v>
      </c>
      <c r="M111" s="543">
        <f t="shared" si="27"/>
        <v>120</v>
      </c>
      <c r="N111" s="1152"/>
      <c r="O111" s="1152"/>
      <c r="P111" s="2630"/>
      <c r="Q111" s="503"/>
    </row>
    <row r="112" spans="1:17" s="470" customFormat="1" ht="15" thickTop="1">
      <c r="A112" s="592"/>
      <c r="B112" s="537" t="s">
        <v>2615</v>
      </c>
      <c r="C112" s="3041" t="s">
        <v>3262</v>
      </c>
      <c r="D112" s="3041" t="s">
        <v>3263</v>
      </c>
      <c r="E112" s="3041" t="s">
        <v>3264</v>
      </c>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99</v>
      </c>
      <c r="E113" s="543">
        <f t="shared" ref="E113:M113" si="28">D113-$K37</f>
        <v>98</v>
      </c>
      <c r="F113" s="543">
        <f t="shared" si="28"/>
        <v>97</v>
      </c>
      <c r="G113" s="543">
        <f t="shared" si="28"/>
        <v>96</v>
      </c>
      <c r="H113" s="543">
        <f t="shared" si="28"/>
        <v>95</v>
      </c>
      <c r="I113" s="543">
        <f t="shared" si="28"/>
        <v>94</v>
      </c>
      <c r="J113" s="543">
        <f t="shared" si="28"/>
        <v>93</v>
      </c>
      <c r="K113" s="543">
        <f t="shared" si="28"/>
        <v>92</v>
      </c>
      <c r="L113" s="543">
        <f t="shared" si="28"/>
        <v>91</v>
      </c>
      <c r="M113" s="543">
        <f t="shared" si="28"/>
        <v>90</v>
      </c>
      <c r="N113" s="1153"/>
      <c r="O113" s="1153"/>
      <c r="P113" s="2631"/>
      <c r="Q113" s="558"/>
    </row>
    <row r="114" spans="1:17" ht="15" thickTop="1">
      <c r="A114" s="598"/>
      <c r="B114" s="537" t="s">
        <v>2679</v>
      </c>
      <c r="C114" s="3041" t="s">
        <v>3266</v>
      </c>
      <c r="D114" s="3041" t="s">
        <v>3267</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9">C115-$K38</f>
        <v>97</v>
      </c>
      <c r="E115" s="543">
        <f t="shared" si="29"/>
        <v>94</v>
      </c>
      <c r="F115" s="543">
        <f t="shared" si="29"/>
        <v>91</v>
      </c>
      <c r="G115" s="543">
        <f t="shared" si="29"/>
        <v>88</v>
      </c>
      <c r="H115" s="543">
        <f t="shared" si="29"/>
        <v>85</v>
      </c>
      <c r="I115" s="543">
        <f t="shared" si="29"/>
        <v>82</v>
      </c>
      <c r="J115" s="543">
        <f t="shared" si="29"/>
        <v>79</v>
      </c>
      <c r="K115" s="543">
        <f t="shared" si="29"/>
        <v>76</v>
      </c>
      <c r="L115" s="543">
        <f t="shared" si="29"/>
        <v>73</v>
      </c>
      <c r="M115" s="544">
        <f t="shared" si="29"/>
        <v>70</v>
      </c>
      <c r="N115" s="1152"/>
      <c r="O115" s="1152"/>
      <c r="P115" s="2630"/>
      <c r="Q115" s="503"/>
    </row>
    <row r="116" spans="1:17" ht="15" thickTop="1">
      <c r="A116" s="598"/>
      <c r="B116" s="537" t="s">
        <v>2680</v>
      </c>
      <c r="C116" s="3041" t="s">
        <v>3268</v>
      </c>
      <c r="D116" s="3041" t="s">
        <v>3270</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2681</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30">D121-$K41</f>
        <v>100</v>
      </c>
      <c r="F121" s="543">
        <f t="shared" si="30"/>
        <v>100</v>
      </c>
      <c r="G121" s="543">
        <f t="shared" si="30"/>
        <v>100</v>
      </c>
      <c r="H121" s="543">
        <f t="shared" si="30"/>
        <v>100</v>
      </c>
      <c r="I121" s="543">
        <f t="shared" si="30"/>
        <v>100</v>
      </c>
      <c r="J121" s="543">
        <f t="shared" si="30"/>
        <v>100</v>
      </c>
      <c r="K121" s="543">
        <f t="shared" si="30"/>
        <v>100</v>
      </c>
      <c r="L121" s="543">
        <f t="shared" si="30"/>
        <v>100</v>
      </c>
      <c r="M121" s="544">
        <f t="shared" si="30"/>
        <v>100</v>
      </c>
      <c r="N121" s="1153"/>
      <c r="O121" s="1153"/>
      <c r="P121" s="2631"/>
      <c r="Q121" s="558"/>
    </row>
    <row r="122" spans="1:17" ht="15" thickTop="1">
      <c r="A122" s="598"/>
      <c r="B122" s="537" t="s">
        <v>2617</v>
      </c>
      <c r="C122" s="3043" t="s">
        <v>3253</v>
      </c>
      <c r="D122" s="3043" t="s">
        <v>3254</v>
      </c>
      <c r="E122" s="3043" t="s">
        <v>3255</v>
      </c>
      <c r="F122" s="3044" t="s">
        <v>3256</v>
      </c>
      <c r="G122" s="582"/>
      <c r="H122" s="582"/>
      <c r="I122" s="582"/>
      <c r="J122" s="582"/>
      <c r="K122" s="583"/>
      <c r="L122" s="584"/>
      <c r="M122" s="585"/>
      <c r="N122" s="1151"/>
      <c r="O122" s="1151"/>
      <c r="P122" s="2630"/>
      <c r="Q122" s="503"/>
    </row>
    <row r="123" spans="1:17" ht="15.75" thickBot="1">
      <c r="A123" s="533"/>
      <c r="B123" s="542"/>
      <c r="C123" s="543">
        <v>100</v>
      </c>
      <c r="D123" s="543">
        <f t="shared" ref="D123:M123" si="31">C123-$K42</f>
        <v>98</v>
      </c>
      <c r="E123" s="543">
        <f t="shared" si="31"/>
        <v>96</v>
      </c>
      <c r="F123" s="543">
        <f t="shared" si="31"/>
        <v>94</v>
      </c>
      <c r="G123" s="543">
        <f t="shared" si="31"/>
        <v>92</v>
      </c>
      <c r="H123" s="543">
        <f t="shared" si="31"/>
        <v>90</v>
      </c>
      <c r="I123" s="543">
        <f t="shared" si="31"/>
        <v>88</v>
      </c>
      <c r="J123" s="543">
        <f t="shared" si="31"/>
        <v>86</v>
      </c>
      <c r="K123" s="543">
        <f t="shared" si="31"/>
        <v>84</v>
      </c>
      <c r="L123" s="543">
        <f t="shared" si="31"/>
        <v>82</v>
      </c>
      <c r="M123" s="544">
        <f t="shared" si="31"/>
        <v>80</v>
      </c>
      <c r="N123" s="1152"/>
      <c r="O123" s="1152"/>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18" sqref="G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306" t="s">
        <v>3003</v>
      </c>
      <c r="D1" s="3307"/>
      <c r="E1" s="3307"/>
      <c r="F1" s="3307"/>
      <c r="G1" s="3307"/>
      <c r="H1" s="3307"/>
      <c r="I1" s="3307"/>
      <c r="J1" s="3307"/>
      <c r="K1" s="3307"/>
      <c r="L1" s="3307"/>
      <c r="M1" s="3307"/>
      <c r="N1" s="3307"/>
      <c r="O1" s="3307"/>
      <c r="P1" s="3307"/>
      <c r="Q1" s="3307"/>
      <c r="R1" s="3307"/>
      <c r="S1" s="3308"/>
      <c r="T1" s="1203" t="s">
        <v>3004</v>
      </c>
    </row>
    <row r="2" spans="1:45" s="706" customFormat="1" ht="38.25">
      <c r="A2" s="1204"/>
      <c r="B2" s="702" t="s">
        <v>3005</v>
      </c>
      <c r="C2" s="703" t="str">
        <f t="shared" ref="C2:L2" si="0">C3&amp;"(含)"&amp;"-"&amp;D3</f>
        <v>0(含)-300</v>
      </c>
      <c r="D2" s="704" t="str">
        <f t="shared" si="0"/>
        <v>300(含)-800</v>
      </c>
      <c r="E2" s="704" t="str">
        <f t="shared" si="0"/>
        <v>800(含)-1500</v>
      </c>
      <c r="F2" s="704" t="str">
        <f t="shared" si="0"/>
        <v>1500(含)-2500</v>
      </c>
      <c r="G2" s="704" t="str">
        <f t="shared" si="0"/>
        <v>2500(含)-4000</v>
      </c>
      <c r="H2" s="704" t="str">
        <f t="shared" si="0"/>
        <v>4000(含)-6000</v>
      </c>
      <c r="I2" s="704" t="str">
        <f t="shared" si="0"/>
        <v>6000(含)-8000</v>
      </c>
      <c r="J2" s="704" t="str">
        <f t="shared" si="0"/>
        <v>8000(含)-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t="14.25">
      <c r="A3" s="1206"/>
      <c r="B3" s="707"/>
      <c r="C3" s="594">
        <v>0</v>
      </c>
      <c r="D3" s="594">
        <v>300</v>
      </c>
      <c r="E3" s="594">
        <v>800</v>
      </c>
      <c r="F3" s="594">
        <v>1500</v>
      </c>
      <c r="G3" s="594">
        <v>2500</v>
      </c>
      <c r="H3" s="594">
        <v>4000</v>
      </c>
      <c r="I3" s="594">
        <v>6000</v>
      </c>
      <c r="J3" s="595">
        <v>8000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5" thickBot="1">
      <c r="A4" s="1207"/>
      <c r="B4" s="1208"/>
      <c r="C4" s="559">
        <v>100</v>
      </c>
      <c r="D4" s="535">
        <v>98</v>
      </c>
      <c r="E4" s="535">
        <v>96</v>
      </c>
      <c r="F4" s="535">
        <v>94</v>
      </c>
      <c r="G4" s="535">
        <v>92</v>
      </c>
      <c r="H4" s="535">
        <v>90</v>
      </c>
      <c r="I4" s="535">
        <v>88</v>
      </c>
      <c r="J4" s="535">
        <v>86</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5" thickTop="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3012</v>
      </c>
      <c r="B17" s="2909" t="s">
        <v>3013</v>
      </c>
      <c r="C17" s="1230">
        <v>1</v>
      </c>
      <c r="D17" s="1231">
        <v>2</v>
      </c>
      <c r="E17" s="1231">
        <v>3</v>
      </c>
      <c r="F17" s="1231">
        <v>4</v>
      </c>
      <c r="G17" s="3046" t="s">
        <v>3275</v>
      </c>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70</v>
      </c>
      <c r="E18" s="1243">
        <v>60</v>
      </c>
      <c r="F18" s="1243">
        <v>50</v>
      </c>
      <c r="G18" s="1243">
        <v>60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3014</v>
      </c>
      <c r="E19" s="1791"/>
      <c r="F19" s="1791"/>
      <c r="G19" s="1791"/>
      <c r="H19" s="1279"/>
      <c r="I19" s="167"/>
      <c r="J19" s="167"/>
      <c r="K19" s="167"/>
      <c r="L19" s="167"/>
      <c r="M19" s="167"/>
      <c r="N19" s="167"/>
      <c r="O19" s="167"/>
      <c r="P19" s="167"/>
      <c r="Q19" s="167"/>
      <c r="R19" s="787"/>
      <c r="S19" s="137"/>
    </row>
    <row r="20" spans="1:45" ht="16.5" thickBot="1">
      <c r="A20" s="714" t="s">
        <v>3015</v>
      </c>
      <c r="B20" s="337">
        <f>IF(D20="——",S22,S22-F20)</f>
        <v>101352</v>
      </c>
      <c r="C20" s="167"/>
      <c r="D20" s="2911" t="s">
        <v>70</v>
      </c>
      <c r="E20" s="1792"/>
      <c r="F20" s="1203" t="e">
        <f ca="1">SUMIF(INDIRECT("'"&amp;H20&amp;"'"&amp;"!A:A"),"承租人权益价值",INDIRECT("'"&amp;H20&amp;"'"&amp;"!c:c"))</f>
        <v>#REF!</v>
      </c>
      <c r="G20" s="1203" t="s">
        <v>3016</v>
      </c>
      <c r="H20" s="2912"/>
      <c r="I20" s="167"/>
      <c r="J20" s="167"/>
      <c r="K20" s="167"/>
      <c r="L20" s="167"/>
      <c r="M20" s="167"/>
      <c r="N20" s="167"/>
      <c r="O20" s="167"/>
      <c r="P20" s="167"/>
      <c r="Q20" s="167"/>
      <c r="R20" s="787"/>
      <c r="S20" s="137"/>
    </row>
    <row r="21" spans="1:45" ht="15.75">
      <c r="A21" s="714" t="s">
        <v>3017</v>
      </c>
      <c r="B21" s="337">
        <f>R22</f>
        <v>32504</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31181.27</v>
      </c>
      <c r="C22" s="3165" t="s">
        <v>33</v>
      </c>
      <c r="D22" s="3166"/>
      <c r="E22" s="3166"/>
      <c r="F22" s="3166"/>
      <c r="G22" s="3166"/>
      <c r="H22" s="3166"/>
      <c r="I22" s="3166"/>
      <c r="J22" s="3166"/>
      <c r="K22" s="3166"/>
      <c r="L22" s="3166"/>
      <c r="M22" s="3166"/>
      <c r="N22" s="3166"/>
      <c r="O22" s="3166"/>
      <c r="P22" s="3166"/>
      <c r="Q22" s="3305"/>
      <c r="R22" s="715">
        <f>ROUND(S22*10000/B22,0)</f>
        <v>32504</v>
      </c>
      <c r="S22" s="24">
        <f>SUM(S24:S10000)</f>
        <v>101352</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Sheet1!E6</f>
        <v>5971.11</v>
      </c>
      <c r="C24" s="718">
        <v>1</v>
      </c>
      <c r="D24" s="719"/>
      <c r="E24" s="718">
        <v>1</v>
      </c>
      <c r="F24" s="719"/>
      <c r="G24" s="718">
        <v>1</v>
      </c>
      <c r="H24" s="719"/>
      <c r="I24" s="718">
        <v>1</v>
      </c>
      <c r="J24" s="719"/>
      <c r="K24" s="718">
        <v>1</v>
      </c>
      <c r="L24" s="719"/>
      <c r="M24" s="718">
        <v>1</v>
      </c>
      <c r="N24" s="719"/>
      <c r="O24" s="718">
        <v>1</v>
      </c>
      <c r="P24" s="719">
        <v>1</v>
      </c>
      <c r="Q24" s="718">
        <v>1</v>
      </c>
      <c r="R24" s="720">
        <f>'比较法-商业'!B3</f>
        <v>48671</v>
      </c>
      <c r="S24" s="718">
        <f t="shared" ref="S24:S54" si="11">ROUND(R24*B24/10000,0)</f>
        <v>29062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Sheet1!E7</f>
        <v>5964.67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34070</v>
      </c>
      <c r="S25" s="360">
        <f t="shared" si="11"/>
        <v>20322</v>
      </c>
    </row>
    <row r="26" spans="1:45">
      <c r="A26" s="158"/>
      <c r="B26" s="717">
        <f>Sheet1!E8</f>
        <v>6506.73</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0.6</v>
      </c>
      <c r="R26" s="715">
        <f t="shared" ref="R26:R89" si="20">IF(B26="",0,ROUND($R$24*C26*E26*G26*I26*K26*M26*O26*Q26,0))</f>
        <v>28619</v>
      </c>
      <c r="S26" s="360">
        <f t="shared" si="11"/>
        <v>18622</v>
      </c>
    </row>
    <row r="27" spans="1:45">
      <c r="A27" s="158"/>
      <c r="B27" s="717">
        <f>Sheet1!E9</f>
        <v>6522.04</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4</v>
      </c>
      <c r="Q27" s="24">
        <f t="shared" si="19"/>
        <v>0.5</v>
      </c>
      <c r="R27" s="715">
        <f t="shared" si="20"/>
        <v>23849</v>
      </c>
      <c r="S27" s="360">
        <f t="shared" si="11"/>
        <v>15554</v>
      </c>
    </row>
    <row r="28" spans="1:45">
      <c r="A28" s="158"/>
      <c r="B28" s="717">
        <f>Sheet1!E10</f>
        <v>6216.72</v>
      </c>
      <c r="C28" s="24">
        <f t="shared" si="12"/>
        <v>0.98</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3276</v>
      </c>
      <c r="Q28" s="24">
        <f t="shared" si="19"/>
        <v>0.6</v>
      </c>
      <c r="R28" s="715">
        <f t="shared" si="20"/>
        <v>28619</v>
      </c>
      <c r="S28" s="360">
        <f t="shared" si="11"/>
        <v>17792</v>
      </c>
    </row>
    <row r="29" spans="1:45">
      <c r="A29" s="158"/>
      <c r="B29" s="71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71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t="s">
        <v>3069</v>
      </c>
      <c r="D1" s="2416"/>
      <c r="E1" s="2416"/>
      <c r="F1" s="2418" t="s">
        <v>2115</v>
      </c>
      <c r="G1" s="2068" t="s">
        <v>3216</v>
      </c>
      <c r="H1" s="2419" t="str">
        <f>IF(G1="现房","——","估价对象范围")</f>
        <v>——</v>
      </c>
      <c r="I1" s="2420"/>
    </row>
    <row r="2" spans="1:12" ht="21.75" customHeight="1" thickBot="1">
      <c r="A2" s="3229" t="str">
        <f>项目基本情况!S2</f>
        <v>北京市朝阳区北苑路28号院1号楼房地产</v>
      </c>
      <c r="B2" s="3230"/>
      <c r="C2" s="3230"/>
      <c r="D2" s="3230"/>
      <c r="E2" s="3230"/>
      <c r="F2" s="3230"/>
      <c r="G2" s="3230"/>
      <c r="H2" s="3230"/>
      <c r="I2" s="3231"/>
    </row>
    <row r="3" spans="1:12" ht="12.75">
      <c r="A3" s="3232" t="s">
        <v>2116</v>
      </c>
      <c r="B3" s="3233"/>
      <c r="C3" s="3233"/>
      <c r="D3" s="3233"/>
      <c r="E3" s="3233"/>
      <c r="F3" s="3233"/>
      <c r="G3" s="3233"/>
      <c r="H3" s="3233"/>
      <c r="I3" s="3233"/>
    </row>
    <row r="4" spans="1:12" ht="14.25">
      <c r="A4" s="2423" t="s">
        <v>2117</v>
      </c>
      <c r="B4" s="2424" t="s">
        <v>2118</v>
      </c>
      <c r="C4" s="2425" t="s">
        <v>3211</v>
      </c>
      <c r="D4" s="2425" t="s">
        <v>3219</v>
      </c>
      <c r="E4" s="3213" t="s">
        <v>2119</v>
      </c>
      <c r="F4" s="3226"/>
      <c r="G4" s="3226"/>
      <c r="H4" s="3226"/>
      <c r="I4" s="3214"/>
      <c r="K4" s="2426" t="str">
        <f>IF(ISNUMBER(FIND("比较法",'结果表 (2)'!C4)),"比较法",IF(ISNUMBER(FIND("成本法",'结果表 (2)'!C4)),"成本法",IF(ISNUMBER(FIND("假设开发法",'结果表 (2)'!C4)),"假设开发法",IF(ISNUMBER(FIND("收益法",'结果表 (2)'!C4)),"收益法","基准地价系数修正法"))))</f>
        <v>收益法</v>
      </c>
      <c r="L4" s="2426"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204" t="s">
        <v>2120</v>
      </c>
      <c r="B5" s="3130">
        <v>25</v>
      </c>
      <c r="C5" s="3234"/>
      <c r="D5" s="3222"/>
      <c r="E5" s="139" t="s">
        <v>2121</v>
      </c>
      <c r="F5" s="2427"/>
      <c r="G5" s="2427"/>
      <c r="H5" s="2427"/>
      <c r="I5" s="1830"/>
    </row>
    <row r="6" spans="1:12" ht="12.75">
      <c r="A6" s="3204"/>
      <c r="B6" s="3130"/>
      <c r="C6" s="3236"/>
      <c r="D6" s="3222"/>
      <c r="E6" s="139" t="s">
        <v>2122</v>
      </c>
      <c r="F6" s="2427"/>
      <c r="G6" s="2427"/>
      <c r="H6" s="2427"/>
      <c r="I6" s="1830"/>
    </row>
    <row r="7" spans="1:12" ht="12.75">
      <c r="A7" s="3204"/>
      <c r="B7" s="3130"/>
      <c r="C7" s="3235"/>
      <c r="D7" s="3222"/>
      <c r="E7" s="139" t="s">
        <v>2123</v>
      </c>
      <c r="F7" s="2427"/>
      <c r="G7" s="2427"/>
      <c r="H7" s="2427"/>
      <c r="I7" s="1830"/>
    </row>
    <row r="8" spans="1:12" ht="12.75">
      <c r="A8" s="3204" t="s">
        <v>2124</v>
      </c>
      <c r="B8" s="3130">
        <v>15</v>
      </c>
      <c r="C8" s="3234"/>
      <c r="D8" s="3222"/>
      <c r="E8" s="139" t="s">
        <v>2125</v>
      </c>
      <c r="F8" s="2427"/>
      <c r="G8" s="2427"/>
      <c r="H8" s="2427"/>
      <c r="I8" s="1830"/>
    </row>
    <row r="9" spans="1:12" ht="12.75">
      <c r="A9" s="3204"/>
      <c r="B9" s="3130"/>
      <c r="C9" s="3235"/>
      <c r="D9" s="3222"/>
      <c r="E9" s="139" t="s">
        <v>2126</v>
      </c>
      <c r="F9" s="2427"/>
      <c r="G9" s="2427"/>
      <c r="H9" s="2427"/>
      <c r="I9" s="1830"/>
    </row>
    <row r="10" spans="1:12" ht="12.75">
      <c r="A10" s="3204" t="s">
        <v>2127</v>
      </c>
      <c r="B10" s="3130">
        <v>15</v>
      </c>
      <c r="C10" s="3234"/>
      <c r="D10" s="3222"/>
      <c r="E10" s="139" t="s">
        <v>2128</v>
      </c>
      <c r="F10" s="2427"/>
      <c r="G10" s="2427"/>
      <c r="H10" s="2427"/>
      <c r="I10" s="1830"/>
    </row>
    <row r="11" spans="1:12" ht="12.75">
      <c r="A11" s="3204"/>
      <c r="B11" s="3130"/>
      <c r="C11" s="3235"/>
      <c r="D11" s="3222"/>
      <c r="E11" s="139" t="s">
        <v>2129</v>
      </c>
      <c r="F11" s="2427"/>
      <c r="G11" s="2427"/>
      <c r="H11" s="2427"/>
      <c r="I11" s="1830"/>
    </row>
    <row r="12" spans="1:12" ht="12.75">
      <c r="A12" s="3204" t="s">
        <v>2130</v>
      </c>
      <c r="B12" s="3130">
        <v>15</v>
      </c>
      <c r="C12" s="3234"/>
      <c r="D12" s="3222"/>
      <c r="E12" s="139" t="s">
        <v>2131</v>
      </c>
      <c r="F12" s="2427"/>
      <c r="G12" s="2427"/>
      <c r="H12" s="2427"/>
      <c r="I12" s="1830"/>
    </row>
    <row r="13" spans="1:12" ht="12.75">
      <c r="A13" s="3204"/>
      <c r="B13" s="3130"/>
      <c r="C13" s="3235"/>
      <c r="D13" s="3222"/>
      <c r="E13" s="139" t="s">
        <v>2132</v>
      </c>
      <c r="F13" s="2427"/>
      <c r="G13" s="2427"/>
      <c r="H13" s="2427"/>
      <c r="I13" s="1830"/>
    </row>
    <row r="14" spans="1:12" ht="12.75">
      <c r="A14" s="3204" t="s">
        <v>2133</v>
      </c>
      <c r="B14" s="3130">
        <v>30</v>
      </c>
      <c r="C14" s="3234">
        <v>4</v>
      </c>
      <c r="D14" s="3222">
        <v>6</v>
      </c>
      <c r="E14" s="139" t="s">
        <v>2134</v>
      </c>
      <c r="F14" s="2427"/>
      <c r="G14" s="2427"/>
      <c r="H14" s="2427"/>
      <c r="I14" s="1830"/>
    </row>
    <row r="15" spans="1:12" ht="12.75">
      <c r="A15" s="3204"/>
      <c r="B15" s="3130"/>
      <c r="C15" s="3236"/>
      <c r="D15" s="3222"/>
      <c r="E15" s="139" t="s">
        <v>2135</v>
      </c>
      <c r="F15" s="2427"/>
      <c r="G15" s="2427"/>
      <c r="H15" s="2427"/>
      <c r="I15" s="1830"/>
    </row>
    <row r="16" spans="1:12" ht="12.75">
      <c r="A16" s="3204"/>
      <c r="B16" s="3130"/>
      <c r="C16" s="3235"/>
      <c r="D16" s="3222"/>
      <c r="E16" s="139" t="s">
        <v>2136</v>
      </c>
      <c r="F16" s="2427"/>
      <c r="G16" s="2427"/>
      <c r="H16" s="2427"/>
      <c r="I16" s="1830"/>
    </row>
    <row r="17" spans="1:35" ht="15">
      <c r="A17" s="2428" t="s">
        <v>2137</v>
      </c>
      <c r="B17" s="64"/>
      <c r="C17" s="140">
        <f>SUM(C5:C16)</f>
        <v>4</v>
      </c>
      <c r="D17" s="140">
        <f>SUM(D5:D16)</f>
        <v>6</v>
      </c>
      <c r="E17" s="137"/>
      <c r="F17" s="137"/>
      <c r="G17" s="137"/>
      <c r="H17" s="137"/>
      <c r="I17" s="137"/>
      <c r="K17" s="2426"/>
      <c r="L17" s="2429" t="s">
        <v>2138</v>
      </c>
      <c r="M17" s="2429" t="s">
        <v>2139</v>
      </c>
    </row>
    <row r="18" spans="1:35" ht="15.75" thickBot="1">
      <c r="A18" s="2430" t="s">
        <v>2140</v>
      </c>
      <c r="B18" s="2431"/>
      <c r="C18" s="141">
        <f>ROUND(C17/SUM(C17:D17),2)</f>
        <v>0.4</v>
      </c>
      <c r="D18" s="141">
        <f>1-C18</f>
        <v>0.6</v>
      </c>
      <c r="E18" s="137"/>
      <c r="F18" s="137"/>
      <c r="G18" s="137"/>
      <c r="H18" s="137"/>
      <c r="I18" s="137"/>
      <c r="K18" s="2426" t="s">
        <v>2141</v>
      </c>
      <c r="L18" s="2426">
        <f>IF(C1="",'数据-汇总表'!E3,SUMIF(项目类型,C1,'数据-汇总表'!E17:E26)+SUMIF(项目类型,C1,'数据-汇总表'!I17:I26))</f>
        <v>3559.58</v>
      </c>
      <c r="M18" s="2426">
        <f>IF(C1="",'数据-汇总表'!E3,SUMIF(项目类型,C1,'数据-汇总表'!E17:E26))</f>
        <v>3559.58</v>
      </c>
    </row>
    <row r="19" spans="1:35" ht="15">
      <c r="A19" s="2432" t="s">
        <v>2142</v>
      </c>
      <c r="B19" s="2433" t="s">
        <v>2143</v>
      </c>
      <c r="C19" s="142">
        <f ca="1">SUMIF(INDIRECT("'"&amp;C4&amp;"'"&amp;"!A:A"),'结果表 (2)'!B19,INDIRECT("'"&amp;C4&amp;"'"&amp;"!B:B"))</f>
        <v>717</v>
      </c>
      <c r="D19" s="143">
        <f ca="1">SUMIF(INDIRECT("'"&amp;D4&amp;"'"&amp;"!A:A"),'结果表 (2)'!B19,INDIRECT("'"&amp;D4&amp;"'"&amp;"!B:B"))</f>
        <v>3327</v>
      </c>
      <c r="E19" s="2432" t="s">
        <v>2144</v>
      </c>
      <c r="F19" s="2433" t="s">
        <v>2143</v>
      </c>
      <c r="G19" s="144">
        <f ca="1">ROUND(C19*$C$18+D19*$D$18,0)</f>
        <v>2283</v>
      </c>
      <c r="H19" s="2434" t="s">
        <v>2145</v>
      </c>
      <c r="I19" s="137"/>
      <c r="K19" s="2426" t="s">
        <v>2146</v>
      </c>
      <c r="L19" s="2426">
        <f>IF(C1="",'数据-汇总表'!D3,SUMIF(项目类型,C1,'数据-汇总表'!D17:D26)+SUMIF(项目类型,C1,'数据-汇总表'!H17:H27))</f>
        <v>1043.67</v>
      </c>
      <c r="M19" s="2426">
        <f>IF(C1="",'数据-汇总表'!D3,SUMIF(项目类型,C1,'数据-汇总表'!D17:D26))</f>
        <v>1043.67</v>
      </c>
    </row>
    <row r="20" spans="1:35" ht="15">
      <c r="A20" s="2435"/>
      <c r="B20" s="1246" t="s">
        <v>2147</v>
      </c>
      <c r="C20" s="145">
        <f ca="1">SUMIF(INDIRECT("'"&amp;C4&amp;"'"&amp;"!A:A"),'结果表 (2)'!B20,INDIRECT("'"&amp;C4&amp;"'"&amp;"!B:B"))</f>
        <v>2013</v>
      </c>
      <c r="D20" s="146">
        <f ca="1">SUMIF(INDIRECT("'"&amp;D4&amp;"'"&amp;"!A:A"),'结果表 (2)'!B20,INDIRECT("'"&amp;D4&amp;"'"&amp;"!B:B"))</f>
        <v>9347</v>
      </c>
      <c r="E20" s="2435"/>
      <c r="F20" s="1246" t="s">
        <v>2147</v>
      </c>
      <c r="G20" s="147">
        <f ca="1">ROUND(C20*$C$18+D20*$D$18,0)</f>
        <v>6413</v>
      </c>
      <c r="H20" s="979" t="s">
        <v>2148</v>
      </c>
      <c r="I20" s="137"/>
    </row>
    <row r="21" spans="1:35" ht="15" customHeight="1" thickBot="1">
      <c r="A21" s="999"/>
      <c r="B21" s="2436" t="s">
        <v>2149</v>
      </c>
      <c r="C21" s="788">
        <f ca="1">ROUND(C19*10000/L19,0)</f>
        <v>6870</v>
      </c>
      <c r="D21" s="789">
        <f ca="1">ROUND(D19*10000/L19,0)</f>
        <v>31878</v>
      </c>
      <c r="E21" s="999"/>
      <c r="F21" s="2436" t="s">
        <v>2149</v>
      </c>
      <c r="G21" s="148">
        <f ca="1">ROUND(G19*10000/L19,0)</f>
        <v>21875</v>
      </c>
      <c r="H21" s="2437" t="s">
        <v>2148</v>
      </c>
      <c r="I21" s="137"/>
    </row>
    <row r="22" spans="1:35" ht="15" thickBot="1">
      <c r="A22" s="2278" t="s">
        <v>2150</v>
      </c>
      <c r="B22" s="2438"/>
      <c r="C22" s="2439"/>
      <c r="D22" s="790">
        <f ca="1">IF(C19&lt;D19,D19/C19-1,C19/D19-1)</f>
        <v>3.6401673640167367</v>
      </c>
      <c r="E22" s="137"/>
      <c r="F22" s="137"/>
      <c r="G22" s="137"/>
      <c r="H22" s="137"/>
      <c r="I22" s="137"/>
    </row>
    <row r="23" spans="1:35" ht="13.5" hidden="1" thickBot="1">
      <c r="A23" s="2416"/>
      <c r="B23" s="2416"/>
      <c r="C23" s="2416"/>
      <c r="D23" s="2416"/>
      <c r="E23" s="137"/>
      <c r="F23" s="137"/>
      <c r="G23" s="137"/>
      <c r="H23" s="137"/>
      <c r="I23" s="137"/>
    </row>
    <row r="24" spans="1:35" ht="14.25" hidden="1">
      <c r="A24" s="3243" t="s">
        <v>2151</v>
      </c>
      <c r="B24" s="2433" t="s">
        <v>2143</v>
      </c>
      <c r="C24" s="144">
        <f>IF(B30=0,0,D30)</f>
        <v>0</v>
      </c>
      <c r="D24" s="2440"/>
      <c r="E24" s="137"/>
      <c r="F24" s="137"/>
      <c r="G24" s="137"/>
      <c r="H24" s="137"/>
      <c r="I24" s="137"/>
    </row>
    <row r="25" spans="1:35" ht="14.25" hidden="1">
      <c r="A25" s="3244"/>
      <c r="B25" s="1246" t="s">
        <v>2147</v>
      </c>
      <c r="C25" s="149">
        <f>IF(B30=0,0,C30)</f>
        <v>0</v>
      </c>
      <c r="D25" s="2441"/>
      <c r="E25" s="137"/>
      <c r="F25" s="137"/>
      <c r="G25" s="137"/>
      <c r="H25" s="137"/>
      <c r="I25" s="137"/>
    </row>
    <row r="26" spans="1:35" ht="13.5" hidden="1" customHeight="1">
      <c r="A26" s="2442" t="s">
        <v>2152</v>
      </c>
      <c r="B26" s="150" t="s">
        <v>2153</v>
      </c>
      <c r="C26" s="150" t="s">
        <v>2154</v>
      </c>
      <c r="D26" s="151" t="s">
        <v>2155</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2156</v>
      </c>
      <c r="B30" s="150"/>
      <c r="C30" s="150"/>
      <c r="D30" s="150"/>
      <c r="E30" s="2915" t="s">
        <v>3032</v>
      </c>
      <c r="F30" s="137"/>
      <c r="G30" s="137"/>
      <c r="H30" s="137"/>
      <c r="I30" s="137"/>
    </row>
    <row r="31" spans="1:35" s="2444" customFormat="1" ht="15" hidden="1"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hidden="1" thickBot="1">
      <c r="A32" s="2445" t="s">
        <v>2157</v>
      </c>
      <c r="B32" s="2446"/>
      <c r="C32" s="152">
        <f ca="1">IF(D32="总价",G19-C24,G20-C25)</f>
        <v>2283</v>
      </c>
      <c r="D32" s="2447" t="s">
        <v>2158</v>
      </c>
      <c r="E32" s="137"/>
      <c r="F32" s="137"/>
      <c r="G32" s="137"/>
      <c r="H32" s="137"/>
      <c r="I32" s="137"/>
    </row>
    <row r="33" spans="1:15" ht="15" hidden="1">
      <c r="A33" s="956" t="s">
        <v>2159</v>
      </c>
      <c r="B33" s="2448"/>
      <c r="C33" s="2449" t="s">
        <v>3278</v>
      </c>
      <c r="D33" s="2450"/>
      <c r="E33" s="2451" t="s">
        <v>2160</v>
      </c>
      <c r="F33" s="2950" t="str">
        <f>IF(D32="楼面单价","取值（单价）","取值（总价）")</f>
        <v>取值（总价）</v>
      </c>
      <c r="G33" s="137"/>
      <c r="H33" s="137"/>
      <c r="I33" s="137"/>
    </row>
    <row r="34" spans="1:15" ht="15" hidden="1">
      <c r="A34" s="2453"/>
      <c r="B34" s="2454" t="s">
        <v>2161</v>
      </c>
      <c r="C34" s="156">
        <f ca="1">IF(C33="自定义",F34,C32-C35)</f>
        <v>1046</v>
      </c>
      <c r="D34" s="1054">
        <f ca="1">IF(C33="自定义",ROUND(C34/C32,3),IF(C33="收益比率",SUMIF(INDIRECT("'"&amp;D33&amp;"'"&amp;"!b:b"),"土地收益比率",INDIRECT("'"&amp;D33&amp;"'"&amp;"!c:c")),SUMIF(INDIRECT("'"&amp;D33&amp;"'"&amp;"!b:b"),"土地成本比率",INDIRECT("'"&amp;D33&amp;"'"&amp;"!c:c"))))</f>
        <v>0.45800000000000002</v>
      </c>
      <c r="E34" s="2455" t="s">
        <v>2162</v>
      </c>
      <c r="F34" s="1735">
        <f ca="1">G19-F35</f>
        <v>1046</v>
      </c>
      <c r="G34" s="137"/>
      <c r="H34" s="137"/>
      <c r="I34" s="137"/>
    </row>
    <row r="35" spans="1:15" ht="15.75" hidden="1" thickBot="1">
      <c r="A35" s="2456"/>
      <c r="B35" s="2457" t="s">
        <v>2163</v>
      </c>
      <c r="C35" s="1440">
        <f ca="1">IF(C33="自定义",F35,ROUND(C32*D35,0))</f>
        <v>1237</v>
      </c>
      <c r="D35" s="1441">
        <f ca="1">IF(C33="自定义",ROUND(C35/C32,3),IF(C33="收益比率",SUMIF(INDIRECT("'"&amp;D33&amp;"'"&amp;"!b:b"),"建筑物收益比率",INDIRECT("'"&amp;D33&amp;"'"&amp;"!c:c")),SUMIF(INDIRECT("'"&amp;D33&amp;"'"&amp;"!b:b"),"建筑物成本比率",INDIRECT("'"&amp;D33&amp;"'"&amp;"!c:c"))))</f>
        <v>0.54200000000000004</v>
      </c>
      <c r="E35" s="2458" t="s">
        <v>2164</v>
      </c>
      <c r="F35" s="162">
        <f ca="1">ROUND('收益法 (元)'!C29/10000,0)</f>
        <v>1237</v>
      </c>
      <c r="G35" s="137"/>
      <c r="H35" s="137"/>
      <c r="I35" s="137"/>
    </row>
    <row r="36" spans="1:15" ht="15.75" hidden="1" thickBot="1">
      <c r="A36" s="3223" t="s">
        <v>2165</v>
      </c>
      <c r="B36" s="2459" t="s">
        <v>2166</v>
      </c>
      <c r="C36" s="153"/>
      <c r="D36" s="2460"/>
      <c r="E36" s="2461"/>
      <c r="F36" s="2462"/>
      <c r="G36" s="137"/>
      <c r="H36" s="137"/>
      <c r="I36" s="137"/>
    </row>
    <row r="37" spans="1:15" ht="15.75" hidden="1" thickBot="1">
      <c r="A37" s="3224"/>
      <c r="B37" s="2264" t="s">
        <v>2167</v>
      </c>
      <c r="C37" s="155"/>
      <c r="D37" s="1391"/>
      <c r="E37" s="1391"/>
      <c r="F37" s="2462"/>
      <c r="G37" s="137"/>
      <c r="H37" s="137"/>
      <c r="I37" s="137"/>
    </row>
    <row r="38" spans="1:15" ht="15.75" hidden="1" thickBot="1">
      <c r="A38" s="3225"/>
      <c r="B38" s="2463" t="s">
        <v>2168</v>
      </c>
      <c r="C38" s="726"/>
      <c r="D38" s="2464" t="s">
        <v>2169</v>
      </c>
      <c r="E38" s="1391"/>
      <c r="F38" s="2462"/>
      <c r="G38" s="137"/>
      <c r="H38" s="137"/>
      <c r="I38" s="137"/>
    </row>
    <row r="39" spans="1:15" ht="15" hidden="1">
      <c r="A39" s="2435" t="s">
        <v>2170</v>
      </c>
      <c r="B39" s="2465" t="s">
        <v>2171</v>
      </c>
      <c r="C39" s="2466" t="s">
        <v>2172</v>
      </c>
      <c r="D39" s="2466" t="s">
        <v>2173</v>
      </c>
      <c r="E39" s="2467" t="s">
        <v>2174</v>
      </c>
      <c r="F39" s="2462"/>
      <c r="G39" s="137"/>
      <c r="H39" s="137"/>
      <c r="I39" s="137"/>
    </row>
    <row r="40" spans="1:15" ht="14.25" hidden="1">
      <c r="A40" s="2468" t="s">
        <v>2175</v>
      </c>
      <c r="B40" s="157"/>
      <c r="C40" s="158"/>
      <c r="D40" s="158"/>
      <c r="E40" s="159"/>
      <c r="F40" s="2462"/>
      <c r="G40" s="137"/>
      <c r="H40" s="137"/>
      <c r="I40" s="137"/>
    </row>
    <row r="41" spans="1:15" ht="14.25" hidden="1">
      <c r="A41" s="2468" t="s">
        <v>2176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240" t="s">
        <v>2179</v>
      </c>
      <c r="B45" s="3241"/>
      <c r="C45" s="3242"/>
      <c r="D45" s="163">
        <f ca="1">ROUND(H101*F45,0)</f>
        <v>2283</v>
      </c>
      <c r="E45" s="164" t="s">
        <v>2180</v>
      </c>
      <c r="F45" s="165">
        <v>1</v>
      </c>
      <c r="G45" s="166" t="s">
        <v>2181</v>
      </c>
      <c r="H45" s="137"/>
      <c r="I45" s="137"/>
      <c r="J45" s="3159" t="s">
        <v>2182</v>
      </c>
      <c r="K45" s="3159"/>
      <c r="L45" s="3159"/>
      <c r="M45" s="3159"/>
      <c r="N45" s="3159"/>
      <c r="O45" s="3159"/>
    </row>
    <row r="46" spans="1:15" ht="14.25" hidden="1" customHeight="1">
      <c r="A46" s="3237" t="s">
        <v>2183</v>
      </c>
      <c r="B46" s="3238"/>
      <c r="C46" s="3238"/>
      <c r="D46" s="3238"/>
      <c r="E46" s="3238"/>
      <c r="F46" s="3238"/>
      <c r="G46" s="3239"/>
      <c r="H46" s="2478"/>
      <c r="I46" s="167"/>
      <c r="J46" s="2955">
        <v>1</v>
      </c>
      <c r="K46" s="3159" t="s">
        <v>2184</v>
      </c>
      <c r="L46" s="3159"/>
      <c r="M46" s="3160"/>
      <c r="N46" s="3160"/>
      <c r="O46" s="3160"/>
    </row>
    <row r="47" spans="1:15" ht="12" hidden="1" customHeight="1">
      <c r="A47" s="168" t="s">
        <v>2185</v>
      </c>
      <c r="B47" s="169"/>
      <c r="C47" s="170"/>
      <c r="D47" s="171" t="s">
        <v>2186</v>
      </c>
      <c r="E47" s="24" t="s">
        <v>2187</v>
      </c>
      <c r="F47" s="172" t="s">
        <v>2188</v>
      </c>
      <c r="G47" s="173" t="s">
        <v>2189</v>
      </c>
      <c r="H47" s="2478"/>
      <c r="I47" s="167"/>
      <c r="J47" s="2955">
        <v>2</v>
      </c>
      <c r="K47" s="3159" t="s">
        <v>2190</v>
      </c>
      <c r="L47" s="3159"/>
      <c r="M47" s="3161">
        <f>'数据-取费表'!B2</f>
        <v>43634</v>
      </c>
      <c r="N47" s="3161"/>
      <c r="O47" s="3161"/>
    </row>
    <row r="48" spans="1:15" ht="25.5" hidden="1">
      <c r="A48" s="3227" t="s">
        <v>2191</v>
      </c>
      <c r="B48" s="3228"/>
      <c r="C48" s="3228"/>
      <c r="D48" s="139">
        <f>IF(H48="情况1",0,IF(H48="情况2",D52,IF(H48="情况3",D53,IF(H48="情况4",D54))))</f>
        <v>0</v>
      </c>
      <c r="E48" s="2964" t="str">
        <f>IF(H48="情况4","(销售额-原购置价)×税（费）率","销售额×税（费）率")</f>
        <v>销售额×税（费）率</v>
      </c>
      <c r="F48" s="174" t="str">
        <f>IF(H48="情况1","免征",'数据-取费表'!B41)</f>
        <v>免征</v>
      </c>
      <c r="G48" s="2479" t="s">
        <v>2192</v>
      </c>
      <c r="H48" s="2480" t="s">
        <v>2193</v>
      </c>
      <c r="I48" s="2478"/>
      <c r="J48" s="2955">
        <v>3</v>
      </c>
      <c r="K48" s="3159" t="s">
        <v>2194</v>
      </c>
      <c r="L48" s="3159"/>
      <c r="M48" s="3162">
        <f ca="1">H101</f>
        <v>2283</v>
      </c>
      <c r="N48" s="3162"/>
      <c r="O48" s="3162"/>
    </row>
    <row r="49" spans="1:35" ht="25.5" hidden="1" customHeight="1">
      <c r="A49" s="175" t="s">
        <v>2195</v>
      </c>
      <c r="B49" s="3207" t="s">
        <v>2196</v>
      </c>
      <c r="C49" s="3207"/>
      <c r="D49" s="176">
        <v>0</v>
      </c>
      <c r="E49" s="23" t="s">
        <v>2197</v>
      </c>
      <c r="F49" s="28" t="s">
        <v>34</v>
      </c>
      <c r="G49" s="3188"/>
      <c r="H49" s="137"/>
      <c r="I49" s="2481"/>
      <c r="J49" s="2955">
        <v>4</v>
      </c>
      <c r="K49" s="3159" t="str">
        <f>IF(项目基本情况!E8="房地产抵押价值","房地产抵押价值","抵押担保权已注销时的房地产抵押价值")</f>
        <v>房地产抵押价值</v>
      </c>
      <c r="L49" s="3159"/>
      <c r="M49" s="3162">
        <f ca="1">IF(项目基本情况!E8="房地产抵押价值",H107,H109)</f>
        <v>2283</v>
      </c>
      <c r="N49" s="3162"/>
      <c r="O49" s="3162"/>
    </row>
    <row r="50" spans="1:35" ht="25.5" hidden="1" customHeight="1">
      <c r="A50" s="177"/>
      <c r="B50" s="3207" t="s">
        <v>2198</v>
      </c>
      <c r="C50" s="3207"/>
      <c r="D50" s="178"/>
      <c r="E50" s="31"/>
      <c r="F50" s="179"/>
      <c r="G50" s="3189"/>
      <c r="H50" s="137"/>
      <c r="I50" s="2481"/>
      <c r="J50" s="3159" t="s">
        <v>2199</v>
      </c>
      <c r="K50" s="3159"/>
      <c r="L50" s="3159"/>
      <c r="M50" s="3159"/>
      <c r="N50" s="3159"/>
      <c r="O50" s="3159"/>
    </row>
    <row r="51" spans="1:35" ht="12" hidden="1" customHeight="1">
      <c r="A51" s="180"/>
      <c r="B51" s="3207" t="s">
        <v>2200</v>
      </c>
      <c r="C51" s="3207"/>
      <c r="D51" s="181"/>
      <c r="E51" s="30"/>
      <c r="F51" s="179"/>
      <c r="G51" s="3190"/>
      <c r="H51" s="137"/>
      <c r="I51" s="2481"/>
      <c r="J51" s="2952" t="s">
        <v>2201</v>
      </c>
      <c r="K51" s="3159" t="s">
        <v>2202</v>
      </c>
      <c r="L51" s="3159"/>
      <c r="M51" s="2952" t="s">
        <v>2203</v>
      </c>
      <c r="N51" s="2952" t="s">
        <v>2204</v>
      </c>
      <c r="O51" s="2952" t="s">
        <v>2205</v>
      </c>
    </row>
    <row r="52" spans="1:35" ht="24" hidden="1" customHeight="1">
      <c r="A52" s="182" t="s">
        <v>2206</v>
      </c>
      <c r="B52" s="3207" t="s">
        <v>2207</v>
      </c>
      <c r="C52" s="3207"/>
      <c r="D52" s="181">
        <f ca="1">ROUND(D45*'数据-取费表'!B41/(1+'数据-取费表'!C42),0)</f>
        <v>122</v>
      </c>
      <c r="E52" s="11" t="s">
        <v>2208</v>
      </c>
      <c r="F52" s="183">
        <f>'数据-取费表'!B41</f>
        <v>5.6000000000000001E-2</v>
      </c>
      <c r="G52" s="2483"/>
      <c r="H52" s="137"/>
      <c r="I52" s="2481"/>
      <c r="J52" s="2955">
        <v>1</v>
      </c>
      <c r="K52" s="3182" t="s">
        <v>2209</v>
      </c>
      <c r="L52" s="3182"/>
      <c r="M52" s="1750">
        <f>D48</f>
        <v>0</v>
      </c>
      <c r="N52" s="2955" t="str">
        <f>E48</f>
        <v>销售额×税（费）率</v>
      </c>
      <c r="O52" s="1751" t="str">
        <f>F48</f>
        <v>免征</v>
      </c>
    </row>
    <row r="53" spans="1:35" ht="12" hidden="1" customHeight="1">
      <c r="A53" s="182" t="s">
        <v>2210</v>
      </c>
      <c r="B53" s="3208" t="s">
        <v>2211</v>
      </c>
      <c r="C53" s="3209"/>
      <c r="D53" s="181">
        <f ca="1">ROUND(D45*'数据-取费表'!B41/(1+'数据-取费表'!C42),0)</f>
        <v>122</v>
      </c>
      <c r="E53" s="11" t="s">
        <v>2208</v>
      </c>
      <c r="F53" s="183">
        <f>'数据-取费表'!B41</f>
        <v>5.6000000000000001E-2</v>
      </c>
      <c r="G53" s="2483"/>
      <c r="H53" s="137"/>
      <c r="I53" s="2481"/>
      <c r="J53" s="2955">
        <v>2</v>
      </c>
      <c r="K53" s="3182" t="s">
        <v>2212</v>
      </c>
      <c r="L53" s="3182"/>
      <c r="M53" s="1750">
        <f t="shared" ref="M53:O54" ca="1" si="0">D55</f>
        <v>1</v>
      </c>
      <c r="N53" s="2955" t="str">
        <f t="shared" si="0"/>
        <v>销售额×税（费）率</v>
      </c>
      <c r="O53" s="1751">
        <f t="shared" si="0"/>
        <v>5.0000000000000001E-4</v>
      </c>
    </row>
    <row r="54" spans="1:35" ht="12" hidden="1" customHeight="1">
      <c r="A54" s="182" t="s">
        <v>2213</v>
      </c>
      <c r="B54" s="3208" t="s">
        <v>2214</v>
      </c>
      <c r="C54" s="3209"/>
      <c r="D54" s="181">
        <f ca="1">C68</f>
        <v>122</v>
      </c>
      <c r="E54" s="30" t="s">
        <v>2215</v>
      </c>
      <c r="F54" s="183">
        <f>'数据-取费表'!B41</f>
        <v>5.6000000000000001E-2</v>
      </c>
      <c r="G54" s="2483"/>
      <c r="H54" s="2484"/>
      <c r="I54" s="2481"/>
      <c r="J54" s="2955">
        <v>3</v>
      </c>
      <c r="K54" s="3182" t="s">
        <v>2216</v>
      </c>
      <c r="L54" s="3182"/>
      <c r="M54" s="1750">
        <f t="shared" ca="1" si="0"/>
        <v>1292</v>
      </c>
      <c r="N54" s="2955" t="str">
        <f t="shared" si="0"/>
        <v>增值额×税（费）率</v>
      </c>
      <c r="O54" s="1752" t="str">
        <f t="shared" si="0"/>
        <v>——</v>
      </c>
    </row>
    <row r="55" spans="1:35" ht="24" hidden="1" customHeight="1">
      <c r="A55" s="3246" t="s">
        <v>2217</v>
      </c>
      <c r="B55" s="3228"/>
      <c r="C55" s="3228"/>
      <c r="D55" s="184">
        <f ca="1">IF(H55="个人住宅",0,ROUND(D45*I55,0))</f>
        <v>1</v>
      </c>
      <c r="E55" s="11" t="s">
        <v>2218</v>
      </c>
      <c r="F55" s="183">
        <f>IF(H55="正常",I55,"免征")</f>
        <v>5.0000000000000001E-4</v>
      </c>
      <c r="G55" s="2483"/>
      <c r="H55" s="2480" t="s">
        <v>2219</v>
      </c>
      <c r="I55" s="185">
        <f>'数据-取费表'!B49</f>
        <v>5.0000000000000001E-4</v>
      </c>
      <c r="J55" s="2955" t="str">
        <f>IF(H59="非个人房产","",4)</f>
        <v/>
      </c>
      <c r="K55" s="3182" t="str">
        <f>IF(H59="非个人房产","——","个人所得税")</f>
        <v>——</v>
      </c>
      <c r="L55" s="3182"/>
      <c r="M55" s="1753" t="str">
        <f>D59</f>
        <v>——</v>
      </c>
      <c r="N55" s="2956" t="str">
        <f>E59</f>
        <v>——</v>
      </c>
      <c r="O55" s="1754" t="str">
        <f>F59</f>
        <v>——</v>
      </c>
    </row>
    <row r="56" spans="1:35" ht="24.75" hidden="1">
      <c r="A56" s="3246" t="s">
        <v>2220</v>
      </c>
      <c r="B56" s="3228"/>
      <c r="C56" s="3228"/>
      <c r="D56" s="184">
        <f ca="1">IF(H56="个人住宅",D57,D58)</f>
        <v>1292</v>
      </c>
      <c r="E56" s="11" t="s">
        <v>2221</v>
      </c>
      <c r="F56" s="183" t="str">
        <f>IF(H56="正常",F58,"免征")</f>
        <v>——</v>
      </c>
      <c r="G56" s="2485" t="s">
        <v>2222</v>
      </c>
      <c r="H56" s="2486" t="s">
        <v>2219</v>
      </c>
      <c r="I56" s="2487"/>
      <c r="J56" s="2955" t="str">
        <f>IF(项目基本情况!K6="上海银行",IF(J55="",4,J55+1),"")</f>
        <v/>
      </c>
      <c r="K56" s="3165" t="str">
        <f>IF(项目基本情况!K6="上海银行","其他处置费用","")</f>
        <v/>
      </c>
      <c r="L56" s="3166"/>
      <c r="M56" s="1750" t="str">
        <f>IF(项目基本情况!K6="上海银行",M69,"")</f>
        <v/>
      </c>
      <c r="N56" s="3168" t="str">
        <f>IF(项目基本情况!K6="上海银行","包含处置中涉及的律师、诉讼、拍卖、评估等费用","")</f>
        <v/>
      </c>
      <c r="O56" s="3169"/>
    </row>
    <row r="57" spans="1:35" ht="12.75" hidden="1">
      <c r="A57" s="182" t="s">
        <v>2195</v>
      </c>
      <c r="B57" s="3213" t="s">
        <v>2223</v>
      </c>
      <c r="C57" s="3214"/>
      <c r="D57" s="186">
        <v>0</v>
      </c>
      <c r="E57" s="23" t="s">
        <v>2197</v>
      </c>
      <c r="F57" s="154"/>
      <c r="G57" s="2483"/>
      <c r="H57" s="2487"/>
      <c r="I57" s="2487"/>
      <c r="J57" s="3182">
        <f>IF(AND(J55="",J56=""),4,IF(项目基本情况!K6="上海银行",'结果表 (2)'!J56+1,'结果表 (2)'!J55+1))</f>
        <v>4</v>
      </c>
      <c r="K57" s="3182" t="s">
        <v>2224</v>
      </c>
      <c r="L57" s="2488" t="s">
        <v>2225</v>
      </c>
      <c r="M57" s="1755"/>
      <c r="N57" s="1756">
        <f ca="1">SUMIF(M52:M56,"&lt;9e307")</f>
        <v>1293</v>
      </c>
      <c r="O57" s="2489"/>
      <c r="P57" s="1749">
        <f ca="1">N57/M49</f>
        <v>0.56636005256241784</v>
      </c>
    </row>
    <row r="58" spans="1:35" ht="24.75" hidden="1">
      <c r="A58" s="182" t="s">
        <v>2206</v>
      </c>
      <c r="B58" s="3213" t="s">
        <v>2226</v>
      </c>
      <c r="C58" s="3226"/>
      <c r="D58" s="184">
        <f ca="1">IF(H58="转让取得",C81,C97)</f>
        <v>1292</v>
      </c>
      <c r="E58" s="11" t="s">
        <v>2221</v>
      </c>
      <c r="F58" s="24" t="s">
        <v>34</v>
      </c>
      <c r="G58" s="2483"/>
      <c r="H58" s="2486" t="s">
        <v>2227</v>
      </c>
      <c r="I58" s="2487"/>
      <c r="J58" s="3182"/>
      <c r="K58" s="3182"/>
      <c r="L58" s="2488" t="s">
        <v>2228</v>
      </c>
      <c r="M58" s="1757"/>
      <c r="N58" s="2490" t="str">
        <f ca="1">NUMBERSTRING(INT(N57*10000),2)&amp;"元整"</f>
        <v>壹仟贰佰玖拾叁万元整</v>
      </c>
      <c r="O58" s="2491"/>
    </row>
    <row r="59" spans="1:35" ht="24.75" hidden="1" thickBot="1">
      <c r="A59" s="3186" t="s">
        <v>2229</v>
      </c>
      <c r="B59" s="3187"/>
      <c r="C59" s="3187"/>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184">
        <f>J57+1</f>
        <v>5</v>
      </c>
      <c r="K59" s="3182" t="s">
        <v>2231</v>
      </c>
      <c r="L59" s="2955" t="s">
        <v>2225</v>
      </c>
      <c r="M59" s="1758"/>
      <c r="N59" s="1759">
        <f ca="1">M49-N57</f>
        <v>990</v>
      </c>
      <c r="O59" s="2493"/>
    </row>
    <row r="60" spans="1:35" ht="12" hidden="1" customHeight="1">
      <c r="A60" s="2494"/>
      <c r="B60" s="2416"/>
      <c r="C60" s="2416"/>
      <c r="D60" s="2416"/>
      <c r="E60" s="2163"/>
      <c r="F60" s="2487"/>
      <c r="G60" s="2487"/>
      <c r="H60" s="2495"/>
      <c r="I60" s="137"/>
      <c r="J60" s="3185"/>
      <c r="K60" s="3182"/>
      <c r="L60" s="2488" t="s">
        <v>2228</v>
      </c>
      <c r="M60" s="1757"/>
      <c r="N60" s="2490" t="str">
        <f ca="1">NUMBERSTRING(INT(N59*10000),2)&amp;"元整"</f>
        <v>玖佰玖拾万元整</v>
      </c>
      <c r="O60" s="2491"/>
    </row>
    <row r="61" spans="1:35" ht="13.5" hidden="1" thickBot="1">
      <c r="A61" s="3245" t="s">
        <v>2232</v>
      </c>
      <c r="B61" s="3245"/>
      <c r="C61" s="3245"/>
      <c r="D61" s="3245"/>
      <c r="E61" s="3245"/>
      <c r="F61" s="2487"/>
      <c r="G61" s="2487"/>
      <c r="H61" s="2495"/>
      <c r="I61" s="137"/>
      <c r="J61" s="2955">
        <f>J59+1</f>
        <v>6</v>
      </c>
      <c r="K61" s="3182" t="s">
        <v>2233</v>
      </c>
      <c r="L61" s="3182"/>
      <c r="M61" s="1760"/>
      <c r="N61" s="1761">
        <f ca="1">ROUND(N59*10000/'数据-汇总表'!E3,0)</f>
        <v>285</v>
      </c>
      <c r="O61" s="2496"/>
    </row>
    <row r="62" spans="1:35" ht="12.75" hidden="1">
      <c r="A62" s="3202" t="s">
        <v>2234</v>
      </c>
      <c r="B62" s="3203"/>
      <c r="C62" s="2960"/>
      <c r="D62" s="2960" t="s">
        <v>2235</v>
      </c>
      <c r="E62" s="191" t="s">
        <v>2236</v>
      </c>
      <c r="F62" s="2487"/>
      <c r="G62" s="2487"/>
      <c r="H62" s="2495"/>
      <c r="I62" s="137"/>
    </row>
    <row r="63" spans="1:35" ht="12.75" hidden="1">
      <c r="A63" s="202" t="s">
        <v>775</v>
      </c>
      <c r="B63" s="192" t="s">
        <v>2237</v>
      </c>
      <c r="C63" s="193">
        <f ca="1">ROUND((C64+C65)/(1+'数据-取费表'!C42),0)</f>
        <v>2174</v>
      </c>
      <c r="D63" s="194"/>
      <c r="E63" s="195"/>
      <c r="F63" s="2487"/>
      <c r="G63" s="2487"/>
      <c r="H63" s="2495"/>
      <c r="I63" s="137"/>
      <c r="J63" s="3167" t="s">
        <v>2238</v>
      </c>
      <c r="K63" s="2953" t="s">
        <v>2239</v>
      </c>
      <c r="L63" s="1748">
        <f ca="1">IF(M49&gt;10000,M49*0.5%,IF(AND(M49&gt;1000,M49&lt;=10000),M49*1%,IF(AND(M49&gt;100,M49&lt;=1000),M49*3%,IF(AND(M49&gt;10,M49&lt;=100),M49*5%,M49*8%))))</f>
        <v>22.830000000000002</v>
      </c>
      <c r="M63" s="24">
        <f ca="1">ROUND(L63,1)</f>
        <v>22.8</v>
      </c>
      <c r="Z63" s="2421"/>
      <c r="AI63" s="2422"/>
    </row>
    <row r="64" spans="1:35" ht="14.25" hidden="1" customHeight="1">
      <c r="A64" s="196" t="s">
        <v>770</v>
      </c>
      <c r="B64" s="197" t="s">
        <v>2240</v>
      </c>
      <c r="C64" s="198">
        <f ca="1">D45</f>
        <v>2283</v>
      </c>
      <c r="D64" s="199" t="s">
        <v>32</v>
      </c>
      <c r="E64" s="200"/>
      <c r="F64" s="2487"/>
      <c r="G64" s="2487"/>
      <c r="H64" s="2495"/>
      <c r="I64" s="137"/>
      <c r="J64" s="3167"/>
      <c r="K64" s="2953" t="s">
        <v>2241</v>
      </c>
      <c r="L64" s="1748">
        <f ca="1">IF(M49&gt;2000,M49*0.5%,IF(AND(M49&gt;1000,M49&lt;=2000),M49*0.6%,IF(AND(M49&gt;500,M49&lt;=1000),M49*0.7%,IF(AND(M49&gt;200,M49&lt;=500),M49*0.8%,IF(AND(M49&gt;100,M49&lt;=200),M49*0.9%,IF(AND(M49&gt;50,M49&lt;=100),M49*1%,IF(AND(M49&gt;20,M49&lt;=50),M49*1.5%,IF(AND(M49&gt;10,M49&lt;=20),M49*2%,IF(AND(M49&gt;1,M49&lt;=10),M49*2.5%)))))))))</f>
        <v>11.415000000000001</v>
      </c>
      <c r="M64" s="24">
        <f t="shared" ref="M64:M65" ca="1" si="1">ROUND(L64,1)</f>
        <v>11.4</v>
      </c>
      <c r="N64" s="137" t="s">
        <v>2242</v>
      </c>
      <c r="Z64" s="2421"/>
      <c r="AI64" s="2422"/>
    </row>
    <row r="65" spans="1:35" ht="14.25" hidden="1" customHeight="1">
      <c r="A65" s="196" t="s">
        <v>771</v>
      </c>
      <c r="B65" s="197" t="s">
        <v>2243</v>
      </c>
      <c r="C65" s="201"/>
      <c r="D65" s="199"/>
      <c r="E65" s="200"/>
      <c r="F65" s="2487"/>
      <c r="G65" s="2487"/>
      <c r="H65" s="2495"/>
      <c r="I65" s="137"/>
      <c r="J65" s="3167"/>
      <c r="K65" s="2953" t="s">
        <v>2244</v>
      </c>
      <c r="L65" s="1748">
        <f ca="1">IF(M49&gt;1000,M49*0.1%,IF(AND(M49&gt;500,M49&lt;=1000),M49*0.5%,IF(AND(M49&gt;50,M49&lt;=500),M49*1%,IF(AND(M49&gt;1,M49&lt;=50),M49*1.5%))))</f>
        <v>2.2829999999999999</v>
      </c>
      <c r="M65" s="24">
        <f t="shared" ca="1" si="1"/>
        <v>2.2999999999999998</v>
      </c>
      <c r="N65" s="137" t="s">
        <v>2242</v>
      </c>
      <c r="Z65" s="2421"/>
      <c r="AI65" s="2422"/>
    </row>
    <row r="66" spans="1:35" ht="14.25" hidden="1" customHeight="1">
      <c r="A66" s="202" t="s">
        <v>772</v>
      </c>
      <c r="B66" s="203" t="s">
        <v>2245</v>
      </c>
      <c r="C66" s="204"/>
      <c r="D66" s="205" t="s">
        <v>32</v>
      </c>
      <c r="E66" s="1772" t="s">
        <v>1367</v>
      </c>
      <c r="F66" s="2487"/>
      <c r="G66" s="2487"/>
      <c r="H66" s="2495"/>
      <c r="I66" s="137"/>
      <c r="J66" s="3167"/>
      <c r="K66" s="2953" t="s">
        <v>2246</v>
      </c>
      <c r="L66" s="1748">
        <f ca="1">M49*0.5%</f>
        <v>11.415000000000001</v>
      </c>
      <c r="M66" s="24">
        <f ca="1">IF(L66&gt;0.5,0.5,ROUND(L66,0))</f>
        <v>0.5</v>
      </c>
      <c r="N66" s="137" t="s">
        <v>2247</v>
      </c>
      <c r="Z66" s="2421"/>
      <c r="AI66" s="2422"/>
    </row>
    <row r="67" spans="1:35" ht="14.25" hidden="1" customHeight="1">
      <c r="A67" s="202" t="s">
        <v>773</v>
      </c>
      <c r="B67" s="203" t="s">
        <v>2248</v>
      </c>
      <c r="C67" s="206">
        <f ca="1">C63-C66</f>
        <v>2174</v>
      </c>
      <c r="D67" s="199" t="s">
        <v>32</v>
      </c>
      <c r="E67" s="200"/>
      <c r="F67" s="2487"/>
      <c r="G67" s="2487"/>
      <c r="H67" s="2495"/>
      <c r="I67" s="137"/>
      <c r="J67" s="3167"/>
      <c r="K67" s="2953"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hidden="1" customHeight="1" thickBot="1">
      <c r="A68" s="207" t="s">
        <v>774</v>
      </c>
      <c r="B68" s="208" t="s">
        <v>2250</v>
      </c>
      <c r="C68" s="209">
        <f ca="1">IF(C67&lt;=0,0,ROUND(C67*D68,0))</f>
        <v>122</v>
      </c>
      <c r="D68" s="210">
        <f>'数据-取费表'!B41</f>
        <v>5.6000000000000001E-2</v>
      </c>
      <c r="E68" s="211"/>
      <c r="F68" s="2487"/>
      <c r="G68" s="2487"/>
      <c r="H68" s="2495"/>
      <c r="I68" s="137"/>
      <c r="J68" s="3167"/>
      <c r="K68" s="2953" t="s">
        <v>2251</v>
      </c>
      <c r="L68" s="1748">
        <f ca="1">IF(M49&gt;10000,M49*0.5%,IF(AND(M49&gt;5000,M49&lt;=10000),M49*1%,IF(AND(M49&gt;1000,M49&lt;=5000),M49*2%,IF(AND(M49&gt;200,M49&lt;=1000),M49*3%,M49*5%))))</f>
        <v>45.660000000000004</v>
      </c>
      <c r="M68" s="24">
        <f ca="1">ROUND(L68,1)</f>
        <v>45.7</v>
      </c>
      <c r="Z68" s="2421"/>
      <c r="AI68" s="2422"/>
    </row>
    <row r="69" spans="1:35" s="2444" customFormat="1" ht="16.5" hidden="1" customHeight="1">
      <c r="A69" s="2498"/>
      <c r="B69" s="2499"/>
      <c r="C69" s="2500"/>
      <c r="D69" s="2501"/>
      <c r="E69" s="2502"/>
      <c r="F69" s="2163"/>
      <c r="G69" s="2163"/>
      <c r="H69" s="2162"/>
      <c r="I69" s="2416"/>
      <c r="J69" s="3167"/>
      <c r="K69" s="2953" t="s">
        <v>2252</v>
      </c>
      <c r="L69" s="2503"/>
      <c r="M69" s="24">
        <f ca="1">ROUND(SUM(M63:M68),0)</f>
        <v>85</v>
      </c>
      <c r="N69" s="1749">
        <f ca="1">M69/M49</f>
        <v>3.7231712658782307E-2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211" t="s">
        <v>2253</v>
      </c>
      <c r="B70" s="3212"/>
      <c r="C70" s="3212"/>
      <c r="D70" s="3212"/>
      <c r="E70" s="3212"/>
      <c r="F70" s="3212"/>
      <c r="G70" s="3212"/>
      <c r="H70" s="32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202" t="s">
        <v>2234</v>
      </c>
      <c r="B71" s="3203"/>
      <c r="C71" s="2960"/>
      <c r="D71" s="2960"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2254</v>
      </c>
      <c r="C72" s="206">
        <f ca="1">ROUND(D45/(1+'数据-取费表'!C42),0)</f>
        <v>2174</v>
      </c>
      <c r="D72" s="199" t="s">
        <v>32</v>
      </c>
      <c r="E72" s="2962"/>
      <c r="F72" s="2961"/>
      <c r="G72" s="2961"/>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2255</v>
      </c>
      <c r="C73" s="206">
        <f ca="1">C74+C78</f>
        <v>13</v>
      </c>
      <c r="D73" s="199" t="s">
        <v>32</v>
      </c>
      <c r="E73" s="2962"/>
      <c r="F73" s="2961"/>
      <c r="G73" s="2961"/>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2256</v>
      </c>
      <c r="C74" s="199">
        <f>ROUND(IF(G77="2016年5月1日后购买",C75/(1+'数据-取费表'!C42)+C76+C77,C75+C76+C77),0)</f>
        <v>0</v>
      </c>
      <c r="D74" s="199" t="s">
        <v>32</v>
      </c>
      <c r="E74" s="2962"/>
      <c r="F74" s="2961"/>
      <c r="G74" s="2961"/>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2257</v>
      </c>
      <c r="C75" s="217"/>
      <c r="D75" s="199" t="s">
        <v>32</v>
      </c>
      <c r="E75" s="218" t="s">
        <v>2258</v>
      </c>
      <c r="F75" s="2509" t="s">
        <v>2259</v>
      </c>
      <c r="G75" s="218" t="s">
        <v>2260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2261</v>
      </c>
      <c r="C76" s="199">
        <f>IF(F75="购房发票",ROUND(C75*H75*D76,0),0)</f>
        <v>0</v>
      </c>
      <c r="D76" s="221">
        <v>0.05</v>
      </c>
      <c r="E76" s="3208" t="s">
        <v>2262</v>
      </c>
      <c r="F76" s="3207"/>
      <c r="G76" s="3207"/>
      <c r="H76" s="32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2263</v>
      </c>
      <c r="C77" s="199">
        <f>ROUND(IF(G77="个人住宅",0,IF(G77="2016年5月1日前购买",C75*D77,C75*D77/(1+'数据-取费表'!C42))),0)</f>
        <v>0</v>
      </c>
      <c r="D77" s="222">
        <f>'数据-取费表'!B48+'数据-取费表'!B49</f>
        <v>3.0499999999999999E-2</v>
      </c>
      <c r="E77" s="2954" t="s">
        <v>2264</v>
      </c>
      <c r="F77" s="223"/>
      <c r="G77" s="2511" t="s">
        <v>2265</v>
      </c>
      <c r="H77" s="296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2266</v>
      </c>
      <c r="C78" s="224">
        <f ca="1">ROUND(D45*D78/(1+'数据-取费表'!C42),0)</f>
        <v>13</v>
      </c>
      <c r="D78" s="225">
        <f>'数据-取费表'!B43</f>
        <v>6.000000000000001E-3</v>
      </c>
      <c r="E78" s="3199" t="s">
        <v>2267</v>
      </c>
      <c r="F78" s="3200"/>
      <c r="G78" s="3200"/>
      <c r="H78" s="32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2268</v>
      </c>
      <c r="C79" s="206">
        <f ca="1">C72-C73</f>
        <v>2161</v>
      </c>
      <c r="D79" s="199" t="s">
        <v>32</v>
      </c>
      <c r="E79" s="2962"/>
      <c r="F79" s="2961"/>
      <c r="G79" s="2961"/>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2269</v>
      </c>
      <c r="C80" s="226">
        <f ca="1">IF(C79&lt;=0,0,C79/C73)</f>
        <v>166.23076923076923</v>
      </c>
      <c r="D80" s="199"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2270</v>
      </c>
      <c r="C81" s="227">
        <f ca="1">ROUND(IF(C79&lt;=0,0,IF(C80&gt;=200%,C79*60%-C73*35%,IF(C80&gt;=100%,C79*50%-C73*15%,IF(C80&gt;=50%,C79*40%-C73*5%,IF(C80&lt;50%,C79*30%,0))))),0)</f>
        <v>1292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211" t="s">
        <v>2271</v>
      </c>
      <c r="B83" s="3212"/>
      <c r="C83" s="3212"/>
      <c r="D83" s="3212"/>
      <c r="E83" s="3212"/>
      <c r="F83" s="3212"/>
      <c r="G83" s="3212"/>
      <c r="H83" s="32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202" t="s">
        <v>2234</v>
      </c>
      <c r="B84" s="3203"/>
      <c r="C84" s="2960"/>
      <c r="D84" s="2960"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2254</v>
      </c>
      <c r="C85" s="206">
        <f ca="1">ROUND(D45/(1+'数据-取费表'!C42),0)</f>
        <v>2174</v>
      </c>
      <c r="D85" s="199" t="s">
        <v>32</v>
      </c>
      <c r="E85" s="2962"/>
      <c r="F85" s="2961"/>
      <c r="G85" s="2961"/>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2255</v>
      </c>
      <c r="C86" s="206">
        <f ca="1">IF(H88="仅含出让金",C87+C90+C91+C92+C93+C94,C87+C91+C92+C93+C94)</f>
        <v>13</v>
      </c>
      <c r="D86" s="234"/>
      <c r="E86" s="2962"/>
      <c r="F86" s="2961"/>
      <c r="G86" s="2961"/>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2272</v>
      </c>
      <c r="C87" s="224">
        <f>C88+C89</f>
        <v>0</v>
      </c>
      <c r="D87" s="225"/>
      <c r="E87" s="2957"/>
      <c r="F87" s="2958"/>
      <c r="G87" s="2958"/>
      <c r="H87" s="295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2273</v>
      </c>
      <c r="C88" s="235"/>
      <c r="D88" s="225"/>
      <c r="E88" s="236" t="s">
        <v>2274</v>
      </c>
      <c r="F88" s="2958"/>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2263</v>
      </c>
      <c r="C89" s="224">
        <f>ROUND(C88*D89,0)</f>
        <v>0</v>
      </c>
      <c r="D89" s="225">
        <f>'数据-取费表'!B48+'数据-取费表'!B49</f>
        <v>3.0499999999999999E-2</v>
      </c>
      <c r="E89" s="236" t="s">
        <v>2276</v>
      </c>
      <c r="F89" s="2958"/>
      <c r="G89" s="2958"/>
      <c r="H89" s="295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2277</v>
      </c>
      <c r="C90" s="235"/>
      <c r="D90" s="225"/>
      <c r="E90" s="236" t="str">
        <f>IF(H88="-","土地取得成本中已包含该笔费用"," ")</f>
        <v xml:space="preserve"> </v>
      </c>
      <c r="F90" s="2958"/>
      <c r="G90" s="2958"/>
      <c r="H90" s="295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2278</v>
      </c>
      <c r="B91" s="197" t="s">
        <v>2279</v>
      </c>
      <c r="C91" s="224">
        <f>IF(H91="——",成本法!C33,I91)</f>
        <v>0</v>
      </c>
      <c r="D91" s="225"/>
      <c r="E91" s="3199" t="s">
        <v>2280</v>
      </c>
      <c r="F91" s="3200"/>
      <c r="G91" s="3200"/>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2282</v>
      </c>
      <c r="B92" s="197" t="s">
        <v>2283</v>
      </c>
      <c r="C92" s="224">
        <f>ROUND((C87+C90+C91)*D92,0)</f>
        <v>0</v>
      </c>
      <c r="D92" s="225">
        <v>0.1</v>
      </c>
      <c r="E92" s="3199" t="s">
        <v>2284</v>
      </c>
      <c r="F92" s="3200"/>
      <c r="G92" s="3200"/>
      <c r="H92" s="32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2285</v>
      </c>
      <c r="B93" s="197" t="s">
        <v>2266</v>
      </c>
      <c r="C93" s="224">
        <f ca="1">ROUND(D45*D93/(1+'数据-取费表'!C42),0)</f>
        <v>13</v>
      </c>
      <c r="D93" s="225">
        <f>'数据-取费表'!B43</f>
        <v>6.000000000000001E-3</v>
      </c>
      <c r="E93" s="3199" t="s">
        <v>2267</v>
      </c>
      <c r="F93" s="3200"/>
      <c r="G93" s="3200"/>
      <c r="H93" s="32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2286</v>
      </c>
      <c r="B94" s="197" t="s">
        <v>2287</v>
      </c>
      <c r="C94" s="235">
        <f>ROUND((C87+C90+C91)*D94,0)</f>
        <v>0</v>
      </c>
      <c r="D94" s="225">
        <v>0.2</v>
      </c>
      <c r="E94" s="3247" t="s">
        <v>2288</v>
      </c>
      <c r="F94" s="3248"/>
      <c r="G94" s="3248"/>
      <c r="H94" s="324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2268</v>
      </c>
      <c r="C95" s="206">
        <f ca="1">ROUND(C85-C86,0)</f>
        <v>2161</v>
      </c>
      <c r="D95" s="199" t="s">
        <v>32</v>
      </c>
      <c r="E95" s="2962"/>
      <c r="F95" s="2961"/>
      <c r="G95" s="2961"/>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2269</v>
      </c>
      <c r="C96" s="226">
        <f ca="1">IF(C95&lt;=0,0,C95/C86)</f>
        <v>166.23076923076923</v>
      </c>
      <c r="D96" s="199"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2270</v>
      </c>
      <c r="C97" s="227">
        <f ca="1">ROUND(IF(C95&lt;=0,0,IF(C96&gt;=200%,C95*60%-C86*35%,IF(C96&gt;=100%,C95*50%-C86*15%,IF(C96&gt;=50%,C95*40%-C86*5%,IF(C96&lt;50%,C95*30%,0))))),0)</f>
        <v>1292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hidden="1" customHeight="1" thickBot="1">
      <c r="A99" s="2472" t="s">
        <v>2289</v>
      </c>
      <c r="B99" s="2416"/>
      <c r="C99" s="2416"/>
      <c r="D99" s="2416"/>
      <c r="E99" s="2163"/>
      <c r="F99" s="2163"/>
      <c r="G99" s="2163"/>
      <c r="H99" s="2162"/>
      <c r="I99" s="137"/>
    </row>
    <row r="100" spans="1:35" ht="18.75" hidden="1" customHeight="1">
      <c r="A100" s="3151" t="s">
        <v>2290</v>
      </c>
      <c r="B100" s="3152"/>
      <c r="C100" s="3152"/>
      <c r="D100" s="3183"/>
      <c r="E100" s="3152" t="s">
        <v>2291</v>
      </c>
      <c r="F100" s="3152"/>
      <c r="G100" s="3152"/>
      <c r="H100" s="3183"/>
      <c r="I100" s="137"/>
    </row>
    <row r="101" spans="1:35" ht="18.75" hidden="1" customHeight="1">
      <c r="A101" s="3191" t="s">
        <v>2292</v>
      </c>
      <c r="B101" s="3192"/>
      <c r="C101" s="735" t="str">
        <f>C4</f>
        <v>收益法 (元)</v>
      </c>
      <c r="D101" s="736" t="str">
        <f>D4</f>
        <v>典型户型修正车位</v>
      </c>
      <c r="E101" s="3163" t="s">
        <v>2293</v>
      </c>
      <c r="F101" s="3164"/>
      <c r="G101" s="2518" t="s">
        <v>2294</v>
      </c>
      <c r="H101" s="1044">
        <f ca="1">H118</f>
        <v>2283</v>
      </c>
      <c r="I101" s="137"/>
    </row>
    <row r="102" spans="1:35" ht="18.75" hidden="1" customHeight="1">
      <c r="A102" s="3193" t="s">
        <v>2295</v>
      </c>
      <c r="B102" s="2518" t="s">
        <v>2294</v>
      </c>
      <c r="C102" s="735">
        <f ca="1">C19</f>
        <v>717</v>
      </c>
      <c r="D102" s="736">
        <f ca="1">D19</f>
        <v>3327</v>
      </c>
      <c r="E102" s="3163"/>
      <c r="F102" s="3164"/>
      <c r="G102" s="2518" t="s">
        <v>2296</v>
      </c>
      <c r="H102" s="370">
        <f ca="1">I118</f>
        <v>6414</v>
      </c>
      <c r="I102" s="137"/>
    </row>
    <row r="103" spans="1:35" ht="42.75" hidden="1" customHeight="1">
      <c r="A103" s="3193"/>
      <c r="B103" s="2518" t="s">
        <v>2296</v>
      </c>
      <c r="C103" s="737">
        <f ca="1">C20</f>
        <v>2013</v>
      </c>
      <c r="D103" s="738">
        <f ca="1">D20</f>
        <v>9347</v>
      </c>
      <c r="E103" s="3157" t="s">
        <v>2297</v>
      </c>
      <c r="F103" s="3158"/>
      <c r="G103" s="2519" t="s">
        <v>2298</v>
      </c>
      <c r="H103" s="1044">
        <f>IF(D36="正常操作",H104+H105+H106,H105+H106)</f>
        <v>0</v>
      </c>
      <c r="I103" s="137"/>
    </row>
    <row r="104" spans="1:35" ht="18.75" hidden="1" customHeight="1">
      <c r="A104" s="3193" t="s">
        <v>2299</v>
      </c>
      <c r="B104" s="2520" t="s">
        <v>2294</v>
      </c>
      <c r="C104" s="739">
        <f ca="1">H118</f>
        <v>2283</v>
      </c>
      <c r="D104" s="740"/>
      <c r="E104" s="2264" t="s">
        <v>2300</v>
      </c>
      <c r="F104" s="2255"/>
      <c r="G104" s="2519" t="s">
        <v>2298</v>
      </c>
      <c r="H104" s="1045">
        <f>IF(D36="同一抵押权人同一抵押物续贷",C36&amp;"（未扣减，详见特别提示）",C36)</f>
        <v>0</v>
      </c>
      <c r="I104" s="137"/>
    </row>
    <row r="105" spans="1:35" ht="18.75" hidden="1" customHeight="1" thickBot="1">
      <c r="A105" s="3205"/>
      <c r="B105" s="2521" t="s">
        <v>2296</v>
      </c>
      <c r="C105" s="741">
        <f ca="1">I118</f>
        <v>6414</v>
      </c>
      <c r="D105" s="742"/>
      <c r="E105" s="2264" t="s">
        <v>2301</v>
      </c>
      <c r="F105" s="2255"/>
      <c r="G105" s="2519" t="s">
        <v>2298</v>
      </c>
      <c r="H105" s="1045">
        <f>C37</f>
        <v>0</v>
      </c>
      <c r="I105" s="137"/>
    </row>
    <row r="106" spans="1:35" ht="18.75" hidden="1" customHeight="1">
      <c r="A106" s="2416" t="s">
        <v>2302</v>
      </c>
      <c r="B106" s="2416"/>
      <c r="C106" s="2416"/>
      <c r="D106" s="2416"/>
      <c r="E106" s="2522" t="s">
        <v>2303</v>
      </c>
      <c r="F106" s="2255"/>
      <c r="G106" s="2519" t="s">
        <v>2298</v>
      </c>
      <c r="H106" s="1045">
        <f>C38</f>
        <v>0</v>
      </c>
      <c r="I106" s="137"/>
    </row>
    <row r="107" spans="1:35" ht="18.75" hidden="1" customHeight="1">
      <c r="A107" s="137"/>
      <c r="B107" s="137"/>
      <c r="C107" s="137"/>
      <c r="D107" s="137"/>
      <c r="E107" s="3194" t="str">
        <f>IF(项目基本情况!E8="已注销","——","3.房地产抵押价值")</f>
        <v>3.房地产抵押价值</v>
      </c>
      <c r="F107" s="3164"/>
      <c r="G107" s="2518" t="s">
        <v>2294</v>
      </c>
      <c r="H107" s="1044">
        <f ca="1">IF(E107="——","——",H101-H103)</f>
        <v>2283</v>
      </c>
      <c r="I107" s="137"/>
    </row>
    <row r="108" spans="1:35" ht="18.75" hidden="1" customHeight="1">
      <c r="A108" s="137"/>
      <c r="B108" s="137"/>
      <c r="C108" s="137"/>
      <c r="D108" s="137"/>
      <c r="E108" s="3194"/>
      <c r="F108" s="3164"/>
      <c r="G108" s="2518" t="s">
        <v>2296</v>
      </c>
      <c r="H108" s="370">
        <f ca="1">ROUND(H107*10000/'数据-汇总表'!E3,0)</f>
        <v>657</v>
      </c>
      <c r="I108" s="137"/>
    </row>
    <row r="109" spans="1:35" ht="18.75" hidden="1"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64"/>
      <c r="G109" s="2518" t="s">
        <v>2294</v>
      </c>
      <c r="H109" s="347" t="str">
        <f>IF(E109="——","——",H101-H105-H106)</f>
        <v>——</v>
      </c>
      <c r="I109" s="137"/>
    </row>
    <row r="110" spans="1:35" ht="18.75" hidden="1" customHeight="1">
      <c r="A110" s="137"/>
      <c r="B110" s="137"/>
      <c r="C110" s="137"/>
      <c r="D110" s="137"/>
      <c r="E110" s="3194"/>
      <c r="F110" s="3164"/>
      <c r="G110" s="2518" t="s">
        <v>2296</v>
      </c>
      <c r="H110" s="370" t="str">
        <f>IF(H109="——","——",ROUND(H109*10000/'数据-汇总表'!E3,0))</f>
        <v>——</v>
      </c>
      <c r="I110" s="137"/>
    </row>
    <row r="111" spans="1:35" ht="18.75" hidden="1" customHeight="1">
      <c r="A111" s="137"/>
      <c r="B111" s="137"/>
      <c r="C111" s="137"/>
      <c r="D111" s="137"/>
      <c r="E111" s="3195" t="str">
        <f>IF(项目基本情况!E9="抵押净值",IF(OR(项目基本情况!E8="已注销",项目基本情况!E8="房地产抵押价值"),"4.抵押净值","5.抵押净值"),"——")</f>
        <v>4.抵押净值</v>
      </c>
      <c r="F111" s="3196"/>
      <c r="G111" s="2518" t="s">
        <v>2294</v>
      </c>
      <c r="H111" s="1044">
        <f ca="1">IF(E111="——","——",N59)</f>
        <v>990</v>
      </c>
      <c r="I111" s="137"/>
    </row>
    <row r="112" spans="1:35" ht="18.75" hidden="1" customHeight="1" thickBot="1">
      <c r="A112" s="137"/>
      <c r="B112" s="137"/>
      <c r="C112" s="137"/>
      <c r="D112" s="137"/>
      <c r="E112" s="3197"/>
      <c r="F112" s="3198"/>
      <c r="G112" s="2523" t="s">
        <v>2296</v>
      </c>
      <c r="H112" s="789">
        <f ca="1">IF(E111="——","——",N61)</f>
        <v>285</v>
      </c>
      <c r="I112" s="137"/>
    </row>
    <row r="113" spans="1:11" ht="18.75" hidden="1" customHeight="1">
      <c r="A113" s="137"/>
      <c r="B113" s="137"/>
      <c r="C113" s="137"/>
      <c r="D113" s="137"/>
      <c r="E113" s="3206" t="s">
        <v>2302</v>
      </c>
      <c r="F113" s="3206"/>
      <c r="G113" s="3206"/>
      <c r="H113" s="3206"/>
      <c r="I113" s="137"/>
    </row>
    <row r="114" spans="1:11" ht="3.75" customHeight="1">
      <c r="A114" s="2416"/>
      <c r="B114" s="2416"/>
      <c r="C114" s="2416"/>
      <c r="D114" s="2416"/>
      <c r="E114" s="2494"/>
      <c r="F114" s="2494"/>
      <c r="G114" s="2494"/>
      <c r="H114" s="2494"/>
      <c r="I114" s="2416"/>
    </row>
    <row r="115" spans="1:11" ht="18.75" customHeight="1">
      <c r="A115" s="3219" t="s">
        <v>2304</v>
      </c>
      <c r="B115" s="3220"/>
      <c r="C115" s="3220"/>
      <c r="D115" s="3220"/>
      <c r="E115" s="3220"/>
      <c r="F115" s="3220"/>
      <c r="G115" s="3220"/>
      <c r="H115" s="3220"/>
      <c r="I115" s="3221"/>
    </row>
    <row r="116" spans="1:11" ht="27" customHeight="1">
      <c r="A116" s="3130" t="s">
        <v>2305</v>
      </c>
      <c r="B116" s="3173" t="s">
        <v>2306</v>
      </c>
      <c r="C116" s="3173" t="s">
        <v>2307</v>
      </c>
      <c r="D116" s="3179" t="s">
        <v>2308</v>
      </c>
      <c r="E116" s="3180"/>
      <c r="F116" s="3215" t="s">
        <v>2309</v>
      </c>
      <c r="G116" s="3215"/>
      <c r="H116" s="3130" t="s">
        <v>2310</v>
      </c>
      <c r="I116" s="3130"/>
    </row>
    <row r="117" spans="1:11" ht="18.75" customHeight="1">
      <c r="A117" s="3130"/>
      <c r="B117" s="3174"/>
      <c r="C117" s="3174"/>
      <c r="D117" s="2951" t="s">
        <v>2311</v>
      </c>
      <c r="E117" s="2951" t="s">
        <v>2312</v>
      </c>
      <c r="F117" s="2951" t="s">
        <v>2311</v>
      </c>
      <c r="G117" s="2951" t="s">
        <v>2313</v>
      </c>
      <c r="H117" s="2951" t="s">
        <v>2311</v>
      </c>
      <c r="I117" s="2951" t="s">
        <v>2313</v>
      </c>
    </row>
    <row r="118" spans="1:11" ht="24.75" customHeight="1">
      <c r="A118" s="2524" t="str">
        <f>项目基本情况!S2</f>
        <v>北京市朝阳区北苑路28号院1号楼房地产</v>
      </c>
      <c r="B118" s="2951">
        <f>M18</f>
        <v>3559.58</v>
      </c>
      <c r="C118" s="2951">
        <f>M19</f>
        <v>1043.67</v>
      </c>
      <c r="D118" s="2951">
        <f ca="1">ROUND(IF(D32="总价",C34,E118*B118/10000),0)</f>
        <v>1046</v>
      </c>
      <c r="E118" s="2951">
        <f ca="1">ROUND(IF(C33="自定义",IF(D32="楼面单价",C34,D118*10000/B118),I118-G118),0)</f>
        <v>2939</v>
      </c>
      <c r="F118" s="2951">
        <f ca="1">ROUND(IF(D32="总价",C35,G118*B118/10000),0)</f>
        <v>1237</v>
      </c>
      <c r="G118" s="2951">
        <f ca="1">ROUND(IF(D32="楼面单价",C35,F118*10000/B118),0)</f>
        <v>3475</v>
      </c>
      <c r="H118" s="2951">
        <f ca="1">ROUND(IF(D32="总价",C32,I118*B118/10000),0)</f>
        <v>2283</v>
      </c>
      <c r="I118" s="2951">
        <f ca="1">ROUND(IF(D32="楼面单价",C32,H118*10000/B118),0)</f>
        <v>6414</v>
      </c>
    </row>
    <row r="119" spans="1:11" ht="18.75" customHeight="1">
      <c r="A119" s="3130" t="s">
        <v>2314</v>
      </c>
      <c r="B119" s="3130"/>
      <c r="C119" s="3130"/>
      <c r="D119" s="3175" t="str">
        <f ca="1">NUMBERSTRING(INT(D118*10000),2)&amp;"元整"</f>
        <v>壹仟零肆拾陆万元整</v>
      </c>
      <c r="E119" s="3176"/>
      <c r="F119" s="3175" t="str">
        <f ca="1">NUMBERSTRING(INT(F118*10000),2)&amp;"元整"</f>
        <v>壹仟贰佰叁拾柒万元整</v>
      </c>
      <c r="G119" s="3176"/>
      <c r="H119" s="3175" t="str">
        <f ca="1">NUMBERSTRING(INT(H118*10000),2)&amp;"元整"</f>
        <v>贰仟贰佰捌拾叁万元整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1" t="str">
        <f>IF(D120=0,"故，本次评估不存在"&amp;A120,"故，本次评估"&amp;A120&amp;"为人民币"&amp;D120&amp;"万元整。")</f>
        <v>故，本次评估不存在估价师知悉的法定优先受偿款</v>
      </c>
    </row>
    <row r="121" spans="1:11" ht="18.75" customHeight="1">
      <c r="A121" s="3216" t="s">
        <v>2314</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房地产抵押价值</v>
      </c>
      <c r="B122" s="3181"/>
      <c r="C122" s="3181"/>
      <c r="D122" s="3170">
        <f ca="1">H107</f>
        <v>2283</v>
      </c>
      <c r="E122" s="3171"/>
      <c r="F122" s="3171"/>
      <c r="G122" s="3171"/>
      <c r="H122" s="3171"/>
      <c r="I122" s="3172"/>
    </row>
    <row r="123" spans="1:11" ht="18.75" customHeight="1">
      <c r="A123" s="3130" t="s">
        <v>2314</v>
      </c>
      <c r="B123" s="3130"/>
      <c r="C123" s="3130"/>
      <c r="D123" s="3175" t="str">
        <f ca="1">NUMBERSTRING(INT(D122*10000),2)&amp;"元整"</f>
        <v>贰仟贰佰捌拾叁万元整</v>
      </c>
      <c r="E123" s="3177"/>
      <c r="F123" s="3177"/>
      <c r="G123" s="3177"/>
      <c r="H123" s="3177"/>
      <c r="I123" s="3176"/>
    </row>
    <row r="124" spans="1:11" ht="18.75" customHeight="1">
      <c r="A124" s="3181" t="str">
        <f>IF(项目基本情况!B9="房地产市场价值","",MID(E109,3,LEN(E109)-2))</f>
        <v/>
      </c>
      <c r="B124" s="3181"/>
      <c r="C124" s="3181"/>
      <c r="D124" s="3170" t="str">
        <f>H109</f>
        <v>——</v>
      </c>
      <c r="E124" s="3171"/>
      <c r="F124" s="3171"/>
      <c r="G124" s="3171"/>
      <c r="H124" s="3171"/>
      <c r="I124" s="3172"/>
    </row>
    <row r="125" spans="1:11" ht="18.75" customHeight="1">
      <c r="A125" s="3130" t="s">
        <v>2314</v>
      </c>
      <c r="B125" s="3130"/>
      <c r="C125" s="3130"/>
      <c r="D125" s="3175" t="e">
        <f>NUMBERSTRING(INT(D124*10000),2)&amp;"元整"</f>
        <v>#VALUE!</v>
      </c>
      <c r="E125" s="3177"/>
      <c r="F125" s="3177"/>
      <c r="G125" s="3177"/>
      <c r="H125" s="3177"/>
      <c r="I125" s="3176"/>
    </row>
    <row r="126" spans="1:11" ht="18.75" customHeight="1">
      <c r="A126" s="3181" t="str">
        <f>IF(项目基本情况!B9="房地产市场价值","",MID(E111,3,LEN(E111)-2))</f>
        <v>抵押净值</v>
      </c>
      <c r="B126" s="3181"/>
      <c r="C126" s="3181"/>
      <c r="D126" s="3170">
        <f ca="1">H111</f>
        <v>990</v>
      </c>
      <c r="E126" s="3171"/>
      <c r="F126" s="3171"/>
      <c r="G126" s="3171"/>
      <c r="H126" s="3171"/>
      <c r="I126" s="3172"/>
    </row>
    <row r="127" spans="1:11" ht="18.75" customHeight="1">
      <c r="A127" s="3130" t="s">
        <v>2314</v>
      </c>
      <c r="B127" s="3130"/>
      <c r="C127" s="3130"/>
      <c r="D127" s="3175" t="str">
        <f ca="1">NUMBERSTRING(INT(D126*10000),2)&amp;"元整"</f>
        <v>玖佰玖拾万元整</v>
      </c>
      <c r="E127" s="3177"/>
      <c r="F127" s="3177"/>
      <c r="G127" s="3177"/>
      <c r="H127" s="3177"/>
      <c r="I127" s="3176"/>
    </row>
    <row r="128" spans="1:11" ht="21.75" customHeight="1">
      <c r="A128" s="3178" t="s">
        <v>2315</v>
      </c>
      <c r="B128" s="3178"/>
      <c r="C128" s="3178"/>
      <c r="D128" s="3178"/>
      <c r="E128" s="3178"/>
      <c r="F128" s="3178"/>
      <c r="G128" s="3178"/>
      <c r="H128" s="3178"/>
      <c r="I128" s="317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23" sqref="F2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3069</v>
      </c>
      <c r="D1" s="1819" t="s">
        <v>70</v>
      </c>
      <c r="E1" s="1820" t="s">
        <v>1383</v>
      </c>
      <c r="F1" s="1282">
        <f ca="1">J53</f>
        <v>36.57</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f ca="1">ROUND(D2/10000,0)</f>
        <v>717</v>
      </c>
      <c r="C2" s="1844" t="s">
        <v>1587</v>
      </c>
      <c r="D2" s="1937">
        <f ca="1">C40+J29+L46</f>
        <v>7166133</v>
      </c>
      <c r="E2" s="1845" t="s">
        <v>1588</v>
      </c>
      <c r="F2" s="1846"/>
      <c r="G2" s="1847"/>
      <c r="H2" s="1839"/>
      <c r="I2" s="1839"/>
      <c r="J2" s="1839"/>
      <c r="K2" s="1840"/>
      <c r="L2" s="1839"/>
      <c r="M2" s="1839"/>
    </row>
    <row r="3" spans="1:37" ht="18" customHeight="1" thickBot="1">
      <c r="A3" s="1848" t="s">
        <v>1589</v>
      </c>
      <c r="B3" s="1849">
        <f ca="1">IF(ISERROR(D2/F43),0,ROUND(D2/F43,0))</f>
        <v>2013</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654480</v>
      </c>
      <c r="D5" s="1821" t="s">
        <v>1597</v>
      </c>
      <c r="E5" s="1292"/>
      <c r="F5" s="1293"/>
      <c r="G5" s="1850"/>
      <c r="H5" s="343">
        <v>1</v>
      </c>
      <c r="I5" s="344" t="s">
        <v>1596</v>
      </c>
      <c r="J5" s="1291">
        <f ca="1">J6+J10+J12</f>
        <v>0</v>
      </c>
      <c r="K5" s="1821" t="s">
        <v>1597</v>
      </c>
      <c r="L5" s="1292"/>
      <c r="M5" s="1293"/>
    </row>
    <row r="6" spans="1:37" ht="18" customHeight="1">
      <c r="A6" s="1290" t="s">
        <v>1032</v>
      </c>
      <c r="B6" s="3255" t="s">
        <v>1399</v>
      </c>
      <c r="C6" s="1295">
        <f ca="1">ROUND(F6*F8*F7*(1-F9),0)</f>
        <v>654480</v>
      </c>
      <c r="D6" s="163" t="s">
        <v>3025</v>
      </c>
      <c r="E6" s="346" t="s">
        <v>1401</v>
      </c>
      <c r="F6" s="347">
        <f ca="1">INDIRECT("'数据-取费表'!u"&amp;$G$1)</f>
        <v>600</v>
      </c>
      <c r="G6" s="1850"/>
      <c r="H6" s="1290" t="s">
        <v>1032</v>
      </c>
      <c r="I6" s="3255" t="s">
        <v>1399</v>
      </c>
      <c r="J6" s="345">
        <f ca="1">ROUND(M6*M8*M7*(1-M9),0)</f>
        <v>0</v>
      </c>
      <c r="K6" s="1833" t="s">
        <v>3026</v>
      </c>
      <c r="L6" s="346" t="s">
        <v>1401</v>
      </c>
      <c r="M6" s="347">
        <f ca="1">INDIRECT("'数据-取费表'!z"&amp;$G$1)</f>
        <v>0</v>
      </c>
    </row>
    <row r="7" spans="1:37" ht="18" customHeight="1">
      <c r="A7" s="1294"/>
      <c r="B7" s="3256"/>
      <c r="C7" s="1296"/>
      <c r="D7" s="351"/>
      <c r="E7" s="1297" t="s">
        <v>1402</v>
      </c>
      <c r="F7" s="347">
        <f ca="1">IF(INDIRECT("'数据-取费表'!ah"&amp;$G$1)="",INDIRECT("'数据-取费表'!k"&amp;$G$1),INDIRECT("'数据-取费表'!ah"&amp;$G$1))</f>
        <v>101</v>
      </c>
      <c r="G7" s="1850"/>
      <c r="H7" s="348"/>
      <c r="I7" s="3256"/>
      <c r="J7" s="350"/>
      <c r="K7" s="351"/>
      <c r="L7" s="346" t="s">
        <v>1402</v>
      </c>
      <c r="M7" s="347">
        <f ca="1">F7</f>
        <v>101</v>
      </c>
    </row>
    <row r="8" spans="1:37" ht="18" customHeight="1">
      <c r="A8" s="348"/>
      <c r="B8" s="3256"/>
      <c r="C8" s="350"/>
      <c r="D8" s="351"/>
      <c r="E8" s="346" t="s">
        <v>1403</v>
      </c>
      <c r="F8" s="347">
        <f ca="1">INDIRECT("'数据-取费表'!ai"&amp;$G$1)</f>
        <v>12</v>
      </c>
      <c r="G8" s="1850"/>
      <c r="H8" s="348"/>
      <c r="I8" s="3256"/>
      <c r="J8" s="350"/>
      <c r="K8" s="351"/>
      <c r="L8" s="346" t="s">
        <v>1403</v>
      </c>
      <c r="M8" s="347">
        <f ca="1">INDIRECT("'数据-取费表'!ai"&amp;$G$1)</f>
        <v>12</v>
      </c>
    </row>
    <row r="9" spans="1:37" ht="18" customHeight="1">
      <c r="A9" s="348"/>
      <c r="B9" s="3257"/>
      <c r="C9" s="350"/>
      <c r="D9" s="351"/>
      <c r="E9" s="346" t="s">
        <v>1404</v>
      </c>
      <c r="F9" s="356">
        <f ca="1">INDIRECT("'数据-取费表'!w"&amp;$G$1)</f>
        <v>0.1</v>
      </c>
      <c r="G9" s="1850"/>
      <c r="H9" s="348"/>
      <c r="I9" s="3257"/>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3036</v>
      </c>
      <c r="E10" s="357" t="s">
        <v>1406</v>
      </c>
      <c r="F10" s="3053" t="s">
        <v>3278</v>
      </c>
      <c r="G10" s="1850"/>
      <c r="H10" s="1290" t="s">
        <v>1036</v>
      </c>
      <c r="I10" s="1822" t="s">
        <v>1405</v>
      </c>
      <c r="J10" s="345">
        <f ca="1">ROUND(IF(M10="押一",J6/12*M11,IF(M10="押二",J6/12*2*M11,IF(M10="押三",J6/12*3*M11,J11*M11))),0)</f>
        <v>0</v>
      </c>
      <c r="K10" s="1834" t="s">
        <v>3038</v>
      </c>
      <c r="L10" s="357" t="s">
        <v>1406</v>
      </c>
      <c r="M10" s="1365"/>
    </row>
    <row r="11" spans="1:37" ht="18" customHeight="1">
      <c r="A11" s="352"/>
      <c r="B11" s="1824" t="s">
        <v>1598</v>
      </c>
      <c r="C11" s="1177"/>
      <c r="D11" s="351"/>
      <c r="E11" s="357" t="s">
        <v>1408</v>
      </c>
      <c r="F11" s="358">
        <f ca="1">'数据-取费表'!B39</f>
        <v>1.4999999999999999E-2</v>
      </c>
      <c r="G11" s="1850"/>
      <c r="H11" s="1298"/>
      <c r="I11" s="1824" t="s">
        <v>1599</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10140898</v>
      </c>
      <c r="D13" s="1330" t="s">
        <v>1411</v>
      </c>
      <c r="E13" s="1330" t="s">
        <v>1412</v>
      </c>
      <c r="F13" s="1331">
        <f ca="1">INDIRECT("'数据-取费表'!y"&amp;$G$1)</f>
        <v>0.82</v>
      </c>
      <c r="G13" s="1850"/>
      <c r="H13" s="1328">
        <v>2</v>
      </c>
      <c r="I13" s="1329" t="s">
        <v>1410</v>
      </c>
      <c r="J13" s="1289">
        <f ca="1">ROUND(J14*J15,0)</f>
        <v>0</v>
      </c>
      <c r="K13" s="1336" t="s">
        <v>1411</v>
      </c>
      <c r="L13" s="1851"/>
      <c r="M13" s="1852"/>
    </row>
    <row r="14" spans="1:37" ht="18" customHeight="1">
      <c r="A14" s="1200" t="s">
        <v>1031</v>
      </c>
      <c r="B14" s="346" t="s">
        <v>1413</v>
      </c>
      <c r="C14" s="362">
        <f ca="1">ROUND(INDIRECT("'数据-取费表'!l"&amp;$G$1)*F43+'数据-取费表'!L14*INDIRECT("'数据-取费表'!S"&amp;$G$1),0)</f>
        <v>8898950</v>
      </c>
      <c r="D14" s="1799" t="s">
        <v>1414</v>
      </c>
      <c r="E14" s="1793"/>
      <c r="F14" s="363"/>
      <c r="G14" s="1850"/>
      <c r="H14" s="1200" t="s">
        <v>1032</v>
      </c>
      <c r="I14" s="346" t="s">
        <v>1415</v>
      </c>
      <c r="J14" s="24">
        <f ca="1">C29</f>
        <v>12366949</v>
      </c>
      <c r="K14" s="15"/>
      <c r="L14" s="978"/>
      <c r="M14" s="979"/>
    </row>
    <row r="15" spans="1:37" s="1857" customFormat="1" ht="18" customHeight="1" thickBot="1">
      <c r="A15" s="1200" t="s">
        <v>1033</v>
      </c>
      <c r="B15" s="346" t="s">
        <v>1416</v>
      </c>
      <c r="C15" s="24">
        <f ca="1">ROUND(C14*F15,0)</f>
        <v>444948</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290952</v>
      </c>
      <c r="K16" s="1336" t="s">
        <v>1421</v>
      </c>
      <c r="L16" s="1337"/>
      <c r="M16" s="1293"/>
    </row>
    <row r="17" spans="1:37" s="1857" customFormat="1" ht="18" customHeight="1">
      <c r="A17" s="1200" t="s">
        <v>1386</v>
      </c>
      <c r="B17" s="346" t="s">
        <v>1422</v>
      </c>
      <c r="C17" s="24">
        <f ca="1">ROUND(F17*(F43+INDIRECT("'数据-取费表'!S"&amp;$G$1)),0)</f>
        <v>711916</v>
      </c>
      <c r="D17" s="346" t="s">
        <v>1423</v>
      </c>
      <c r="E17" s="346" t="s">
        <v>1424</v>
      </c>
      <c r="F17" s="26">
        <f>'数据-取费表'!B35</f>
        <v>200</v>
      </c>
      <c r="G17" s="1853"/>
      <c r="H17" s="1200" t="s">
        <v>1032</v>
      </c>
      <c r="I17" s="346" t="s">
        <v>1425</v>
      </c>
      <c r="J17" s="24">
        <f ca="1">ROUND(IF(项目基本情况!B11="自然人",J5*M17,J18+J19+J20),0)</f>
        <v>105448</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133484</v>
      </c>
      <c r="D18" s="346" t="s">
        <v>1417</v>
      </c>
      <c r="E18" s="346" t="s">
        <v>1418</v>
      </c>
      <c r="F18" s="366">
        <f>'数据-取费表'!B36</f>
        <v>1.4999999999999999E-2</v>
      </c>
      <c r="G18" s="1853"/>
      <c r="H18" s="1200" t="s">
        <v>1031</v>
      </c>
      <c r="I18" s="346" t="s">
        <v>1429</v>
      </c>
      <c r="J18" s="24">
        <f ca="1">ROUND(J5*M18/(1+'数据-取费表'!C42),0)</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10189298</v>
      </c>
      <c r="D19" s="139" t="s">
        <v>1432</v>
      </c>
      <c r="E19" s="1817"/>
      <c r="F19" s="26"/>
      <c r="G19" s="1850"/>
      <c r="H19" s="1200" t="s">
        <v>1033</v>
      </c>
      <c r="I19" s="346" t="s">
        <v>1433</v>
      </c>
      <c r="J19" s="24">
        <f ca="1">IF(K19="按租金收入计税",ROUND(J5*M19,0),ROUND(C29*M19*0.7,0))</f>
        <v>103882</v>
      </c>
      <c r="K19" s="1827" t="s">
        <v>1434</v>
      </c>
      <c r="L19" s="346" t="s">
        <v>1418</v>
      </c>
      <c r="M19" s="366">
        <f>IF(K19="按租金收入计税",'数据-取费表'!B51,'数据-取费表'!B50)</f>
        <v>1.2E-2</v>
      </c>
    </row>
    <row r="20" spans="1:37" s="1857" customFormat="1" ht="18" customHeight="1">
      <c r="A20" s="1200" t="s">
        <v>1036</v>
      </c>
      <c r="B20" s="346" t="s">
        <v>1435</v>
      </c>
      <c r="C20" s="24">
        <f ca="1">ROUND(C19*F20,0)</f>
        <v>305679</v>
      </c>
      <c r="D20" s="368" t="s">
        <v>1436</v>
      </c>
      <c r="E20" s="346" t="s">
        <v>1418</v>
      </c>
      <c r="F20" s="366">
        <f>'数据-取费表'!B37</f>
        <v>0.03</v>
      </c>
      <c r="G20" s="1853"/>
      <c r="H20" s="1200" t="s">
        <v>1385</v>
      </c>
      <c r="I20" s="163" t="s">
        <v>1437</v>
      </c>
      <c r="J20" s="25">
        <f ca="1">ROUND(M20*M21,0)</f>
        <v>1566</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v>
      </c>
      <c r="D21" s="368" t="s">
        <v>1441</v>
      </c>
      <c r="E21" s="346" t="s">
        <v>1442</v>
      </c>
      <c r="F21" s="366">
        <f>'数据-取费表'!B38</f>
        <v>0.03</v>
      </c>
      <c r="G21" s="1853"/>
      <c r="H21" s="371"/>
      <c r="I21" s="355"/>
      <c r="J21" s="29"/>
      <c r="K21" s="372"/>
      <c r="L21" s="346" t="s">
        <v>1443</v>
      </c>
      <c r="M21" s="347">
        <f ca="1">INDIRECT("'数据-取费表'!r"&amp;$G$1)</f>
        <v>1043.67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ROUND(J14*M22,0)</f>
        <v>185504</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498512</v>
      </c>
      <c r="D23" s="374" t="str">
        <f>IF(F23&lt;=1,"(建造成本+管理费用)×利率×(建设周期÷2)","(建造成本+管理费用)×((1+利率)^(建设周期÷2)-1)")</f>
        <v>(建造成本+管理费用)×((1+利率)^(建设周期÷2)-1)</v>
      </c>
      <c r="E23" s="346" t="s">
        <v>1448</v>
      </c>
      <c r="F23" s="370">
        <f>'数据-取费表'!B20</f>
        <v>2</v>
      </c>
      <c r="G23" s="1853"/>
      <c r="H23" s="1200" t="s">
        <v>1072</v>
      </c>
      <c r="I23" s="346" t="s">
        <v>1449</v>
      </c>
      <c r="J23" s="24">
        <f ca="1">ROUND(J13*M23,0)</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6" t="s">
        <v>1457</v>
      </c>
      <c r="C25" s="24"/>
      <c r="D25" s="139" t="s">
        <v>1458</v>
      </c>
      <c r="E25" s="1817"/>
      <c r="F25" s="26"/>
      <c r="G25" s="1850"/>
      <c r="H25" s="1328" t="s">
        <v>1028</v>
      </c>
      <c r="I25" s="1343" t="s">
        <v>1459</v>
      </c>
      <c r="J25" s="354">
        <f ca="1">J5-J16</f>
        <v>-290952</v>
      </c>
      <c r="K25" s="1344" t="s">
        <v>1460</v>
      </c>
      <c r="L25" s="1345"/>
      <c r="M25" s="1346"/>
    </row>
    <row r="26" spans="1:37" ht="18" customHeight="1">
      <c r="A26" s="1200" t="s">
        <v>1031</v>
      </c>
      <c r="B26" s="346" t="s">
        <v>1461</v>
      </c>
      <c r="C26" s="24">
        <f ca="1">ROUND((C19+C20)*F26,0)</f>
        <v>314849</v>
      </c>
      <c r="D26" s="368" t="s">
        <v>1462</v>
      </c>
      <c r="E26" s="357" t="s">
        <v>1463</v>
      </c>
      <c r="F26" s="356">
        <f ca="1">INDIRECT("'数据-取费表'!q"&amp;$G$1)</f>
        <v>0.03</v>
      </c>
      <c r="G26" s="1850"/>
      <c r="H26" s="343" t="s">
        <v>1029</v>
      </c>
      <c r="I26" s="344" t="s">
        <v>1464</v>
      </c>
      <c r="J26" s="345">
        <f ca="1">IF(J5&lt;&gt;0,ROUND(J25*(1-((1+M28)/(1+M26))^M27)/(M26-M28),0),0)</f>
        <v>0</v>
      </c>
      <c r="K26" s="369" t="s">
        <v>1465</v>
      </c>
      <c r="L26" s="346" t="s">
        <v>1466</v>
      </c>
      <c r="M26" s="356">
        <f ca="1">INDIRECT("'数据-取费表'!I"&amp;$G$1)</f>
        <v>0.05</v>
      </c>
    </row>
    <row r="27" spans="1:37" ht="18" customHeight="1">
      <c r="A27" s="1200" t="s">
        <v>1033</v>
      </c>
      <c r="B27" s="346" t="s">
        <v>1467</v>
      </c>
      <c r="C27" s="24">
        <f ca="1">ROUND(F21*F26,4)</f>
        <v>8.9999999999999998E-4</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12366949</v>
      </c>
      <c r="D29" s="1341"/>
      <c r="E29" s="1339"/>
      <c r="F29" s="1342"/>
      <c r="G29" s="1853"/>
      <c r="H29" s="379" t="s">
        <v>1030</v>
      </c>
      <c r="I29" s="380" t="s">
        <v>1475</v>
      </c>
      <c r="J29" s="381">
        <f ca="1">ROUND(J26/(1+F40)^F41,0)</f>
        <v>0</v>
      </c>
      <c r="K29" s="382" t="s">
        <v>1476</v>
      </c>
      <c r="L29" s="383"/>
      <c r="M29" s="384">
        <f ca="1">INDIRECT("'数据-取费表'!k"&amp;$G$1)</f>
        <v>3559.58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325542</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ROUND(IF(项目基本情况!B11="自然人",C5*F31,C32+C33+C34),0)</f>
        <v>115010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IF(项目基本情况!B11="自然人","——",ROUND(C5*F32/(1+'数据-取费表'!C42),0))</f>
        <v>34906</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IF(项目基本情况!B11="自然人","——",IF(D33="按租金收入计税",ROUND(C5*F33,0),IF(D33="按房产原值计税",ROUND(C29*F33*0.7,0),INDIRECT("'数据-取费表'!Aj"&amp;$G$1))))</f>
        <v>78538</v>
      </c>
      <c r="D33" s="1827" t="s">
        <v>3213</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f>
        <v>1566</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1043.67</v>
      </c>
      <c r="G35" s="1850"/>
      <c r="H35" s="744"/>
      <c r="I35" s="1859"/>
      <c r="J35" s="1860"/>
      <c r="K35" s="1861"/>
      <c r="L35" s="1858"/>
      <c r="M35" s="1858"/>
    </row>
    <row r="36" spans="1:18" ht="18" customHeight="1">
      <c r="A36" s="1351" t="s">
        <v>1036</v>
      </c>
      <c r="B36" s="346" t="s">
        <v>1445</v>
      </c>
      <c r="C36" s="24">
        <f ca="1">ROUND(C29*F36,0)</f>
        <v>185504</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ROUND(C13*F37,0)</f>
        <v>15211</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9817.2000000000007</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4">
        <f ca="1">C5-C30</f>
        <v>328938</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7166133</v>
      </c>
      <c r="D40" s="369" t="s">
        <v>1465</v>
      </c>
      <c r="E40" s="346" t="s">
        <v>1466</v>
      </c>
      <c r="F40" s="356">
        <f ca="1">INDIRECT("'数据-取费表'!I"&amp;$G$1)</f>
        <v>0.05</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36.57</v>
      </c>
      <c r="G41" s="1850"/>
      <c r="H41" s="731"/>
      <c r="I41" s="1859"/>
      <c r="J41" s="1860"/>
      <c r="K41" s="750"/>
      <c r="L41" s="731"/>
      <c r="M41" s="731"/>
    </row>
    <row r="42" spans="1:18" ht="18" customHeight="1">
      <c r="A42" s="352"/>
      <c r="B42" s="353"/>
      <c r="C42" s="354"/>
      <c r="D42" s="372"/>
      <c r="E42" s="346" t="s">
        <v>1473</v>
      </c>
      <c r="F42" s="356">
        <f ca="1">INDIRECT("'数据-取费表'!v"&amp;$G$1)</f>
        <v>0.02</v>
      </c>
      <c r="G42" s="1850"/>
      <c r="H42" s="731"/>
      <c r="I42" s="1859"/>
      <c r="J42" s="1860"/>
      <c r="K42" s="750"/>
      <c r="L42" s="731"/>
      <c r="M42" s="731"/>
    </row>
    <row r="43" spans="1:18" ht="18" customHeight="1" thickBot="1">
      <c r="A43" s="379" t="s">
        <v>1030</v>
      </c>
      <c r="B43" s="380" t="s">
        <v>1483</v>
      </c>
      <c r="C43" s="381">
        <f ca="1">ROUND(C40/F43,0)</f>
        <v>2013</v>
      </c>
      <c r="D43" s="382" t="s">
        <v>1484</v>
      </c>
      <c r="E43" s="383" t="s">
        <v>1485</v>
      </c>
      <c r="F43" s="384">
        <f ca="1">INDIRECT("'数据-取费表'!k"&amp;$G$1)</f>
        <v>3559.58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f ca="1">C68-C40</f>
        <v>-34204429</v>
      </c>
      <c r="D45" s="1939" t="s">
        <v>1600</v>
      </c>
      <c r="E45" s="1865"/>
      <c r="F45" s="1865"/>
      <c r="O45" s="1868" t="s">
        <v>1515</v>
      </c>
      <c r="P45" s="1838"/>
      <c r="Q45" s="1838"/>
      <c r="R45" s="1838"/>
    </row>
    <row r="46" spans="1:18" s="1841" customFormat="1" ht="13.5" thickBot="1">
      <c r="A46" s="1869" t="s">
        <v>1516</v>
      </c>
      <c r="C46" s="1870">
        <f ca="1">ROUND(C45/10000,0)</f>
        <v>-3420</v>
      </c>
      <c r="D46" s="1871" t="str">
        <f>C2</f>
        <v>万元</v>
      </c>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t="s">
        <v>3214</v>
      </c>
      <c r="K47" s="1881" t="s">
        <v>1523</v>
      </c>
      <c r="L47" s="1882">
        <f ca="1">INDIRECT("'数据-取费表'!d"&amp;$G$1)</f>
        <v>50</v>
      </c>
      <c r="M47" s="1837" t="str">
        <f>IF(ISNUMBER(FIND("住宅",C1)),"住宅","非住宅")</f>
        <v>非住宅</v>
      </c>
      <c r="O47" s="1883" t="s">
        <v>1037</v>
      </c>
      <c r="P47" s="1884" t="s">
        <v>1524</v>
      </c>
      <c r="Q47" s="1885">
        <f ca="1">C40+J29</f>
        <v>7166133</v>
      </c>
      <c r="R47" s="1885" t="s">
        <v>1525</v>
      </c>
    </row>
    <row r="48" spans="1:18" s="1841" customFormat="1" ht="28.5" thickBot="1">
      <c r="A48" s="1359" t="s">
        <v>1132</v>
      </c>
      <c r="B48" s="344" t="s">
        <v>1397</v>
      </c>
      <c r="C48" s="1816">
        <f ca="1">C49+C53+C55</f>
        <v>0</v>
      </c>
      <c r="D48" s="1361"/>
      <c r="E48" s="1362"/>
      <c r="F48" s="1180"/>
      <c r="G48" s="791"/>
      <c r="H48" s="792"/>
      <c r="I48" s="1886" t="s">
        <v>1526</v>
      </c>
      <c r="J48" s="1887" t="s">
        <v>3215</v>
      </c>
      <c r="K48" s="1888" t="s">
        <v>1527</v>
      </c>
      <c r="L48" s="1889">
        <f ca="1">INDIRECT("'数据-取费表'!f"&amp;$G$1)</f>
        <v>36.57</v>
      </c>
      <c r="O48" s="1883" t="s">
        <v>1038</v>
      </c>
      <c r="P48" s="1884" t="s">
        <v>1528</v>
      </c>
      <c r="Q48" s="1885" t="str">
        <f ca="1">J60</f>
        <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v>2008</v>
      </c>
      <c r="K49" s="1888" t="s">
        <v>1531</v>
      </c>
      <c r="L49" s="1892"/>
      <c r="O49" s="1893" t="s">
        <v>1039</v>
      </c>
      <c r="P49" s="1884" t="s">
        <v>1532</v>
      </c>
      <c r="Q49" s="1885">
        <f ca="1">C29</f>
        <v>12366949</v>
      </c>
      <c r="R49" s="1885" t="s">
        <v>1525</v>
      </c>
    </row>
    <row r="50" spans="1:18" s="1841" customFormat="1" ht="13.5" thickBot="1">
      <c r="A50" s="1194"/>
      <c r="B50" s="1197"/>
      <c r="C50" s="1198"/>
      <c r="D50" s="1171"/>
      <c r="E50" s="1276" t="s">
        <v>1402</v>
      </c>
      <c r="F50" s="1277">
        <f ca="1">F7</f>
        <v>101</v>
      </c>
      <c r="H50" s="792"/>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12</v>
      </c>
      <c r="I51" s="1897" t="s">
        <v>1536</v>
      </c>
      <c r="J51" s="1898">
        <f>IF(J49="",J50,J49+J50-YEAR('数据-取费表'!B2))</f>
        <v>49</v>
      </c>
      <c r="K51" s="1899" t="s">
        <v>1537</v>
      </c>
      <c r="L51" s="1900">
        <f ca="1">ROUND(-PV(INDIRECT("'数据-取费表'!h"&amp;$G$1),L48,(C39-C13*C76),0),0)</f>
        <v>-8575380</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36.57</v>
      </c>
      <c r="R52" s="1885" t="s">
        <v>1542</v>
      </c>
    </row>
    <row r="53" spans="1:18" s="1841" customFormat="1" ht="30.75" customHeight="1" thickBot="1">
      <c r="A53" s="1360" t="s">
        <v>1134</v>
      </c>
      <c r="B53" s="368" t="s">
        <v>1405</v>
      </c>
      <c r="C53" s="360">
        <f ca="1">ROUND(IF(F53="押一",C49/12*F11,IF(F53="押二",C49/12*2*F11,IF(F53="押三",C49/12*3*F11,C54*F11))),0)</f>
        <v>0</v>
      </c>
      <c r="D53" s="1823" t="s">
        <v>3039</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36.57</v>
      </c>
      <c r="K53" s="3253" t="s">
        <v>1544</v>
      </c>
      <c r="L53" s="3254"/>
      <c r="O53" s="1883" t="s">
        <v>1043</v>
      </c>
      <c r="P53" s="1884" t="s">
        <v>1545</v>
      </c>
      <c r="Q53" s="1885">
        <f ca="1">Q47+Q48</f>
        <v>7166133</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c r="O55" s="1876" t="s">
        <v>1518</v>
      </c>
      <c r="P55" s="1877" t="s">
        <v>1519</v>
      </c>
      <c r="Q55" s="1878" t="s">
        <v>1520</v>
      </c>
      <c r="R55" s="1878" t="s">
        <v>1521</v>
      </c>
    </row>
    <row r="56" spans="1:18" s="1841" customFormat="1" ht="36" customHeight="1" thickTop="1" thickBot="1">
      <c r="A56" s="1175">
        <v>2</v>
      </c>
      <c r="B56" s="1176" t="s">
        <v>1410</v>
      </c>
      <c r="C56" s="275">
        <f ca="1">C13</f>
        <v>10140898</v>
      </c>
      <c r="D56" s="1913"/>
      <c r="E56" s="1914"/>
      <c r="F56" s="1906"/>
      <c r="I56" s="1915" t="s">
        <v>1550</v>
      </c>
      <c r="J56" s="1916" t="s">
        <v>3062</v>
      </c>
      <c r="K56" s="1886" t="s">
        <v>1551</v>
      </c>
      <c r="L56" s="1889" t="str">
        <f ca="1">IF(L48&lt;J51,"——",L48-J51)</f>
        <v>——</v>
      </c>
      <c r="O56" s="1883" t="s">
        <v>1037</v>
      </c>
      <c r="P56" s="1884" t="s">
        <v>1524</v>
      </c>
      <c r="Q56" s="1885">
        <f ca="1">C40+J29</f>
        <v>7166133</v>
      </c>
      <c r="R56" s="1885" t="s">
        <v>1525</v>
      </c>
    </row>
    <row r="57" spans="1:18" s="1841" customFormat="1" ht="24.75" thickBot="1">
      <c r="A57" s="1917"/>
      <c r="B57" s="1168" t="s">
        <v>1474</v>
      </c>
      <c r="C57" s="281">
        <f ca="1">C29</f>
        <v>12366949</v>
      </c>
      <c r="D57" s="1918"/>
      <c r="E57" s="1919"/>
      <c r="F57" s="1920"/>
      <c r="I57" s="1921" t="s">
        <v>1552</v>
      </c>
      <c r="J57" s="1922" t="str">
        <f ca="1">IF(OR(M47="住宅",J51&lt;L48,J56="是"),"——",J51-L48)</f>
        <v>——</v>
      </c>
      <c r="K57" s="1886" t="s">
        <v>1601</v>
      </c>
      <c r="L57" s="1889" t="str">
        <f ca="1">IF(L48&lt;J51,"——",IF(L55="比较法",L49,IF(L55="基准地价",L50,L51)))</f>
        <v>——</v>
      </c>
      <c r="O57" s="1883" t="s">
        <v>1038</v>
      </c>
      <c r="P57" s="1884" t="s">
        <v>1602</v>
      </c>
      <c r="Q57" s="1885">
        <f ca="1">L60</f>
        <v>0</v>
      </c>
      <c r="R57" s="1885" t="s">
        <v>1603</v>
      </c>
    </row>
    <row r="58" spans="1:18" s="1841" customFormat="1" ht="24.75" thickBot="1">
      <c r="A58" s="359" t="s">
        <v>1027</v>
      </c>
      <c r="B58" s="1176" t="s">
        <v>1420</v>
      </c>
      <c r="C58" s="360">
        <f ca="1">ROUND(C59+C64+C65+C66,0)</f>
        <v>1241105</v>
      </c>
      <c r="D58" s="1178" t="s">
        <v>1421</v>
      </c>
      <c r="E58" s="1179"/>
      <c r="F58" s="1180"/>
      <c r="I58" s="1921" t="s">
        <v>1556</v>
      </c>
      <c r="J58" s="1923" t="e">
        <f ca="1">IF(J55&lt;0.4,0.4,J55)</f>
        <v>#VALUE!</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1040390</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1038824</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IF(项目基本情况!B11="自然人","——",ROUND(F62*F63,0))</f>
        <v>1566</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7166133</v>
      </c>
      <c r="R62" s="1885" t="s">
        <v>1044</v>
      </c>
    </row>
    <row r="63" spans="1:18" s="1841" customFormat="1" ht="13.5" thickBot="1">
      <c r="A63" s="371"/>
      <c r="B63" s="1174"/>
      <c r="C63" s="29"/>
      <c r="D63" s="1184"/>
      <c r="E63" s="1168" t="s">
        <v>1495</v>
      </c>
      <c r="F63" s="347">
        <f t="shared" ca="1" si="0"/>
        <v>1043.67</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185504</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15211</v>
      </c>
      <c r="D65" s="1182" t="s">
        <v>1450</v>
      </c>
      <c r="E65" s="1168" t="s">
        <v>1451</v>
      </c>
      <c r="F65" s="375">
        <f t="shared" ca="1" si="0"/>
        <v>1.5E-3</v>
      </c>
      <c r="I65" s="1928" t="s">
        <v>1575</v>
      </c>
      <c r="J65" s="1929">
        <v>40</v>
      </c>
      <c r="K65" s="1929">
        <v>30</v>
      </c>
      <c r="L65" s="1929">
        <v>50</v>
      </c>
      <c r="M65" s="1931">
        <v>0.02</v>
      </c>
      <c r="O65" s="1883" t="s">
        <v>1037</v>
      </c>
      <c r="P65" s="1884" t="s">
        <v>1576</v>
      </c>
      <c r="Q65" s="1885">
        <f ca="1">C40+J29</f>
        <v>7166133</v>
      </c>
      <c r="R65" s="1885" t="s">
        <v>1525</v>
      </c>
    </row>
    <row r="66" spans="1:18" s="1841" customFormat="1" ht="16.5" thickBot="1">
      <c r="A66" s="1200" t="s">
        <v>1500</v>
      </c>
      <c r="B66" s="1168" t="s">
        <v>1435</v>
      </c>
      <c r="C66" s="24">
        <f ca="1">ROUND(C48*F66,0)</f>
        <v>0</v>
      </c>
      <c r="D66" s="1182" t="s">
        <v>1501</v>
      </c>
      <c r="E66" s="1168" t="s">
        <v>1418</v>
      </c>
      <c r="F66" s="356">
        <f t="shared" ca="1" si="0"/>
        <v>1.4999999999999999E-2</v>
      </c>
      <c r="O66" s="1883" t="s">
        <v>1038</v>
      </c>
      <c r="P66" s="1884" t="s">
        <v>1554</v>
      </c>
      <c r="Q66" s="1885">
        <f ca="1">L60</f>
        <v>0</v>
      </c>
      <c r="R66" s="1885" t="s">
        <v>1577</v>
      </c>
    </row>
    <row r="67" spans="1:18" s="1841" customFormat="1" ht="16.5" thickBot="1">
      <c r="A67" s="1175" t="s">
        <v>1028</v>
      </c>
      <c r="B67" s="1185" t="s">
        <v>1459</v>
      </c>
      <c r="C67" s="360">
        <f ca="1">C48-C58</f>
        <v>-1241105</v>
      </c>
      <c r="D67" s="1181" t="s">
        <v>1460</v>
      </c>
      <c r="E67" s="1186"/>
      <c r="F67" s="1187"/>
      <c r="O67" s="1893" t="s">
        <v>1039</v>
      </c>
      <c r="P67" s="1884" t="s">
        <v>1558</v>
      </c>
      <c r="Q67" s="1932">
        <f ca="1">L51</f>
        <v>-8575380</v>
      </c>
      <c r="R67" s="1885" t="s">
        <v>1578</v>
      </c>
    </row>
    <row r="68" spans="1:18" s="1841" customFormat="1" ht="16.5" thickBot="1">
      <c r="A68" s="1165" t="s">
        <v>1029</v>
      </c>
      <c r="B68" s="1166" t="s">
        <v>1481</v>
      </c>
      <c r="C68" s="345">
        <f ca="1">ROUND(C67*(1-((1+F70)/(1+F68))^F69)/(F68-F70),0)</f>
        <v>-27038296</v>
      </c>
      <c r="D68" s="1183" t="s">
        <v>1465</v>
      </c>
      <c r="E68" s="1168" t="s">
        <v>1466</v>
      </c>
      <c r="F68" s="356">
        <f ca="1">F40</f>
        <v>0.05</v>
      </c>
      <c r="O68" s="1893" t="s">
        <v>1040</v>
      </c>
      <c r="P68" s="1933" t="s">
        <v>1579</v>
      </c>
      <c r="Q68" s="1885">
        <f ca="1">ROUND(Q69-Q70*Q71,0)</f>
        <v>-482334</v>
      </c>
      <c r="R68" s="1885" t="s">
        <v>1048</v>
      </c>
    </row>
    <row r="69" spans="1:18" s="1841" customFormat="1" ht="13.5" thickBot="1">
      <c r="A69" s="1169"/>
      <c r="B69" s="1170"/>
      <c r="C69" s="350"/>
      <c r="D69" s="1188" t="s">
        <v>1469</v>
      </c>
      <c r="E69" s="1168" t="s">
        <v>1470</v>
      </c>
      <c r="F69" s="378">
        <f ca="1">F41</f>
        <v>36.57</v>
      </c>
      <c r="O69" s="1893" t="s">
        <v>1045</v>
      </c>
      <c r="P69" s="1933" t="s">
        <v>1580</v>
      </c>
      <c r="Q69" s="1885">
        <f ca="1">C39</f>
        <v>328938</v>
      </c>
      <c r="R69" s="1885" t="s">
        <v>1525</v>
      </c>
    </row>
    <row r="70" spans="1:18" s="1841" customFormat="1" ht="13.5" thickBot="1">
      <c r="A70" s="1172"/>
      <c r="B70" s="1173"/>
      <c r="C70" s="354"/>
      <c r="D70" s="1184"/>
      <c r="E70" s="1168" t="s">
        <v>1473</v>
      </c>
      <c r="F70" s="1274">
        <f ca="1">F42</f>
        <v>0.02</v>
      </c>
      <c r="O70" s="1893" t="s">
        <v>1046</v>
      </c>
      <c r="P70" s="1933" t="s">
        <v>1581</v>
      </c>
      <c r="Q70" s="1885">
        <f ca="1">C13</f>
        <v>10140898</v>
      </c>
      <c r="R70" s="1885" t="s">
        <v>1525</v>
      </c>
    </row>
    <row r="71" spans="1:18" s="1841" customFormat="1" ht="13.5" thickBot="1">
      <c r="A71" s="1189" t="s">
        <v>1030</v>
      </c>
      <c r="B71" s="1190" t="s">
        <v>1483</v>
      </c>
      <c r="C71" s="381">
        <f ca="1">ROUND(C68/F71,0)</f>
        <v>-7596</v>
      </c>
      <c r="D71" s="1191" t="s">
        <v>1484</v>
      </c>
      <c r="E71" s="1192" t="s">
        <v>1485</v>
      </c>
      <c r="F71" s="384">
        <f ca="1">F43</f>
        <v>3559.58</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811272</v>
      </c>
      <c r="D75" s="1841"/>
      <c r="E75" s="1841"/>
      <c r="F75" s="1841"/>
      <c r="K75" s="1867"/>
      <c r="L75" s="1841"/>
      <c r="O75" s="1883" t="s">
        <v>1043</v>
      </c>
      <c r="P75" s="1884" t="s">
        <v>1545</v>
      </c>
      <c r="Q75" s="1885">
        <f ca="1">Q65+Q66</f>
        <v>7166133</v>
      </c>
      <c r="R75" s="1885" t="s">
        <v>1044</v>
      </c>
    </row>
    <row r="76" spans="1:18">
      <c r="B76" s="387" t="s">
        <v>1503</v>
      </c>
      <c r="C76" s="388">
        <f ca="1">INDIRECT("'数据-取费表'!j"&amp;$G$1)</f>
        <v>0.08</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-1.4660000000000002</v>
      </c>
    </row>
    <row r="80" spans="1:18">
      <c r="B80" s="385" t="s">
        <v>1507</v>
      </c>
      <c r="C80" s="317">
        <f ca="1">ROUND(C75/C39,3)</f>
        <v>2.4660000000000002</v>
      </c>
    </row>
    <row r="81" spans="2:3">
      <c r="B81" s="313" t="s">
        <v>1508</v>
      </c>
      <c r="C81" s="281"/>
    </row>
    <row r="82" spans="2:3">
      <c r="B82" s="316" t="s">
        <v>1509</v>
      </c>
      <c r="C82" s="318">
        <f ca="1">1-C83</f>
        <v>-0.41500000000000004</v>
      </c>
    </row>
    <row r="83" spans="2:3">
      <c r="B83" s="316" t="s">
        <v>1510</v>
      </c>
      <c r="C83" s="317">
        <f ca="1">ROUND(C13/C40,3)</f>
        <v>1.415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86345</v>
      </c>
      <c r="C2" s="2566" t="s">
        <v>2516</v>
      </c>
      <c r="D2" s="2567" t="s">
        <v>2517</v>
      </c>
      <c r="E2" s="2568">
        <f>SUM(E6:E13)</f>
        <v>34740.85</v>
      </c>
    </row>
    <row r="3" spans="1:6" ht="15.75">
      <c r="A3" s="2564" t="s">
        <v>1391</v>
      </c>
      <c r="B3" s="2565">
        <f ca="1">ROUND(B2*10000/E2,0)</f>
        <v>24854</v>
      </c>
      <c r="C3" s="2566" t="s">
        <v>2524</v>
      </c>
      <c r="D3" s="2569"/>
      <c r="E3" s="2570"/>
    </row>
    <row r="4" spans="1:6" ht="15.75">
      <c r="A4" s="2571"/>
      <c r="B4" s="2569"/>
      <c r="C4" s="2569"/>
      <c r="D4" s="2569"/>
      <c r="E4" s="2570"/>
    </row>
    <row r="5" spans="1:6" ht="15">
      <c r="A5" s="2572" t="s">
        <v>2518</v>
      </c>
      <c r="B5" s="3309" t="s">
        <v>2519</v>
      </c>
      <c r="C5" s="3309"/>
      <c r="D5" s="2573"/>
      <c r="E5" s="2574" t="s">
        <v>2520</v>
      </c>
      <c r="F5" s="2575" t="s">
        <v>2521</v>
      </c>
    </row>
    <row r="6" spans="1:6">
      <c r="A6" s="2576" t="str">
        <f>'数据-取费表'!AN6</f>
        <v>收益法</v>
      </c>
      <c r="B6" s="2575">
        <f ca="1">IF(F6="是",'数据-取费表'!AO6,0)</f>
        <v>85628</v>
      </c>
      <c r="C6" s="2566" t="s">
        <v>2516</v>
      </c>
      <c r="D6" s="2569"/>
      <c r="E6" s="2577">
        <f>IF(OR(A6=0,F6="否"),0,'数据-取费表'!K6+'数据-取费表'!S6)</f>
        <v>31181.27</v>
      </c>
      <c r="F6" s="2578" t="s">
        <v>2522</v>
      </c>
    </row>
    <row r="7" spans="1:6">
      <c r="A7" s="2576" t="str">
        <f>'数据-取费表'!AN7</f>
        <v>收益法 (元)</v>
      </c>
      <c r="B7" s="2575">
        <f ca="1">IF(F7="是",'数据-取费表'!AO7,0)</f>
        <v>717</v>
      </c>
      <c r="C7" s="2566" t="s">
        <v>2516</v>
      </c>
      <c r="D7" s="2569"/>
      <c r="E7" s="2577">
        <f>IF(OR(A7=0,F7="否"),0,'数据-取费表'!K7+'数据-取费表'!S7)</f>
        <v>3559.58</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0" t="s">
        <v>1073</v>
      </c>
      <c r="B1" s="3311"/>
      <c r="C1" s="3312"/>
      <c r="D1" s="3313">
        <f>SUM(I10,I15,I20,I21,I23)</f>
        <v>0</v>
      </c>
      <c r="E1" s="3313"/>
      <c r="F1" s="3313"/>
      <c r="G1" s="3313"/>
      <c r="H1" s="3313"/>
      <c r="I1" s="3314"/>
    </row>
    <row r="2" spans="1:9">
      <c r="A2" s="3315" t="s">
        <v>1074</v>
      </c>
      <c r="B2" s="3316" t="s">
        <v>1075</v>
      </c>
      <c r="C2" s="3316"/>
      <c r="D2" s="1300" t="s">
        <v>1076</v>
      </c>
      <c r="E2" s="1300" t="s">
        <v>1077</v>
      </c>
      <c r="F2" s="1300" t="s">
        <v>1078</v>
      </c>
      <c r="G2" s="1300" t="s">
        <v>1079</v>
      </c>
      <c r="H2" s="1300" t="s">
        <v>1080</v>
      </c>
      <c r="I2" s="1301" t="s">
        <v>1081</v>
      </c>
    </row>
    <row r="3" spans="1:9">
      <c r="A3" s="3315"/>
      <c r="B3" s="3316" t="s">
        <v>1082</v>
      </c>
      <c r="C3" s="3316"/>
      <c r="D3" s="1302"/>
      <c r="E3" s="1300"/>
      <c r="F3" s="1303"/>
      <c r="G3" s="1303"/>
      <c r="H3" s="1304"/>
      <c r="I3" s="1305">
        <f>ROUND(D3*E3*F3*G3*H3/10000,0)</f>
        <v>0</v>
      </c>
    </row>
    <row r="4" spans="1:9">
      <c r="A4" s="3315"/>
      <c r="B4" s="3316" t="s">
        <v>1083</v>
      </c>
      <c r="C4" s="3316"/>
      <c r="D4" s="1302"/>
      <c r="E4" s="1300"/>
      <c r="F4" s="1303"/>
      <c r="G4" s="1303"/>
      <c r="H4" s="1304"/>
      <c r="I4" s="1305">
        <f t="shared" ref="I4:I9" si="0">ROUND(D4*E4*F4*G4*H4/10000,0)</f>
        <v>0</v>
      </c>
    </row>
    <row r="5" spans="1:9">
      <c r="A5" s="3315"/>
      <c r="B5" s="3316" t="s">
        <v>1084</v>
      </c>
      <c r="C5" s="3316"/>
      <c r="D5" s="1302"/>
      <c r="E5" s="1300"/>
      <c r="F5" s="1303"/>
      <c r="G5" s="1303"/>
      <c r="H5" s="1304"/>
      <c r="I5" s="1305">
        <f t="shared" si="0"/>
        <v>0</v>
      </c>
    </row>
    <row r="6" spans="1:9">
      <c r="A6" s="3315"/>
      <c r="B6" s="3316" t="s">
        <v>1085</v>
      </c>
      <c r="C6" s="3316"/>
      <c r="D6" s="1302"/>
      <c r="E6" s="1300"/>
      <c r="F6" s="1303"/>
      <c r="G6" s="1303"/>
      <c r="H6" s="1304"/>
      <c r="I6" s="1305">
        <f t="shared" si="0"/>
        <v>0</v>
      </c>
    </row>
    <row r="7" spans="1:9">
      <c r="A7" s="3315"/>
      <c r="B7" s="3316" t="s">
        <v>1086</v>
      </c>
      <c r="C7" s="3316"/>
      <c r="D7" s="1302"/>
      <c r="E7" s="1300"/>
      <c r="F7" s="1303"/>
      <c r="G7" s="1303"/>
      <c r="H7" s="1304"/>
      <c r="I7" s="1305">
        <f t="shared" si="0"/>
        <v>0</v>
      </c>
    </row>
    <row r="8" spans="1:9">
      <c r="A8" s="3315"/>
      <c r="B8" s="3316" t="s">
        <v>1087</v>
      </c>
      <c r="C8" s="3316"/>
      <c r="D8" s="1302"/>
      <c r="E8" s="1300"/>
      <c r="F8" s="1303"/>
      <c r="G8" s="1303"/>
      <c r="H8" s="1304"/>
      <c r="I8" s="1305">
        <f t="shared" si="0"/>
        <v>0</v>
      </c>
    </row>
    <row r="9" spans="1:9">
      <c r="A9" s="3315"/>
      <c r="B9" s="3316" t="s">
        <v>1088</v>
      </c>
      <c r="C9" s="3316"/>
      <c r="D9" s="1302"/>
      <c r="E9" s="1300"/>
      <c r="F9" s="1303"/>
      <c r="G9" s="1303"/>
      <c r="H9" s="1304"/>
      <c r="I9" s="1305">
        <f t="shared" si="0"/>
        <v>0</v>
      </c>
    </row>
    <row r="10" spans="1:9">
      <c r="A10" s="3315"/>
      <c r="B10" s="3317" t="s">
        <v>1089</v>
      </c>
      <c r="C10" s="3317"/>
      <c r="D10" s="1306"/>
      <c r="E10" s="1306" t="e">
        <f>ROUND(D1*10000/D10/H9,0)</f>
        <v>#DIV/0!</v>
      </c>
      <c r="F10" s="1307"/>
      <c r="G10" s="1307"/>
      <c r="H10" s="1308"/>
      <c r="I10" s="1309">
        <f>SUM(I3:I9)</f>
        <v>0</v>
      </c>
    </row>
    <row r="11" spans="1:9" ht="14.25">
      <c r="A11" s="3315" t="s">
        <v>1090</v>
      </c>
      <c r="B11" s="3316" t="s">
        <v>1091</v>
      </c>
      <c r="C11" s="3316"/>
      <c r="D11" s="1302" t="s">
        <v>1092</v>
      </c>
      <c r="E11" s="1302" t="s">
        <v>1093</v>
      </c>
      <c r="F11" s="1303" t="s">
        <v>1094</v>
      </c>
      <c r="G11" s="1303" t="s">
        <v>1080</v>
      </c>
      <c r="H11" s="1310" t="s">
        <v>1095</v>
      </c>
      <c r="I11" s="1301" t="s">
        <v>1081</v>
      </c>
    </row>
    <row r="12" spans="1:9">
      <c r="A12" s="3315"/>
      <c r="B12" s="3316" t="s">
        <v>1096</v>
      </c>
      <c r="C12" s="3316"/>
      <c r="D12" s="1302"/>
      <c r="E12" s="1302"/>
      <c r="F12" s="1303"/>
      <c r="G12" s="1304"/>
      <c r="H12" s="1311"/>
      <c r="I12" s="1301">
        <f>ROUND(D12*E12*F12*G12/10000,0)</f>
        <v>0</v>
      </c>
    </row>
    <row r="13" spans="1:9">
      <c r="A13" s="3315"/>
      <c r="B13" s="3316" t="s">
        <v>1097</v>
      </c>
      <c r="C13" s="3316"/>
      <c r="D13" s="1302"/>
      <c r="E13" s="1302"/>
      <c r="F13" s="1303"/>
      <c r="G13" s="1304"/>
      <c r="H13" s="1311"/>
      <c r="I13" s="1301">
        <f>ROUND(D13*E13*F13*G13/10000,0)</f>
        <v>0</v>
      </c>
    </row>
    <row r="14" spans="1:9">
      <c r="A14" s="3315"/>
      <c r="B14" s="3316" t="s">
        <v>1098</v>
      </c>
      <c r="C14" s="3316"/>
      <c r="D14" s="1302"/>
      <c r="E14" s="1302"/>
      <c r="F14" s="1303"/>
      <c r="G14" s="1304"/>
      <c r="H14" s="1311"/>
      <c r="I14" s="1301">
        <f>ROUND(D14*E14*F14*G14/10000,0)</f>
        <v>0</v>
      </c>
    </row>
    <row r="15" spans="1:9">
      <c r="A15" s="3315"/>
      <c r="B15" s="3317" t="s">
        <v>1089</v>
      </c>
      <c r="C15" s="3317"/>
      <c r="D15" s="1306"/>
      <c r="E15" s="1306">
        <f>SUM(E12:E14)</f>
        <v>0</v>
      </c>
      <c r="F15" s="1307"/>
      <c r="G15" s="1304"/>
      <c r="H15" s="1311"/>
      <c r="I15" s="1312">
        <f>SUM(I12:I14)</f>
        <v>0</v>
      </c>
    </row>
    <row r="16" spans="1:9" ht="24">
      <c r="A16" s="3315" t="s">
        <v>1099</v>
      </c>
      <c r="B16" s="3316" t="s">
        <v>1100</v>
      </c>
      <c r="C16" s="3316"/>
      <c r="D16" s="1302" t="s">
        <v>1076</v>
      </c>
      <c r="E16" s="1313" t="s">
        <v>1101</v>
      </c>
      <c r="F16" s="1303" t="s">
        <v>1102</v>
      </c>
      <c r="G16" s="1304" t="s">
        <v>1080</v>
      </c>
      <c r="H16" s="1310" t="s">
        <v>1095</v>
      </c>
      <c r="I16" s="1301" t="s">
        <v>1081</v>
      </c>
    </row>
    <row r="17" spans="1:9" ht="14.25">
      <c r="A17" s="3315"/>
      <c r="B17" s="3316" t="s">
        <v>1103</v>
      </c>
      <c r="C17" s="3316"/>
      <c r="D17" s="1302"/>
      <c r="E17" s="1302"/>
      <c r="F17" s="1303"/>
      <c r="G17" s="1304"/>
      <c r="H17" s="1314"/>
      <c r="I17" s="1315">
        <f>ROUND(D17*E17*F17*G17/10000,0)</f>
        <v>0</v>
      </c>
    </row>
    <row r="18" spans="1:9" ht="14.25">
      <c r="A18" s="3315"/>
      <c r="B18" s="3316" t="s">
        <v>1104</v>
      </c>
      <c r="C18" s="3316"/>
      <c r="D18" s="1302"/>
      <c r="E18" s="1302"/>
      <c r="F18" s="1303"/>
      <c r="G18" s="1304"/>
      <c r="H18" s="1314"/>
      <c r="I18" s="1315">
        <f>ROUND(D18*E18*F18*G18/10000,0)</f>
        <v>0</v>
      </c>
    </row>
    <row r="19" spans="1:9" ht="14.25">
      <c r="A19" s="3315"/>
      <c r="B19" s="3316" t="s">
        <v>1105</v>
      </c>
      <c r="C19" s="3316"/>
      <c r="D19" s="1302"/>
      <c r="E19" s="1302"/>
      <c r="F19" s="1303"/>
      <c r="G19" s="1304"/>
      <c r="H19" s="1314"/>
      <c r="I19" s="1315">
        <f>ROUND(D19*E19*F19*G19/10000,0)</f>
        <v>0</v>
      </c>
    </row>
    <row r="20" spans="1:9">
      <c r="A20" s="3315"/>
      <c r="B20" s="3317" t="s">
        <v>1089</v>
      </c>
      <c r="C20" s="3317"/>
      <c r="D20" s="1306">
        <f>SUM(D17:D19)</f>
        <v>0</v>
      </c>
      <c r="E20" s="1306"/>
      <c r="F20" s="1307"/>
      <c r="G20" s="1304"/>
      <c r="H20" s="1311"/>
      <c r="I20" s="1312">
        <f>SUM(I17:I19)</f>
        <v>0</v>
      </c>
    </row>
    <row r="21" spans="1:9">
      <c r="A21" s="3315" t="s">
        <v>1106</v>
      </c>
      <c r="B21" s="3319"/>
      <c r="C21" s="3319"/>
      <c r="D21" s="3319"/>
      <c r="E21" s="3319"/>
      <c r="F21" s="3319"/>
      <c r="G21" s="3319"/>
      <c r="H21" s="1764">
        <v>0.1</v>
      </c>
      <c r="I21" s="1309">
        <f>ROUND(I10*H21,0)</f>
        <v>0</v>
      </c>
    </row>
    <row r="22" spans="1:9" ht="14.25">
      <c r="A22" s="3320" t="s">
        <v>1107</v>
      </c>
      <c r="B22" s="3321"/>
      <c r="C22" s="3322"/>
      <c r="D22" s="1316" t="s">
        <v>1108</v>
      </c>
      <c r="E22" s="1316" t="s">
        <v>1109</v>
      </c>
      <c r="F22" s="1317" t="s">
        <v>1110</v>
      </c>
      <c r="G22" s="1317" t="s">
        <v>1111</v>
      </c>
      <c r="H22" s="1310" t="s">
        <v>1112</v>
      </c>
      <c r="I22" s="1301" t="s">
        <v>1113</v>
      </c>
    </row>
    <row r="23" spans="1:9" ht="14.25" thickBot="1">
      <c r="A23" s="3323"/>
      <c r="B23" s="3324"/>
      <c r="C23" s="3325"/>
      <c r="D23" s="1318"/>
      <c r="E23" s="1318"/>
      <c r="F23" s="1318"/>
      <c r="G23" s="1319"/>
      <c r="H23" s="1320"/>
      <c r="I23" s="1321">
        <f>ROUND(E23*D23*F23*(1-G23)/10000,0)</f>
        <v>0</v>
      </c>
    </row>
    <row r="26" spans="1:9">
      <c r="A26" s="1322" t="s">
        <v>1114</v>
      </c>
      <c r="B26" s="1322"/>
      <c r="C26" s="1322"/>
      <c r="D26" s="1322"/>
      <c r="E26" s="3326">
        <f>C27-C30-C31-C32</f>
        <v>0</v>
      </c>
      <c r="F26" s="3326"/>
      <c r="G26" s="3326"/>
      <c r="H26" s="1736" t="s">
        <v>1336</v>
      </c>
    </row>
    <row r="27" spans="1:9">
      <c r="A27" s="1323">
        <v>1</v>
      </c>
      <c r="B27" s="1324" t="s">
        <v>1115</v>
      </c>
      <c r="C27" s="1324">
        <f>C28+C29</f>
        <v>0</v>
      </c>
      <c r="D27" s="1324"/>
      <c r="E27" s="3327"/>
      <c r="F27" s="3327"/>
      <c r="G27" s="3327"/>
    </row>
    <row r="28" spans="1:9">
      <c r="A28" s="1325" t="s">
        <v>1116</v>
      </c>
      <c r="B28" s="1324" t="s">
        <v>1117</v>
      </c>
      <c r="C28" s="1324"/>
      <c r="D28" s="1324"/>
      <c r="E28" s="3327"/>
      <c r="F28" s="3327"/>
      <c r="G28" s="332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18"/>
      <c r="F32" s="3318"/>
      <c r="G32" s="3318"/>
    </row>
    <row r="33" spans="1:7" hidden="1">
      <c r="A33" s="3328" t="s">
        <v>1126</v>
      </c>
      <c r="B33" s="3329"/>
      <c r="C33" s="3329"/>
      <c r="D33" s="3330"/>
      <c r="E33" s="3326"/>
      <c r="F33" s="3326"/>
      <c r="G33" s="3326"/>
    </row>
    <row r="34" spans="1:7" hidden="1">
      <c r="A34" s="1327">
        <v>1</v>
      </c>
      <c r="B34" s="1324" t="s">
        <v>1127</v>
      </c>
      <c r="C34" s="1324"/>
      <c r="D34" s="1324"/>
      <c r="E34" s="3327"/>
      <c r="F34" s="3327"/>
      <c r="G34" s="3327"/>
    </row>
    <row r="35" spans="1:7" hidden="1">
      <c r="A35" s="1327">
        <v>2</v>
      </c>
      <c r="B35" s="1324" t="s">
        <v>1128</v>
      </c>
      <c r="C35" s="1324"/>
      <c r="D35" s="1324"/>
      <c r="E35" s="3327"/>
      <c r="F35" s="3327"/>
      <c r="G35" s="3327"/>
    </row>
    <row r="36" spans="1:7" hidden="1">
      <c r="A36" s="1327">
        <v>3</v>
      </c>
      <c r="B36" s="1324" t="s">
        <v>1129</v>
      </c>
      <c r="C36" s="1324"/>
      <c r="D36" s="1324"/>
      <c r="E36" s="3327"/>
      <c r="F36" s="3327"/>
      <c r="G36" s="3327"/>
    </row>
    <row r="37" spans="1:7" hidden="1">
      <c r="A37" s="1327">
        <v>4</v>
      </c>
      <c r="B37" s="1324" t="s">
        <v>1130</v>
      </c>
      <c r="C37" s="1324"/>
      <c r="D37" s="1324"/>
      <c r="E37" s="3327"/>
      <c r="F37" s="3327"/>
      <c r="G37" s="3327"/>
    </row>
    <row r="38" spans="1:7" hidden="1">
      <c r="A38" s="3328" t="s">
        <v>1131</v>
      </c>
      <c r="B38" s="3329"/>
      <c r="C38" s="3329"/>
      <c r="D38" s="3330"/>
      <c r="E38" s="3326"/>
      <c r="F38" s="3326"/>
      <c r="G38" s="33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2" t="s">
        <v>2526</v>
      </c>
      <c r="C1" s="1633" t="s">
        <v>2527</v>
      </c>
      <c r="D1" s="1620"/>
      <c r="E1" s="2583"/>
      <c r="F1" s="2584" t="s">
        <v>2528</v>
      </c>
      <c r="G1" s="1630" t="s">
        <v>2529</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6"/>
      <c r="D2" s="1364" t="e">
        <f ca="1">SUMIF(INDIRECT("'"&amp;F2&amp;"'"&amp;"!A:A"),"承租人权益价值",INDIRECT("'"&amp;F2&amp;"'"&amp;"!c:c"))</f>
        <v>#REF!</v>
      </c>
      <c r="E2" s="2587" t="s">
        <v>2530</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1391</v>
      </c>
      <c r="B3" s="398" t="e">
        <f ca="1">IF(C2="——",C49,ROUND(B2*10000/D3,0))</f>
        <v>#DIV/0!</v>
      </c>
      <c r="C3" s="399" t="s">
        <v>2531</v>
      </c>
      <c r="D3" s="398">
        <f>IF(D1="",'数据-汇总表'!E3,SUMIF('数据-汇总表'!$C19:$C33,D1,'数据-汇总表'!$E19:$E33))</f>
        <v>34740.85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2532</v>
      </c>
      <c r="B4" s="401"/>
      <c r="C4" s="3278" t="s">
        <v>2533</v>
      </c>
      <c r="D4" s="3279"/>
      <c r="E4" s="3280" t="s">
        <v>2534</v>
      </c>
      <c r="F4" s="3281"/>
      <c r="G4" s="3278" t="s">
        <v>2535</v>
      </c>
      <c r="H4" s="3279"/>
      <c r="I4" s="3278" t="s">
        <v>2536</v>
      </c>
      <c r="J4" s="3279"/>
      <c r="K4" s="2596" t="s">
        <v>2537</v>
      </c>
      <c r="L4" s="1129"/>
      <c r="M4" s="1130"/>
      <c r="N4" s="1130"/>
      <c r="O4" s="1130"/>
      <c r="P4" s="3282" t="s">
        <v>2538</v>
      </c>
      <c r="Q4" s="3283"/>
      <c r="R4" s="3264" t="s">
        <v>2534</v>
      </c>
      <c r="S4" s="3265"/>
      <c r="T4" s="3264" t="s">
        <v>2535</v>
      </c>
      <c r="U4" s="3265"/>
      <c r="V4" s="3261" t="s">
        <v>2536</v>
      </c>
      <c r="W4" s="3261"/>
      <c r="X4" s="1812"/>
      <c r="Y4" s="3264" t="s">
        <v>2538</v>
      </c>
      <c r="Z4" s="3265"/>
      <c r="AA4" s="3258" t="s">
        <v>2534</v>
      </c>
      <c r="AB4" s="3258" t="s">
        <v>2535</v>
      </c>
      <c r="AC4" s="3258" t="s">
        <v>2536</v>
      </c>
    </row>
    <row r="5" spans="1:29" ht="15">
      <c r="A5" s="403"/>
      <c r="B5" s="404"/>
      <c r="C5" s="3270" t="s">
        <v>2539</v>
      </c>
      <c r="D5" s="3271"/>
      <c r="E5" s="3331" t="s">
        <v>2540</v>
      </c>
      <c r="F5" s="3269"/>
      <c r="G5" s="3270" t="s">
        <v>2541</v>
      </c>
      <c r="H5" s="3271"/>
      <c r="I5" s="3270" t="s">
        <v>2542</v>
      </c>
      <c r="J5" s="3271"/>
      <c r="K5" s="2597"/>
      <c r="L5" s="1129"/>
      <c r="M5" s="1130"/>
      <c r="N5" s="1130"/>
      <c r="O5" s="1130"/>
      <c r="P5" s="3284"/>
      <c r="Q5" s="3285"/>
      <c r="R5" s="3266"/>
      <c r="S5" s="3267"/>
      <c r="T5" s="3266"/>
      <c r="U5" s="3267"/>
      <c r="V5" s="3261"/>
      <c r="W5" s="3261"/>
      <c r="X5" s="1812"/>
      <c r="Y5" s="3266"/>
      <c r="Z5" s="3267"/>
      <c r="AA5" s="3259"/>
      <c r="AB5" s="3259"/>
      <c r="AC5" s="3259"/>
    </row>
    <row r="6" spans="1:29" ht="15.75" thickBot="1">
      <c r="A6" s="405"/>
      <c r="B6" s="406"/>
      <c r="C6" s="3272" t="s">
        <v>2543</v>
      </c>
      <c r="D6" s="3273"/>
      <c r="E6" s="3275" t="s">
        <v>2543</v>
      </c>
      <c r="F6" s="3276"/>
      <c r="G6" s="3272" t="s">
        <v>2543</v>
      </c>
      <c r="H6" s="3273"/>
      <c r="I6" s="3272" t="s">
        <v>2543</v>
      </c>
      <c r="J6" s="3273"/>
      <c r="K6" s="2597" t="s">
        <v>2544</v>
      </c>
      <c r="L6" s="1129"/>
      <c r="M6" s="1130"/>
      <c r="N6" s="1130"/>
      <c r="O6" s="1130"/>
      <c r="P6" s="3286"/>
      <c r="Q6" s="3287"/>
      <c r="R6" s="3266"/>
      <c r="S6" s="3267"/>
      <c r="T6" s="3288"/>
      <c r="U6" s="3289"/>
      <c r="V6" s="3261"/>
      <c r="W6" s="3261"/>
      <c r="X6" s="1812"/>
      <c r="Y6" s="3288"/>
      <c r="Z6" s="3289"/>
      <c r="AA6" s="3260"/>
      <c r="AB6" s="3260"/>
      <c r="AC6" s="3260"/>
    </row>
    <row r="7" spans="1:29" s="116" customFormat="1" ht="15.75" thickBot="1">
      <c r="A7" s="407" t="s">
        <v>2545</v>
      </c>
      <c r="B7" s="408"/>
      <c r="C7" s="409">
        <f>'数据-取费表'!B2</f>
        <v>43634</v>
      </c>
      <c r="D7" s="410">
        <v>100</v>
      </c>
      <c r="E7" s="411"/>
      <c r="F7" s="412">
        <f>SUMIF(58:58,YEAR(E7)&amp;"-"&amp;MONTH(E7),59:59)</f>
        <v>0</v>
      </c>
      <c r="G7" s="411"/>
      <c r="H7" s="410">
        <f>SUMIF(58:58,YEAR(G7)&amp;"-"&amp;MONTH(G7),59:59)</f>
        <v>0</v>
      </c>
      <c r="I7" s="411"/>
      <c r="J7" s="410">
        <f>SUMIF(58:58,YEAR(I7)&amp;"-"&amp;MONTH(I7),59:59)</f>
        <v>0</v>
      </c>
      <c r="K7" s="2598"/>
      <c r="L7" s="1131"/>
      <c r="M7" s="1132"/>
      <c r="N7" s="1132"/>
      <c r="O7" s="1132"/>
      <c r="P7" s="3262" t="s">
        <v>2546</v>
      </c>
      <c r="Q7" s="3290"/>
      <c r="R7" s="769" t="s">
        <v>23</v>
      </c>
      <c r="S7" s="770">
        <f t="shared" ref="S7:S15" si="0">F7</f>
        <v>0</v>
      </c>
      <c r="T7" s="769" t="s">
        <v>23</v>
      </c>
      <c r="U7" s="770">
        <f t="shared" ref="U7:U15" si="1">H7</f>
        <v>0</v>
      </c>
      <c r="V7" s="769" t="s">
        <v>23</v>
      </c>
      <c r="W7" s="770">
        <f t="shared" ref="W7:W15" si="2">J7</f>
        <v>0</v>
      </c>
      <c r="X7" s="771"/>
      <c r="Y7" s="3262" t="s">
        <v>2546</v>
      </c>
      <c r="Z7" s="3263"/>
      <c r="AA7" s="772" t="e">
        <f>D7/F7</f>
        <v>#DIV/0!</v>
      </c>
      <c r="AB7" s="772" t="e">
        <f>D7/H7</f>
        <v>#DIV/0!</v>
      </c>
      <c r="AC7" s="772" t="e">
        <f>D7/J7</f>
        <v>#DIV/0!</v>
      </c>
    </row>
    <row r="8" spans="1:29" s="116" customFormat="1" ht="15.75" thickBot="1">
      <c r="A8" s="407" t="s">
        <v>2547</v>
      </c>
      <c r="B8" s="408"/>
      <c r="C8" s="413" t="s">
        <v>2548</v>
      </c>
      <c r="D8" s="410">
        <v>100</v>
      </c>
      <c r="E8" s="2599"/>
      <c r="F8" s="412">
        <f>SUMIF(61:61,E8,62:62)-SUMIF(61:61,C8,62:62)+100</f>
        <v>0</v>
      </c>
      <c r="G8" s="413"/>
      <c r="H8" s="410">
        <f>SUMIF(61:61,G8,62:62)-SUMIF(61:61,C8,62:62)+100</f>
        <v>0</v>
      </c>
      <c r="I8" s="2599"/>
      <c r="J8" s="410">
        <f>SUMIF(61:61,I8,62:62)-SUMIF(61:61,C8,62:62)+100</f>
        <v>0</v>
      </c>
      <c r="K8" s="2598"/>
      <c r="L8" s="1131"/>
      <c r="M8" s="1132"/>
      <c r="N8" s="1132"/>
      <c r="O8" s="1132"/>
      <c r="P8" s="3262" t="s">
        <v>2549</v>
      </c>
      <c r="Q8" s="3263"/>
      <c r="R8" s="769" t="s">
        <v>23</v>
      </c>
      <c r="S8" s="770">
        <f t="shared" si="0"/>
        <v>0</v>
      </c>
      <c r="T8" s="769" t="s">
        <v>23</v>
      </c>
      <c r="U8" s="770">
        <f t="shared" si="1"/>
        <v>0</v>
      </c>
      <c r="V8" s="769" t="s">
        <v>23</v>
      </c>
      <c r="W8" s="770">
        <f t="shared" si="2"/>
        <v>0</v>
      </c>
      <c r="X8" s="771"/>
      <c r="Y8" s="3262" t="s">
        <v>2549</v>
      </c>
      <c r="Z8" s="3263"/>
      <c r="AA8" s="772" t="e">
        <f t="shared" ref="AA8:AA19" si="3">D8/F8</f>
        <v>#DIV/0!</v>
      </c>
      <c r="AB8" s="772" t="e">
        <f t="shared" ref="AB8:AB19" si="4">D8/H8</f>
        <v>#DIV/0!</v>
      </c>
      <c r="AC8" s="772" t="e">
        <f t="shared" ref="AC8:AC19" si="5">D8/J8</f>
        <v>#DIV/0!</v>
      </c>
    </row>
    <row r="9" spans="1:29" s="116"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8"/>
      <c r="L9" s="1131"/>
      <c r="M9" s="1132"/>
      <c r="N9" s="1132"/>
      <c r="O9" s="1132"/>
      <c r="P9" s="3277" t="s">
        <v>2552</v>
      </c>
      <c r="Q9" s="1794" t="str">
        <f t="shared" ref="Q9:Q15" si="6">B9</f>
        <v>用途</v>
      </c>
      <c r="R9" s="769" t="s">
        <v>17</v>
      </c>
      <c r="S9" s="770">
        <f t="shared" si="0"/>
        <v>100</v>
      </c>
      <c r="T9" s="769" t="s">
        <v>17</v>
      </c>
      <c r="U9" s="770">
        <f t="shared" si="1"/>
        <v>100</v>
      </c>
      <c r="V9" s="769" t="s">
        <v>17</v>
      </c>
      <c r="W9" s="770">
        <f t="shared" si="2"/>
        <v>100</v>
      </c>
      <c r="X9" s="771"/>
      <c r="Y9" s="3130"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77"/>
      <c r="Q10" s="1794" t="str">
        <f t="shared" si="6"/>
        <v>土地使用年限（年）</v>
      </c>
      <c r="R10" s="769" t="s">
        <v>17</v>
      </c>
      <c r="S10" s="770">
        <f t="shared" si="0"/>
        <v>100</v>
      </c>
      <c r="T10" s="769" t="s">
        <v>17</v>
      </c>
      <c r="U10" s="770">
        <f t="shared" si="1"/>
        <v>100</v>
      </c>
      <c r="V10" s="769" t="s">
        <v>17</v>
      </c>
      <c r="W10" s="770">
        <f t="shared" si="2"/>
        <v>100</v>
      </c>
      <c r="X10" s="771"/>
      <c r="Y10" s="3130"/>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77"/>
      <c r="Q11" s="1794" t="str">
        <f t="shared" si="6"/>
        <v>容积率</v>
      </c>
      <c r="R11" s="769" t="s">
        <v>21</v>
      </c>
      <c r="S11" s="770" t="e">
        <f t="shared" si="0"/>
        <v>#N/A</v>
      </c>
      <c r="T11" s="769" t="s">
        <v>21</v>
      </c>
      <c r="U11" s="770" t="e">
        <f t="shared" si="1"/>
        <v>#N/A</v>
      </c>
      <c r="V11" s="769" t="s">
        <v>21</v>
      </c>
      <c r="W11" s="770" t="e">
        <f t="shared" si="2"/>
        <v>#N/A</v>
      </c>
      <c r="X11" s="771"/>
      <c r="Y11" s="3130"/>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77"/>
      <c r="Q12" s="1794">
        <f t="shared" si="6"/>
        <v>111</v>
      </c>
      <c r="R12" s="769" t="s">
        <v>21</v>
      </c>
      <c r="S12" s="770">
        <f t="shared" si="0"/>
        <v>100</v>
      </c>
      <c r="T12" s="769" t="s">
        <v>21</v>
      </c>
      <c r="U12" s="770">
        <f t="shared" si="1"/>
        <v>100</v>
      </c>
      <c r="V12" s="769" t="s">
        <v>21</v>
      </c>
      <c r="W12" s="770">
        <f t="shared" si="2"/>
        <v>100</v>
      </c>
      <c r="X12" s="771"/>
      <c r="Y12" s="3130"/>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77"/>
      <c r="Q13" s="1794">
        <f t="shared" si="6"/>
        <v>111</v>
      </c>
      <c r="R13" s="769" t="s">
        <v>21</v>
      </c>
      <c r="S13" s="770">
        <f t="shared" si="0"/>
        <v>100</v>
      </c>
      <c r="T13" s="769" t="s">
        <v>21</v>
      </c>
      <c r="U13" s="770">
        <f t="shared" si="1"/>
        <v>100</v>
      </c>
      <c r="V13" s="769" t="s">
        <v>21</v>
      </c>
      <c r="W13" s="770">
        <f t="shared" si="2"/>
        <v>100</v>
      </c>
      <c r="X13" s="771"/>
      <c r="Y13" s="3130"/>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77"/>
      <c r="Q14" s="1794">
        <f t="shared" si="6"/>
        <v>111</v>
      </c>
      <c r="R14" s="769" t="s">
        <v>21</v>
      </c>
      <c r="S14" s="770">
        <f t="shared" si="0"/>
        <v>100</v>
      </c>
      <c r="T14" s="769" t="s">
        <v>21</v>
      </c>
      <c r="U14" s="770">
        <f t="shared" si="1"/>
        <v>100</v>
      </c>
      <c r="V14" s="769" t="s">
        <v>21</v>
      </c>
      <c r="W14" s="770">
        <f t="shared" si="2"/>
        <v>100</v>
      </c>
      <c r="X14" s="771"/>
      <c r="Y14" s="3130"/>
      <c r="Z14" s="55">
        <f t="shared" si="7"/>
        <v>111</v>
      </c>
      <c r="AA14" s="772">
        <f t="shared" si="3"/>
        <v>1</v>
      </c>
      <c r="AB14" s="772">
        <f t="shared" si="4"/>
        <v>1</v>
      </c>
      <c r="AC14" s="772">
        <f t="shared" si="5"/>
        <v>1</v>
      </c>
    </row>
    <row r="15" spans="1:29" ht="15">
      <c r="A15" s="439" t="s">
        <v>2556</v>
      </c>
      <c r="B15" s="69" t="s">
        <v>2085</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91" t="s">
        <v>2557</v>
      </c>
      <c r="Q15" s="1809" t="str">
        <f t="shared" si="6"/>
        <v>居住社区成熟度</v>
      </c>
      <c r="R15" s="773" t="s">
        <v>21</v>
      </c>
      <c r="S15" s="774">
        <f t="shared" si="0"/>
        <v>100</v>
      </c>
      <c r="T15" s="773" t="s">
        <v>21</v>
      </c>
      <c r="U15" s="774">
        <f t="shared" si="1"/>
        <v>100</v>
      </c>
      <c r="V15" s="773" t="s">
        <v>21</v>
      </c>
      <c r="W15" s="774">
        <f t="shared" si="2"/>
        <v>100</v>
      </c>
      <c r="X15" s="1812"/>
      <c r="Y15" s="3293" t="s">
        <v>2557</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39"/>
      <c r="M16" s="1130"/>
      <c r="N16" s="1130"/>
      <c r="O16" s="1130"/>
      <c r="P16" s="3292"/>
      <c r="Q16" s="1809"/>
      <c r="R16" s="773"/>
      <c r="S16" s="774"/>
      <c r="T16" s="773"/>
      <c r="U16" s="774"/>
      <c r="V16" s="773"/>
      <c r="W16" s="774"/>
      <c r="X16" s="1812"/>
      <c r="Y16" s="3294"/>
      <c r="Z16" s="1813"/>
      <c r="AA16" s="1810">
        <v>1</v>
      </c>
      <c r="AB16" s="1810">
        <v>1</v>
      </c>
      <c r="AC16" s="1810">
        <v>1</v>
      </c>
    </row>
    <row r="17" spans="1:29" ht="15">
      <c r="A17" s="427"/>
      <c r="B17" s="450" t="s">
        <v>2094</v>
      </c>
      <c r="C17" s="2607"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92"/>
      <c r="Q17" s="1809" t="str">
        <f>B17</f>
        <v>交通便捷度</v>
      </c>
      <c r="R17" s="773" t="s">
        <v>21</v>
      </c>
      <c r="S17" s="774">
        <f>F17</f>
        <v>100</v>
      </c>
      <c r="T17" s="773" t="s">
        <v>21</v>
      </c>
      <c r="U17" s="774">
        <f>H17</f>
        <v>100</v>
      </c>
      <c r="V17" s="773" t="s">
        <v>21</v>
      </c>
      <c r="W17" s="774">
        <f>J17</f>
        <v>100</v>
      </c>
      <c r="X17" s="1812"/>
      <c r="Y17" s="3294"/>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39"/>
      <c r="M18" s="1130"/>
      <c r="N18" s="1130"/>
      <c r="O18" s="1130"/>
      <c r="P18" s="3292"/>
      <c r="Q18" s="1809"/>
      <c r="R18" s="773"/>
      <c r="S18" s="774"/>
      <c r="T18" s="773"/>
      <c r="U18" s="774"/>
      <c r="V18" s="773"/>
      <c r="W18" s="774"/>
      <c r="X18" s="1812"/>
      <c r="Y18" s="3294"/>
      <c r="Z18" s="1813"/>
      <c r="AA18" s="1810">
        <v>1</v>
      </c>
      <c r="AB18" s="1810">
        <v>1</v>
      </c>
      <c r="AC18" s="1810">
        <v>1</v>
      </c>
    </row>
    <row r="19" spans="1:29" ht="15">
      <c r="A19" s="427"/>
      <c r="B19" s="450" t="s">
        <v>2092</v>
      </c>
      <c r="C19" s="2607"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92"/>
      <c r="Q19" s="1809" t="str">
        <f>B19</f>
        <v>公共配套设施</v>
      </c>
      <c r="R19" s="773" t="s">
        <v>21</v>
      </c>
      <c r="S19" s="774">
        <f>F19</f>
        <v>100</v>
      </c>
      <c r="T19" s="773" t="s">
        <v>21</v>
      </c>
      <c r="U19" s="774">
        <f>H19</f>
        <v>100</v>
      </c>
      <c r="V19" s="773" t="s">
        <v>21</v>
      </c>
      <c r="W19" s="774">
        <f>J19</f>
        <v>100</v>
      </c>
      <c r="X19" s="1812"/>
      <c r="Y19" s="3294"/>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39"/>
      <c r="M20" s="1130"/>
      <c r="N20" s="1130"/>
      <c r="O20" s="1130"/>
      <c r="P20" s="3292"/>
      <c r="Q20" s="1809"/>
      <c r="R20" s="773"/>
      <c r="S20" s="774"/>
      <c r="T20" s="773"/>
      <c r="U20" s="774"/>
      <c r="V20" s="773"/>
      <c r="W20" s="774"/>
      <c r="X20" s="1812"/>
      <c r="Y20" s="3294"/>
      <c r="Z20" s="1813"/>
      <c r="AA20" s="1810">
        <v>1</v>
      </c>
      <c r="AB20" s="1810">
        <v>1</v>
      </c>
      <c r="AC20" s="1810">
        <v>1</v>
      </c>
    </row>
    <row r="21" spans="1:29" ht="15">
      <c r="A21" s="427"/>
      <c r="B21" s="1383" t="s">
        <v>2095</v>
      </c>
      <c r="C21" s="2607"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92"/>
      <c r="Q21" s="1809" t="str">
        <f>B21</f>
        <v>基础设施水平</v>
      </c>
      <c r="R21" s="773" t="s">
        <v>17</v>
      </c>
      <c r="S21" s="774">
        <f>F21</f>
        <v>100</v>
      </c>
      <c r="T21" s="773" t="s">
        <v>17</v>
      </c>
      <c r="U21" s="774">
        <f>H21</f>
        <v>100</v>
      </c>
      <c r="V21" s="773" t="s">
        <v>17</v>
      </c>
      <c r="W21" s="774">
        <f>J21</f>
        <v>100</v>
      </c>
      <c r="X21" s="1812"/>
      <c r="Y21" s="3294"/>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7"/>
      <c r="G22" s="2611"/>
      <c r="H22" s="447"/>
      <c r="I22" s="446"/>
      <c r="J22" s="447"/>
      <c r="K22" s="2612"/>
      <c r="L22" s="1139"/>
      <c r="M22" s="1130"/>
      <c r="N22" s="1130"/>
      <c r="O22" s="1130"/>
      <c r="P22" s="3292"/>
      <c r="Q22" s="1809"/>
      <c r="R22" s="773"/>
      <c r="S22" s="774"/>
      <c r="T22" s="773"/>
      <c r="U22" s="774"/>
      <c r="V22" s="773"/>
      <c r="W22" s="774"/>
      <c r="X22" s="1812"/>
      <c r="Y22" s="3294"/>
      <c r="Z22" s="1813"/>
      <c r="AA22" s="1810">
        <v>1</v>
      </c>
      <c r="AB22" s="1810">
        <v>1</v>
      </c>
      <c r="AC22" s="1810">
        <v>1</v>
      </c>
    </row>
    <row r="23" spans="1:29" ht="15">
      <c r="A23" s="427"/>
      <c r="B23" s="450" t="s">
        <v>2099</v>
      </c>
      <c r="C23" s="2607"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92"/>
      <c r="Q23" s="1809" t="str">
        <f>B23</f>
        <v>自然及人文环境</v>
      </c>
      <c r="R23" s="773" t="s">
        <v>21</v>
      </c>
      <c r="S23" s="774">
        <f>F23</f>
        <v>100</v>
      </c>
      <c r="T23" s="773" t="s">
        <v>21</v>
      </c>
      <c r="U23" s="774">
        <f>H23</f>
        <v>100</v>
      </c>
      <c r="V23" s="773" t="s">
        <v>21</v>
      </c>
      <c r="W23" s="774">
        <f>J23</f>
        <v>100</v>
      </c>
      <c r="X23" s="1812"/>
      <c r="Y23" s="3294"/>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39"/>
      <c r="M24" s="1130"/>
      <c r="N24" s="1130"/>
      <c r="O24" s="1130"/>
      <c r="P24" s="3292"/>
      <c r="Q24" s="1809"/>
      <c r="R24" s="773"/>
      <c r="S24" s="774"/>
      <c r="T24" s="773"/>
      <c r="U24" s="774"/>
      <c r="V24" s="773"/>
      <c r="W24" s="774"/>
      <c r="X24" s="1812"/>
      <c r="Y24" s="3294"/>
      <c r="Z24" s="1813"/>
      <c r="AA24" s="1810">
        <v>1</v>
      </c>
      <c r="AB24" s="1810">
        <v>1</v>
      </c>
      <c r="AC24" s="1810">
        <v>1</v>
      </c>
    </row>
    <row r="25" spans="1:29" ht="15">
      <c r="A25" s="427"/>
      <c r="B25" s="421" t="s">
        <v>2558</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9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94"/>
      <c r="Z25" s="1813" t="str">
        <f>Q25</f>
        <v>楼层-1</v>
      </c>
      <c r="AA25" s="1810">
        <f t="shared" ref="AA25:AA46" si="15">D25/F25</f>
        <v>1</v>
      </c>
      <c r="AB25" s="1810">
        <f t="shared" ref="AB25:AB46" si="16">D25/H25</f>
        <v>1</v>
      </c>
      <c r="AC25" s="1810">
        <f t="shared" ref="AC25:AC46" si="17">D25/J25</f>
        <v>1</v>
      </c>
    </row>
    <row r="26" spans="1:29" ht="15">
      <c r="A26" s="427"/>
      <c r="B26" s="421" t="s">
        <v>2559</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92"/>
      <c r="Q26" s="1809" t="str">
        <f t="shared" si="11"/>
        <v>朝向</v>
      </c>
      <c r="R26" s="773" t="s">
        <v>21</v>
      </c>
      <c r="S26" s="774">
        <f t="shared" si="12"/>
        <v>100</v>
      </c>
      <c r="T26" s="773" t="s">
        <v>21</v>
      </c>
      <c r="U26" s="774">
        <f t="shared" si="13"/>
        <v>100</v>
      </c>
      <c r="V26" s="773" t="s">
        <v>21</v>
      </c>
      <c r="W26" s="774">
        <f t="shared" si="14"/>
        <v>100</v>
      </c>
      <c r="X26" s="1812"/>
      <c r="Y26" s="3294"/>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92"/>
      <c r="Q27" s="1794">
        <f t="shared" si="11"/>
        <v>111</v>
      </c>
      <c r="R27" s="769" t="s">
        <v>21</v>
      </c>
      <c r="S27" s="770">
        <f t="shared" si="12"/>
        <v>100</v>
      </c>
      <c r="T27" s="769" t="s">
        <v>21</v>
      </c>
      <c r="U27" s="770">
        <f t="shared" si="13"/>
        <v>100</v>
      </c>
      <c r="V27" s="769" t="s">
        <v>21</v>
      </c>
      <c r="W27" s="770">
        <f t="shared" si="14"/>
        <v>100</v>
      </c>
      <c r="X27" s="771"/>
      <c r="Y27" s="3294"/>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92"/>
      <c r="Q28" s="1809">
        <f t="shared" si="11"/>
        <v>111</v>
      </c>
      <c r="R28" s="773" t="s">
        <v>21</v>
      </c>
      <c r="S28" s="774">
        <f t="shared" si="12"/>
        <v>100</v>
      </c>
      <c r="T28" s="773" t="s">
        <v>21</v>
      </c>
      <c r="U28" s="774">
        <f t="shared" si="13"/>
        <v>100</v>
      </c>
      <c r="V28" s="773" t="s">
        <v>21</v>
      </c>
      <c r="W28" s="774">
        <f t="shared" si="14"/>
        <v>100</v>
      </c>
      <c r="X28" s="1812"/>
      <c r="Y28" s="3294"/>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92"/>
      <c r="Q29" s="1809">
        <f t="shared" si="11"/>
        <v>111</v>
      </c>
      <c r="R29" s="773" t="s">
        <v>21</v>
      </c>
      <c r="S29" s="774">
        <f t="shared" si="12"/>
        <v>100</v>
      </c>
      <c r="T29" s="773" t="s">
        <v>21</v>
      </c>
      <c r="U29" s="774">
        <f t="shared" si="13"/>
        <v>100</v>
      </c>
      <c r="V29" s="773" t="s">
        <v>21</v>
      </c>
      <c r="W29" s="774">
        <f t="shared" si="14"/>
        <v>100</v>
      </c>
      <c r="X29" s="1812"/>
      <c r="Y29" s="3294"/>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92"/>
      <c r="Q30" s="1809">
        <f t="shared" si="11"/>
        <v>111</v>
      </c>
      <c r="R30" s="773" t="s">
        <v>21</v>
      </c>
      <c r="S30" s="774">
        <f t="shared" si="12"/>
        <v>100</v>
      </c>
      <c r="T30" s="773" t="s">
        <v>21</v>
      </c>
      <c r="U30" s="774">
        <f t="shared" si="13"/>
        <v>100</v>
      </c>
      <c r="V30" s="773" t="s">
        <v>21</v>
      </c>
      <c r="W30" s="774">
        <f t="shared" si="14"/>
        <v>100</v>
      </c>
      <c r="X30" s="1812"/>
      <c r="Y30" s="3294"/>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92"/>
      <c r="Q31" s="1809">
        <f t="shared" si="11"/>
        <v>111</v>
      </c>
      <c r="R31" s="773" t="s">
        <v>21</v>
      </c>
      <c r="S31" s="774">
        <f t="shared" si="12"/>
        <v>100</v>
      </c>
      <c r="T31" s="773" t="s">
        <v>21</v>
      </c>
      <c r="U31" s="774">
        <f t="shared" si="13"/>
        <v>100</v>
      </c>
      <c r="V31" s="773" t="s">
        <v>21</v>
      </c>
      <c r="W31" s="774">
        <f t="shared" si="14"/>
        <v>100</v>
      </c>
      <c r="X31" s="1812"/>
      <c r="Y31" s="3294"/>
      <c r="Z31" s="1813">
        <f t="shared" si="18"/>
        <v>111</v>
      </c>
      <c r="AA31" s="1810">
        <f t="shared" si="15"/>
        <v>1</v>
      </c>
      <c r="AB31" s="1810">
        <f t="shared" si="16"/>
        <v>1</v>
      </c>
      <c r="AC31" s="1810">
        <f t="shared" si="17"/>
        <v>1</v>
      </c>
    </row>
    <row r="32" spans="1:29" ht="15">
      <c r="A32" s="439" t="s">
        <v>2560</v>
      </c>
      <c r="B32" s="71" t="s">
        <v>2561</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39"/>
      <c r="M32" s="1130"/>
      <c r="N32" s="1130"/>
      <c r="O32" s="1130"/>
      <c r="P32" s="3295" t="s">
        <v>2562</v>
      </c>
      <c r="Q32" s="1809" t="str">
        <f t="shared" si="11"/>
        <v>建筑类型</v>
      </c>
      <c r="R32" s="773" t="s">
        <v>21</v>
      </c>
      <c r="S32" s="774">
        <f t="shared" si="12"/>
        <v>100</v>
      </c>
      <c r="T32" s="773" t="s">
        <v>21</v>
      </c>
      <c r="U32" s="774">
        <f t="shared" si="13"/>
        <v>100</v>
      </c>
      <c r="V32" s="773" t="s">
        <v>21</v>
      </c>
      <c r="W32" s="774">
        <f t="shared" si="14"/>
        <v>100</v>
      </c>
      <c r="X32" s="1812"/>
      <c r="Y32" s="3298" t="s">
        <v>2562</v>
      </c>
      <c r="Z32" s="1813" t="str">
        <f t="shared" si="18"/>
        <v>建筑类型</v>
      </c>
      <c r="AA32" s="1810">
        <f t="shared" si="15"/>
        <v>1</v>
      </c>
      <c r="AB32" s="1810">
        <f t="shared" si="16"/>
        <v>1</v>
      </c>
      <c r="AC32" s="1810">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7"/>
      <c r="M33" s="1140"/>
      <c r="N33" s="1140"/>
      <c r="O33" s="1140"/>
      <c r="P33" s="3296"/>
      <c r="Q33" s="775" t="str">
        <f t="shared" si="11"/>
        <v>项目建筑规模</v>
      </c>
      <c r="R33" s="776" t="s">
        <v>21</v>
      </c>
      <c r="S33" s="777" t="e">
        <f t="shared" si="12"/>
        <v>#N/A</v>
      </c>
      <c r="T33" s="776" t="s">
        <v>21</v>
      </c>
      <c r="U33" s="777" t="e">
        <f t="shared" si="13"/>
        <v>#N/A</v>
      </c>
      <c r="V33" s="776" t="s">
        <v>21</v>
      </c>
      <c r="W33" s="777" t="e">
        <f t="shared" si="14"/>
        <v>#N/A</v>
      </c>
      <c r="X33" s="778"/>
      <c r="Y33" s="3298"/>
      <c r="Z33" s="779" t="str">
        <f t="shared" si="18"/>
        <v>项目建筑规模</v>
      </c>
      <c r="AA33" s="1810" t="e">
        <f t="shared" si="15"/>
        <v>#N/A</v>
      </c>
      <c r="AB33" s="1810" t="e">
        <f t="shared" si="16"/>
        <v>#N/A</v>
      </c>
      <c r="AC33" s="1810" t="e">
        <f t="shared" si="17"/>
        <v>#N/A</v>
      </c>
    </row>
    <row r="34" spans="1:29" ht="15">
      <c r="A34" s="471"/>
      <c r="B34" s="421" t="s">
        <v>2564</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96"/>
      <c r="Q34" s="1809" t="str">
        <f t="shared" si="11"/>
        <v>建筑结构</v>
      </c>
      <c r="R34" s="773" t="s">
        <v>21</v>
      </c>
      <c r="S34" s="774">
        <f t="shared" si="12"/>
        <v>100</v>
      </c>
      <c r="T34" s="773" t="s">
        <v>21</v>
      </c>
      <c r="U34" s="774">
        <f t="shared" si="13"/>
        <v>100</v>
      </c>
      <c r="V34" s="773" t="s">
        <v>21</v>
      </c>
      <c r="W34" s="774">
        <f t="shared" si="14"/>
        <v>100</v>
      </c>
      <c r="X34" s="1812"/>
      <c r="Y34" s="3298"/>
      <c r="Z34" s="1813" t="str">
        <f t="shared" si="18"/>
        <v>建筑结构</v>
      </c>
      <c r="AA34" s="1810">
        <f t="shared" si="15"/>
        <v>1</v>
      </c>
      <c r="AB34" s="1810">
        <f t="shared" si="16"/>
        <v>1</v>
      </c>
      <c r="AC34" s="1810">
        <f t="shared" si="17"/>
        <v>1</v>
      </c>
    </row>
    <row r="35" spans="1:29" ht="15">
      <c r="A35" s="471"/>
      <c r="B35" s="421" t="s">
        <v>2565</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39"/>
      <c r="M35" s="1130"/>
      <c r="N35" s="1130"/>
      <c r="O35" s="1130"/>
      <c r="P35" s="3296"/>
      <c r="Q35" s="1809" t="str">
        <f t="shared" si="11"/>
        <v>建筑品质</v>
      </c>
      <c r="R35" s="773" t="s">
        <v>21</v>
      </c>
      <c r="S35" s="774">
        <f t="shared" si="12"/>
        <v>100</v>
      </c>
      <c r="T35" s="773" t="s">
        <v>21</v>
      </c>
      <c r="U35" s="774">
        <f t="shared" si="13"/>
        <v>100</v>
      </c>
      <c r="V35" s="773" t="s">
        <v>21</v>
      </c>
      <c r="W35" s="774">
        <f t="shared" si="14"/>
        <v>100</v>
      </c>
      <c r="X35" s="1812"/>
      <c r="Y35" s="3298"/>
      <c r="Z35" s="1813" t="str">
        <f t="shared" si="18"/>
        <v>建筑品质</v>
      </c>
      <c r="AA35" s="1810">
        <f t="shared" si="15"/>
        <v>1</v>
      </c>
      <c r="AB35" s="1810">
        <f t="shared" si="16"/>
        <v>1</v>
      </c>
      <c r="AC35" s="1810">
        <f t="shared" si="17"/>
        <v>1</v>
      </c>
    </row>
    <row r="36" spans="1:29" ht="15">
      <c r="A36" s="471"/>
      <c r="B36" s="421" t="s">
        <v>2566</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96"/>
      <c r="Q36" s="1809" t="str">
        <f t="shared" si="11"/>
        <v>公共部分装修</v>
      </c>
      <c r="R36" s="773" t="s">
        <v>21</v>
      </c>
      <c r="S36" s="774">
        <f t="shared" si="12"/>
        <v>100</v>
      </c>
      <c r="T36" s="773" t="s">
        <v>21</v>
      </c>
      <c r="U36" s="774">
        <f t="shared" si="13"/>
        <v>100</v>
      </c>
      <c r="V36" s="773" t="s">
        <v>21</v>
      </c>
      <c r="W36" s="774">
        <f t="shared" si="14"/>
        <v>100</v>
      </c>
      <c r="X36" s="1812"/>
      <c r="Y36" s="3298"/>
      <c r="Z36" s="1813" t="str">
        <f t="shared" si="18"/>
        <v>公共部分装修</v>
      </c>
      <c r="AA36" s="1810">
        <f t="shared" si="15"/>
        <v>1</v>
      </c>
      <c r="AB36" s="1810">
        <f t="shared" si="16"/>
        <v>1</v>
      </c>
      <c r="AC36" s="1810">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96"/>
      <c r="Q37" s="1794" t="str">
        <f t="shared" si="11"/>
        <v>成新度</v>
      </c>
      <c r="R37" s="769" t="s">
        <v>21</v>
      </c>
      <c r="S37" s="770" t="e">
        <f t="shared" si="12"/>
        <v>#N/A</v>
      </c>
      <c r="T37" s="769" t="s">
        <v>21</v>
      </c>
      <c r="U37" s="770" t="e">
        <f t="shared" si="13"/>
        <v>#N/A</v>
      </c>
      <c r="V37" s="769" t="s">
        <v>21</v>
      </c>
      <c r="W37" s="770" t="e">
        <f t="shared" si="14"/>
        <v>#N/A</v>
      </c>
      <c r="X37" s="771"/>
      <c r="Y37" s="3298"/>
      <c r="Z37" s="55" t="str">
        <f t="shared" si="18"/>
        <v>成新度</v>
      </c>
      <c r="AA37" s="772" t="e">
        <f t="shared" si="15"/>
        <v>#N/A</v>
      </c>
      <c r="AB37" s="772" t="e">
        <f t="shared" si="16"/>
        <v>#N/A</v>
      </c>
      <c r="AC37" s="772" t="e">
        <f t="shared" si="17"/>
        <v>#N/A</v>
      </c>
    </row>
    <row r="38" spans="1:29" ht="15">
      <c r="A38" s="471"/>
      <c r="B38" s="421" t="s">
        <v>2568</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96" t="s">
        <v>2562</v>
      </c>
      <c r="Q38" s="1809" t="str">
        <f t="shared" si="11"/>
        <v>物业管理</v>
      </c>
      <c r="R38" s="773" t="s">
        <v>21</v>
      </c>
      <c r="S38" s="774">
        <f t="shared" si="12"/>
        <v>100</v>
      </c>
      <c r="T38" s="773" t="s">
        <v>21</v>
      </c>
      <c r="U38" s="774">
        <f t="shared" si="13"/>
        <v>100</v>
      </c>
      <c r="V38" s="773" t="s">
        <v>21</v>
      </c>
      <c r="W38" s="774">
        <f t="shared" si="14"/>
        <v>100</v>
      </c>
      <c r="X38" s="1812"/>
      <c r="Y38" s="3298" t="s">
        <v>2562</v>
      </c>
      <c r="Z38" s="1813" t="str">
        <f t="shared" si="18"/>
        <v>物业管理</v>
      </c>
      <c r="AA38" s="1810">
        <f t="shared" si="15"/>
        <v>1</v>
      </c>
      <c r="AB38" s="1810">
        <f t="shared" si="16"/>
        <v>1</v>
      </c>
      <c r="AC38" s="1810">
        <f t="shared" si="17"/>
        <v>1</v>
      </c>
    </row>
    <row r="39" spans="1:29" ht="15">
      <c r="A39" s="471"/>
      <c r="B39" s="421" t="s">
        <v>2569</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96"/>
      <c r="Q39" s="1809" t="str">
        <f t="shared" si="11"/>
        <v>市政基础设施</v>
      </c>
      <c r="R39" s="773" t="s">
        <v>21</v>
      </c>
      <c r="S39" s="774">
        <f t="shared" si="12"/>
        <v>100</v>
      </c>
      <c r="T39" s="773" t="s">
        <v>21</v>
      </c>
      <c r="U39" s="774">
        <f t="shared" si="13"/>
        <v>100</v>
      </c>
      <c r="V39" s="773" t="s">
        <v>21</v>
      </c>
      <c r="W39" s="774">
        <f t="shared" si="14"/>
        <v>100</v>
      </c>
      <c r="X39" s="1812"/>
      <c r="Y39" s="3298"/>
      <c r="Z39" s="1813" t="str">
        <f t="shared" si="18"/>
        <v>市政基础设施</v>
      </c>
      <c r="AA39" s="1810">
        <f t="shared" si="15"/>
        <v>1</v>
      </c>
      <c r="AB39" s="1810">
        <f t="shared" si="16"/>
        <v>1</v>
      </c>
      <c r="AC39" s="1810">
        <f t="shared" si="17"/>
        <v>1</v>
      </c>
    </row>
    <row r="40" spans="1:29" ht="15">
      <c r="A40" s="471"/>
      <c r="B40" s="421" t="s">
        <v>2570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96"/>
      <c r="Q40" s="1809" t="str">
        <f t="shared" si="11"/>
        <v>房型</v>
      </c>
      <c r="R40" s="773" t="s">
        <v>21</v>
      </c>
      <c r="S40" s="774">
        <f t="shared" si="12"/>
        <v>100</v>
      </c>
      <c r="T40" s="773" t="s">
        <v>21</v>
      </c>
      <c r="U40" s="774">
        <f t="shared" si="13"/>
        <v>100</v>
      </c>
      <c r="V40" s="773" t="s">
        <v>21</v>
      </c>
      <c r="W40" s="774">
        <f t="shared" si="14"/>
        <v>100</v>
      </c>
      <c r="X40" s="1812"/>
      <c r="Y40" s="3298"/>
      <c r="Z40" s="1813" t="str">
        <f t="shared" si="18"/>
        <v>房型</v>
      </c>
      <c r="AA40" s="1810">
        <f t="shared" si="15"/>
        <v>1</v>
      </c>
      <c r="AB40" s="1810">
        <f t="shared" si="16"/>
        <v>1</v>
      </c>
      <c r="AC40" s="1810">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96"/>
      <c r="Q41" s="775" t="str">
        <f t="shared" si="11"/>
        <v>单套/主力户型建筑面积</v>
      </c>
      <c r="R41" s="776" t="s">
        <v>21</v>
      </c>
      <c r="S41" s="777">
        <f t="shared" si="12"/>
        <v>100</v>
      </c>
      <c r="T41" s="776" t="s">
        <v>21</v>
      </c>
      <c r="U41" s="777">
        <f t="shared" si="13"/>
        <v>100</v>
      </c>
      <c r="V41" s="776" t="s">
        <v>21</v>
      </c>
      <c r="W41" s="777">
        <f t="shared" si="14"/>
        <v>100</v>
      </c>
      <c r="X41" s="778"/>
      <c r="Y41" s="3298"/>
      <c r="Z41" s="779" t="str">
        <f t="shared" si="18"/>
        <v>单套/主力户型建筑面积</v>
      </c>
      <c r="AA41" s="1810">
        <f t="shared" si="15"/>
        <v>1</v>
      </c>
      <c r="AB41" s="1810">
        <f t="shared" si="16"/>
        <v>1</v>
      </c>
      <c r="AC41" s="1810">
        <f t="shared" si="17"/>
        <v>1</v>
      </c>
    </row>
    <row r="42" spans="1:29" ht="15">
      <c r="A42" s="471"/>
      <c r="B42" s="421" t="s">
        <v>2572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39"/>
      <c r="M42" s="1130"/>
      <c r="N42" s="1130"/>
      <c r="O42" s="1130"/>
      <c r="P42" s="3296"/>
      <c r="Q42" s="1809" t="str">
        <f t="shared" si="11"/>
        <v>内部装修</v>
      </c>
      <c r="R42" s="773" t="s">
        <v>21</v>
      </c>
      <c r="S42" s="774">
        <f t="shared" si="12"/>
        <v>100</v>
      </c>
      <c r="T42" s="773" t="s">
        <v>21</v>
      </c>
      <c r="U42" s="774">
        <f t="shared" si="13"/>
        <v>100</v>
      </c>
      <c r="V42" s="773" t="s">
        <v>21</v>
      </c>
      <c r="W42" s="774">
        <f t="shared" si="14"/>
        <v>100</v>
      </c>
      <c r="X42" s="1812"/>
      <c r="Y42" s="3298"/>
      <c r="Z42" s="1813" t="str">
        <f t="shared" si="18"/>
        <v>内部装修</v>
      </c>
      <c r="AA42" s="1810">
        <f t="shared" si="15"/>
        <v>1</v>
      </c>
      <c r="AB42" s="1810">
        <f t="shared" si="16"/>
        <v>1</v>
      </c>
      <c r="AC42" s="1810">
        <f t="shared" si="17"/>
        <v>1</v>
      </c>
    </row>
    <row r="43" spans="1:29" ht="15">
      <c r="A43" s="471"/>
      <c r="B43" s="421" t="s">
        <v>2573</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96"/>
      <c r="Q43" s="1809" t="str">
        <f t="shared" si="11"/>
        <v>内部装修维护情况</v>
      </c>
      <c r="R43" s="773" t="s">
        <v>21</v>
      </c>
      <c r="S43" s="774">
        <f t="shared" si="12"/>
        <v>100</v>
      </c>
      <c r="T43" s="773" t="s">
        <v>21</v>
      </c>
      <c r="U43" s="774">
        <f t="shared" si="13"/>
        <v>100</v>
      </c>
      <c r="V43" s="773" t="s">
        <v>21</v>
      </c>
      <c r="W43" s="774">
        <f t="shared" si="14"/>
        <v>100</v>
      </c>
      <c r="X43" s="1812"/>
      <c r="Y43" s="3298"/>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96"/>
      <c r="Q44" s="1794">
        <f t="shared" si="11"/>
        <v>111</v>
      </c>
      <c r="R44" s="769" t="s">
        <v>21</v>
      </c>
      <c r="S44" s="770">
        <f t="shared" si="12"/>
        <v>100</v>
      </c>
      <c r="T44" s="769" t="s">
        <v>21</v>
      </c>
      <c r="U44" s="770">
        <f t="shared" si="13"/>
        <v>100</v>
      </c>
      <c r="V44" s="769" t="s">
        <v>21</v>
      </c>
      <c r="W44" s="770">
        <f t="shared" si="14"/>
        <v>100</v>
      </c>
      <c r="X44" s="771"/>
      <c r="Y44" s="329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96"/>
      <c r="Q45" s="1809">
        <f t="shared" si="11"/>
        <v>111</v>
      </c>
      <c r="R45" s="773" t="s">
        <v>21</v>
      </c>
      <c r="S45" s="774">
        <f t="shared" si="12"/>
        <v>100</v>
      </c>
      <c r="T45" s="773" t="s">
        <v>21</v>
      </c>
      <c r="U45" s="774">
        <f t="shared" si="13"/>
        <v>100</v>
      </c>
      <c r="V45" s="773" t="s">
        <v>21</v>
      </c>
      <c r="W45" s="774">
        <f t="shared" si="14"/>
        <v>100</v>
      </c>
      <c r="X45" s="1812"/>
      <c r="Y45" s="3298"/>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97"/>
      <c r="Q46" s="1809">
        <f t="shared" si="11"/>
        <v>111</v>
      </c>
      <c r="R46" s="773" t="s">
        <v>20</v>
      </c>
      <c r="S46" s="774">
        <f t="shared" si="12"/>
        <v>100</v>
      </c>
      <c r="T46" s="773" t="s">
        <v>20</v>
      </c>
      <c r="U46" s="774">
        <f t="shared" si="13"/>
        <v>100</v>
      </c>
      <c r="V46" s="773" t="s">
        <v>20</v>
      </c>
      <c r="W46" s="774">
        <f t="shared" si="14"/>
        <v>100</v>
      </c>
      <c r="X46" s="1812"/>
      <c r="Y46" s="3299"/>
      <c r="Z46" s="1813">
        <f t="shared" si="18"/>
        <v>111</v>
      </c>
      <c r="AA46" s="1810">
        <f t="shared" si="15"/>
        <v>1</v>
      </c>
      <c r="AB46" s="1810">
        <f t="shared" si="16"/>
        <v>1</v>
      </c>
      <c r="AC46" s="1810">
        <f t="shared" si="17"/>
        <v>1</v>
      </c>
    </row>
    <row r="47" spans="1:29" ht="15">
      <c r="A47" s="478" t="s">
        <v>2574</v>
      </c>
      <c r="B47" s="479"/>
      <c r="C47" s="1406" t="s">
        <v>19</v>
      </c>
      <c r="D47" s="1407"/>
      <c r="E47" s="1408"/>
      <c r="F47" s="1409"/>
      <c r="G47" s="1410"/>
      <c r="H47" s="1411"/>
      <c r="I47" s="1408"/>
      <c r="J47" s="1411"/>
      <c r="K47" s="2621"/>
      <c r="L47" s="1142"/>
      <c r="M47" s="1143"/>
      <c r="N47" s="1130"/>
      <c r="O47" s="1143"/>
      <c r="P47" s="3300" t="str">
        <f>A47</f>
        <v>成交单价（元/平方米）</v>
      </c>
      <c r="Q47" s="3300"/>
      <c r="R47" s="3301">
        <f>E47</f>
        <v>0</v>
      </c>
      <c r="S47" s="3301"/>
      <c r="T47" s="3301">
        <f>G47</f>
        <v>0</v>
      </c>
      <c r="U47" s="3301"/>
      <c r="V47" s="3301">
        <f>I47</f>
        <v>0</v>
      </c>
      <c r="W47" s="3301"/>
      <c r="X47" s="758"/>
      <c r="Y47" s="780"/>
      <c r="Z47" s="758"/>
      <c r="AA47" s="758"/>
      <c r="AB47" s="758"/>
      <c r="AC47" s="758"/>
    </row>
    <row r="48" spans="1:29" ht="15.75" thickBot="1">
      <c r="A48" s="485" t="s">
        <v>2575</v>
      </c>
      <c r="B48" s="486"/>
      <c r="C48" s="1412" t="e">
        <f>R49</f>
        <v>#DIV/0!</v>
      </c>
      <c r="D48" s="1413"/>
      <c r="E48" s="1414" t="e">
        <f>R48</f>
        <v>#DIV/0!</v>
      </c>
      <c r="F48" s="1414"/>
      <c r="G48" s="1412" t="e">
        <f>T48</f>
        <v>#DIV/0!</v>
      </c>
      <c r="H48" s="1413"/>
      <c r="I48" s="1414" t="e">
        <f>V48</f>
        <v>#DIV/0!</v>
      </c>
      <c r="J48" s="1413"/>
      <c r="K48" s="2622"/>
      <c r="L48" s="1142"/>
      <c r="M48" s="1143"/>
      <c r="N48" s="1143"/>
      <c r="O48" s="1143"/>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8"/>
      <c r="Y48" s="758"/>
      <c r="Z48" s="758"/>
      <c r="AA48" s="758"/>
      <c r="AB48" s="758"/>
      <c r="AC48" s="758"/>
    </row>
    <row r="49" spans="1:29" ht="15.75" thickBot="1">
      <c r="A49" s="491" t="s">
        <v>2576</v>
      </c>
      <c r="B49" s="492"/>
      <c r="C49" s="1415" t="e">
        <f>R49</f>
        <v>#DIV/0!</v>
      </c>
      <c r="D49" s="1416"/>
      <c r="E49" s="1416"/>
      <c r="F49" s="1416"/>
      <c r="G49" s="1416"/>
      <c r="H49" s="1416"/>
      <c r="I49" s="1416"/>
      <c r="J49" s="1416"/>
      <c r="K49" s="2623"/>
      <c r="L49" s="1142"/>
      <c r="M49" s="1143"/>
      <c r="N49" s="1143"/>
      <c r="O49" s="1143"/>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6"/>
      <c r="Q57" s="503"/>
    </row>
    <row r="58" spans="1:29" s="507" customFormat="1" ht="15">
      <c r="A58" s="504" t="s">
        <v>2581</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2582</v>
      </c>
      <c r="B60" s="515"/>
      <c r="C60" s="516"/>
      <c r="D60" s="517"/>
      <c r="E60" s="517"/>
      <c r="F60" s="517"/>
      <c r="G60" s="517"/>
      <c r="H60" s="517"/>
      <c r="I60" s="517"/>
      <c r="J60" s="517"/>
      <c r="K60" s="517"/>
      <c r="L60" s="517"/>
      <c r="M60" s="518"/>
      <c r="N60" s="517"/>
      <c r="O60" s="518"/>
      <c r="P60" s="2628"/>
      <c r="Q60" s="503"/>
    </row>
    <row r="61" spans="1:29" s="116" customFormat="1" ht="15">
      <c r="A61" s="520" t="s">
        <v>2583</v>
      </c>
      <c r="B61" s="509"/>
      <c r="C61" s="521" t="s">
        <v>2584</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2585</v>
      </c>
      <c r="B63" s="527" t="s">
        <v>2551</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0"/>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2095</v>
      </c>
      <c r="C82" s="538" t="s">
        <v>2601</v>
      </c>
      <c r="D82" s="538" t="s">
        <v>2602</v>
      </c>
      <c r="E82" s="538" t="s">
        <v>2603</v>
      </c>
      <c r="F82" s="538" t="s">
        <v>2604</v>
      </c>
      <c r="G82" s="538" t="s">
        <v>2605</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2607</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6" customFormat="1" ht="15.75" thickTop="1">
      <c r="A88" s="578"/>
      <c r="B88" s="537" t="s">
        <v>2608</v>
      </c>
      <c r="C88" s="553"/>
      <c r="D88" s="553"/>
      <c r="E88" s="553"/>
      <c r="F88" s="2635"/>
      <c r="G88" s="553"/>
      <c r="H88" s="553"/>
      <c r="I88" s="553"/>
      <c r="J88" s="553"/>
      <c r="K88" s="553"/>
      <c r="L88" s="553"/>
      <c r="M88" s="580"/>
      <c r="N88" s="1150"/>
      <c r="O88" s="1150"/>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2560</v>
      </c>
      <c r="B100" s="527" t="s">
        <v>2609</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1"/>
      <c r="Q104" s="558"/>
    </row>
    <row r="105" spans="1:17" ht="15" thickTop="1">
      <c r="A105" s="598"/>
      <c r="B105" s="537" t="s">
        <v>2611</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2612</v>
      </c>
      <c r="C107" s="582"/>
      <c r="D107" s="582"/>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2613</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2614</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2615</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2616</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2571</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2617</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5" t="s">
        <v>2622</v>
      </c>
      <c r="D138" s="145" t="s">
        <v>2623</v>
      </c>
      <c r="E138" s="2645" t="s">
        <v>2624</v>
      </c>
      <c r="F138" s="2646" t="s">
        <v>2625</v>
      </c>
      <c r="G138" s="145" t="s">
        <v>2623</v>
      </c>
      <c r="H138" s="146" t="s">
        <v>2624</v>
      </c>
      <c r="I138" s="2647"/>
      <c r="J138" s="145" t="s">
        <v>2626</v>
      </c>
      <c r="K138" s="146" t="s">
        <v>2627</v>
      </c>
    </row>
    <row r="139" spans="1:17" ht="15">
      <c r="B139" s="1083">
        <v>6</v>
      </c>
      <c r="C139" s="1084">
        <v>96</v>
      </c>
      <c r="D139" s="2648" t="s">
        <v>2628</v>
      </c>
      <c r="E139" s="1085">
        <v>100</v>
      </c>
      <c r="F139" s="1086">
        <v>102.5</v>
      </c>
      <c r="G139" s="2648" t="s">
        <v>2628</v>
      </c>
      <c r="H139" s="1087">
        <v>105</v>
      </c>
      <c r="I139" s="2649" t="s">
        <v>2629</v>
      </c>
      <c r="J139" s="1084">
        <v>20</v>
      </c>
      <c r="K139" s="1088">
        <f>C145/(J139-2)</f>
        <v>4.0555555555555553E-3</v>
      </c>
    </row>
    <row r="140" spans="1:17" ht="15">
      <c r="B140" s="1089">
        <v>5</v>
      </c>
      <c r="C140" s="1090">
        <v>100</v>
      </c>
      <c r="D140" s="1090"/>
      <c r="E140" s="1091"/>
      <c r="F140" s="1092">
        <v>102</v>
      </c>
      <c r="G140" s="1090"/>
      <c r="H140" s="1093"/>
      <c r="I140" s="2650" t="s">
        <v>2630</v>
      </c>
      <c r="J140" s="314">
        <f>ROUNDUP((J139-1)/2,0)</f>
        <v>10</v>
      </c>
      <c r="K140" s="1094">
        <v>100</v>
      </c>
    </row>
    <row r="141" spans="1:17" ht="15">
      <c r="B141" s="1089">
        <v>4</v>
      </c>
      <c r="C141" s="1090">
        <v>102</v>
      </c>
      <c r="D141" s="1090"/>
      <c r="E141" s="1091"/>
      <c r="F141" s="1092">
        <v>101.5</v>
      </c>
      <c r="G141" s="1090"/>
      <c r="H141" s="1093"/>
      <c r="I141" s="2650" t="s">
        <v>2631</v>
      </c>
      <c r="J141" s="314">
        <v>1</v>
      </c>
      <c r="K141" s="1095">
        <f>ROUND(100+(J141-J140)*K139*100,1)</f>
        <v>96.4</v>
      </c>
    </row>
    <row r="142" spans="1:17" ht="15">
      <c r="B142" s="1089">
        <v>3</v>
      </c>
      <c r="C142" s="1090">
        <v>103</v>
      </c>
      <c r="D142" s="1090"/>
      <c r="E142" s="1091"/>
      <c r="F142" s="1092">
        <v>101</v>
      </c>
      <c r="G142" s="1090"/>
      <c r="H142" s="1093"/>
      <c r="I142" s="2650" t="s">
        <v>2632</v>
      </c>
      <c r="J142" s="314">
        <f>J139</f>
        <v>20</v>
      </c>
      <c r="K142" s="1096">
        <v>95</v>
      </c>
    </row>
    <row r="143" spans="1:17" ht="15">
      <c r="B143" s="1089">
        <v>2</v>
      </c>
      <c r="C143" s="1090">
        <v>100</v>
      </c>
      <c r="D143" s="1090"/>
      <c r="E143" s="1091"/>
      <c r="F143" s="1092">
        <v>100.5</v>
      </c>
      <c r="G143" s="1090"/>
      <c r="H143" s="1093"/>
      <c r="I143" s="2650" t="s">
        <v>2633</v>
      </c>
      <c r="J143" s="1090">
        <v>15</v>
      </c>
      <c r="K143" s="1095">
        <f>ROUND(100+(J143-J140)*K139*100,1)</f>
        <v>102</v>
      </c>
    </row>
    <row r="144" spans="1:17" ht="15">
      <c r="B144" s="1089">
        <v>1</v>
      </c>
      <c r="C144" s="1090">
        <v>98</v>
      </c>
      <c r="D144" s="2651" t="s">
        <v>2634</v>
      </c>
      <c r="E144" s="1091">
        <v>102</v>
      </c>
      <c r="F144" s="1097">
        <v>100</v>
      </c>
      <c r="G144" s="2651" t="s">
        <v>2634</v>
      </c>
      <c r="H144" s="1093">
        <v>105</v>
      </c>
      <c r="I144" s="2650" t="s">
        <v>2633</v>
      </c>
      <c r="J144" s="1090">
        <v>18</v>
      </c>
      <c r="K144" s="1095">
        <f>ROUND(100+(J144-J140)*K139*100,1)</f>
        <v>103.2</v>
      </c>
    </row>
    <row r="145" spans="2:11" ht="15.75" thickBot="1">
      <c r="B145" s="2652" t="s">
        <v>2635</v>
      </c>
      <c r="C145" s="1098">
        <f>ROUND(MAX(C139:C144)/MIN(C139:C144)-1,3)</f>
        <v>7.2999999999999995E-2</v>
      </c>
      <c r="D145" s="1099"/>
      <c r="E145" s="1099"/>
      <c r="F145" s="2653" t="s">
        <v>2636</v>
      </c>
      <c r="G145" s="2654"/>
      <c r="H145" s="2655"/>
      <c r="I145" s="2656" t="s">
        <v>2633</v>
      </c>
      <c r="J145" s="1100">
        <v>8</v>
      </c>
      <c r="K145" s="1101">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北京道乐科技发展有限公司：</v>
      </c>
    </row>
    <row r="4" spans="1:1" ht="36">
      <c r="A4" s="1947" t="str">
        <f>"受贵公司委托，我公司对"&amp;项目基本情况!S1&amp;"进行了预评估。"</f>
        <v>受贵公司委托，我公司对北京市朝阳区北苑路28号院1号楼房地产抵押价值进行了预评估。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估价对象为北京市朝阳区北苑路28号院1号楼房地产，为北京道乐科技发展有限公司所有。根据《国有土地使用证》[]，估价对象（分摊）出让国有建设用地使用权面积为10186.06平方米，建筑面积为34740.85平方米。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2019年6月18日（评估专业人员实地查勘之日）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9" t="s">
        <v>2683</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IF(C2="——",ROUND(C50*D3/10000,0),ROUND(C50*D3/10000,0)-D2)</f>
        <v>#DIV/0!</v>
      </c>
      <c r="C2" s="2586"/>
      <c r="D2" s="1364" t="e">
        <f ca="1">SUMIF(INDIRECT("'"&amp;F2&amp;"'"&amp;"!A:A"),"承租人权益价值",INDIRECT("'"&amp;F2&amp;"'"&amp;"!c:c"))</f>
        <v>#REF!</v>
      </c>
      <c r="E2" s="2587" t="s">
        <v>2325</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34740.85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2642</v>
      </c>
      <c r="B4" s="401"/>
      <c r="C4" s="3278" t="s">
        <v>2643</v>
      </c>
      <c r="D4" s="3279"/>
      <c r="E4" s="3280" t="s">
        <v>2644</v>
      </c>
      <c r="F4" s="3281"/>
      <c r="G4" s="3278" t="s">
        <v>2645</v>
      </c>
      <c r="H4" s="3279"/>
      <c r="I4" s="3278" t="s">
        <v>2646</v>
      </c>
      <c r="J4" s="3279"/>
      <c r="K4" s="609" t="s">
        <v>2647</v>
      </c>
      <c r="L4" s="1129"/>
      <c r="M4" s="1130"/>
      <c r="N4" s="1130"/>
      <c r="O4" s="1130"/>
      <c r="P4" s="3338" t="s">
        <v>2648</v>
      </c>
      <c r="Q4" s="3339"/>
      <c r="R4" s="3333" t="s">
        <v>2644</v>
      </c>
      <c r="S4" s="3334"/>
      <c r="T4" s="3333" t="s">
        <v>2645</v>
      </c>
      <c r="U4" s="3334"/>
      <c r="V4" s="3342" t="s">
        <v>2646</v>
      </c>
      <c r="W4" s="3342"/>
      <c r="X4" s="2670"/>
      <c r="Y4" s="3333" t="s">
        <v>2648</v>
      </c>
      <c r="Z4" s="3334"/>
      <c r="AA4" s="3332" t="s">
        <v>2644</v>
      </c>
      <c r="AB4" s="3332" t="s">
        <v>2645</v>
      </c>
      <c r="AC4" s="3335" t="s">
        <v>2646</v>
      </c>
    </row>
    <row r="5" spans="1:29" ht="15">
      <c r="A5" s="403"/>
      <c r="B5" s="404"/>
      <c r="C5" s="3270" t="s">
        <v>2539</v>
      </c>
      <c r="D5" s="3271"/>
      <c r="E5" s="3331" t="s">
        <v>2540</v>
      </c>
      <c r="F5" s="3269"/>
      <c r="G5" s="3270" t="s">
        <v>2541</v>
      </c>
      <c r="H5" s="3271"/>
      <c r="I5" s="3270" t="s">
        <v>2542</v>
      </c>
      <c r="J5" s="3271"/>
      <c r="K5" s="609"/>
      <c r="L5" s="1129"/>
      <c r="M5" s="1130"/>
      <c r="N5" s="1130"/>
      <c r="O5" s="1130"/>
      <c r="P5" s="3340"/>
      <c r="Q5" s="3285"/>
      <c r="R5" s="3266"/>
      <c r="S5" s="3267"/>
      <c r="T5" s="3266"/>
      <c r="U5" s="3267"/>
      <c r="V5" s="3261"/>
      <c r="W5" s="3261"/>
      <c r="X5" s="1812"/>
      <c r="Y5" s="3266"/>
      <c r="Z5" s="3267"/>
      <c r="AA5" s="3259"/>
      <c r="AB5" s="3259"/>
      <c r="AC5" s="3336"/>
    </row>
    <row r="6" spans="1:29" ht="15.75" thickBot="1">
      <c r="A6" s="405"/>
      <c r="B6" s="406"/>
      <c r="C6" s="3272" t="s">
        <v>2543</v>
      </c>
      <c r="D6" s="3273"/>
      <c r="E6" s="3275" t="s">
        <v>2543</v>
      </c>
      <c r="F6" s="3276"/>
      <c r="G6" s="3272" t="s">
        <v>2543</v>
      </c>
      <c r="H6" s="3273"/>
      <c r="I6" s="3272" t="s">
        <v>2543</v>
      </c>
      <c r="J6" s="3273"/>
      <c r="K6" s="609" t="s">
        <v>2544</v>
      </c>
      <c r="L6" s="1129"/>
      <c r="M6" s="1130"/>
      <c r="N6" s="1130"/>
      <c r="O6" s="1130"/>
      <c r="P6" s="3341"/>
      <c r="Q6" s="3287"/>
      <c r="R6" s="3266"/>
      <c r="S6" s="3267"/>
      <c r="T6" s="3288"/>
      <c r="U6" s="3289"/>
      <c r="V6" s="3261"/>
      <c r="W6" s="3261"/>
      <c r="X6" s="1812"/>
      <c r="Y6" s="3288"/>
      <c r="Z6" s="3289"/>
      <c r="AA6" s="3260"/>
      <c r="AB6" s="3260"/>
      <c r="AC6" s="3337"/>
    </row>
    <row r="7" spans="1:29" s="116" customFormat="1" ht="15.75" thickBot="1">
      <c r="A7" s="407" t="s">
        <v>2545</v>
      </c>
      <c r="B7" s="408"/>
      <c r="C7" s="409">
        <f>'数据-取费表'!B2</f>
        <v>43634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43" t="s">
        <v>2546</v>
      </c>
      <c r="Q7" s="3290"/>
      <c r="R7" s="769" t="s">
        <v>17</v>
      </c>
      <c r="S7" s="770">
        <f t="shared" ref="S7:S15" si="0">F7</f>
        <v>0</v>
      </c>
      <c r="T7" s="769" t="s">
        <v>17</v>
      </c>
      <c r="U7" s="770">
        <f t="shared" ref="U7:U15" si="1">H7</f>
        <v>0</v>
      </c>
      <c r="V7" s="769" t="s">
        <v>17</v>
      </c>
      <c r="W7" s="770">
        <f t="shared" ref="W7:W15" si="2">J7</f>
        <v>0</v>
      </c>
      <c r="X7" s="771"/>
      <c r="Y7" s="3262" t="s">
        <v>2546</v>
      </c>
      <c r="Z7" s="3263"/>
      <c r="AA7" s="772" t="e">
        <f>D7/F7</f>
        <v>#DIV/0!</v>
      </c>
      <c r="AB7" s="772" t="e">
        <f>D7/H7</f>
        <v>#DIV/0!</v>
      </c>
      <c r="AC7" s="2671"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43" t="s">
        <v>2549</v>
      </c>
      <c r="Q8" s="3263"/>
      <c r="R8" s="769" t="s">
        <v>17</v>
      </c>
      <c r="S8" s="770">
        <f t="shared" si="0"/>
        <v>0</v>
      </c>
      <c r="T8" s="769" t="s">
        <v>17</v>
      </c>
      <c r="U8" s="770">
        <f t="shared" si="1"/>
        <v>0</v>
      </c>
      <c r="V8" s="769" t="s">
        <v>17</v>
      </c>
      <c r="W8" s="770">
        <f t="shared" si="2"/>
        <v>0</v>
      </c>
      <c r="X8" s="771"/>
      <c r="Y8" s="3262" t="s">
        <v>2549</v>
      </c>
      <c r="Z8" s="3263"/>
      <c r="AA8" s="772" t="e">
        <f t="shared" ref="AA8:AA47" si="3">D8/F8</f>
        <v>#DIV/0!</v>
      </c>
      <c r="AB8" s="772" t="e">
        <f t="shared" ref="AB8:AB47" si="4">D8/H8</f>
        <v>#DIV/0!</v>
      </c>
      <c r="AC8" s="2671" t="e">
        <f t="shared" ref="AC8:AC47" si="5">D8/J8</f>
        <v>#DIV/0!</v>
      </c>
    </row>
    <row r="9" spans="1:29" s="116"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77" t="s">
        <v>2552</v>
      </c>
      <c r="Q9" s="1794" t="str">
        <f t="shared" ref="Q9:Q15" si="6">B9</f>
        <v>用途</v>
      </c>
      <c r="R9" s="769" t="s">
        <v>17</v>
      </c>
      <c r="S9" s="770">
        <f t="shared" si="0"/>
        <v>100</v>
      </c>
      <c r="T9" s="769" t="s">
        <v>17</v>
      </c>
      <c r="U9" s="770">
        <f t="shared" si="1"/>
        <v>100</v>
      </c>
      <c r="V9" s="769" t="s">
        <v>17</v>
      </c>
      <c r="W9" s="770">
        <f t="shared" si="2"/>
        <v>100</v>
      </c>
      <c r="X9" s="771"/>
      <c r="Y9" s="3130" t="s">
        <v>2553</v>
      </c>
      <c r="Z9" s="55" t="str">
        <f t="shared" ref="Z9:Z15" si="7">Q9</f>
        <v>用途</v>
      </c>
      <c r="AA9" s="772">
        <f t="shared" si="3"/>
        <v>1</v>
      </c>
      <c r="AB9" s="772">
        <f t="shared" si="4"/>
        <v>1</v>
      </c>
      <c r="AC9" s="2671">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77"/>
      <c r="Q10" s="1794" t="str">
        <f t="shared" si="6"/>
        <v>土地使用年限（年）</v>
      </c>
      <c r="R10" s="769" t="s">
        <v>17</v>
      </c>
      <c r="S10" s="770">
        <f t="shared" si="0"/>
        <v>100</v>
      </c>
      <c r="T10" s="769" t="s">
        <v>17</v>
      </c>
      <c r="U10" s="770">
        <f t="shared" si="1"/>
        <v>100</v>
      </c>
      <c r="V10" s="769" t="s">
        <v>17</v>
      </c>
      <c r="W10" s="770">
        <f t="shared" si="2"/>
        <v>100</v>
      </c>
      <c r="X10" s="771"/>
      <c r="Y10" s="3130"/>
      <c r="Z10" s="55" t="str">
        <f t="shared" si="7"/>
        <v>土地使用年限（年）</v>
      </c>
      <c r="AA10" s="772">
        <f t="shared" si="3"/>
        <v>1</v>
      </c>
      <c r="AB10" s="772">
        <f t="shared" si="4"/>
        <v>1</v>
      </c>
      <c r="AC10" s="2671">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77"/>
      <c r="Q11" s="1794" t="str">
        <f t="shared" si="6"/>
        <v>容积率</v>
      </c>
      <c r="R11" s="769" t="s">
        <v>17</v>
      </c>
      <c r="S11" s="770" t="e">
        <f t="shared" si="0"/>
        <v>#N/A</v>
      </c>
      <c r="T11" s="769" t="s">
        <v>17</v>
      </c>
      <c r="U11" s="770" t="e">
        <f t="shared" si="1"/>
        <v>#N/A</v>
      </c>
      <c r="V11" s="769" t="s">
        <v>17</v>
      </c>
      <c r="W11" s="770" t="e">
        <f t="shared" si="2"/>
        <v>#N/A</v>
      </c>
      <c r="X11" s="771"/>
      <c r="Y11" s="3130"/>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77"/>
      <c r="Q12" s="1794">
        <f t="shared" si="6"/>
        <v>111</v>
      </c>
      <c r="R12" s="769" t="s">
        <v>17</v>
      </c>
      <c r="S12" s="770">
        <f t="shared" si="0"/>
        <v>100</v>
      </c>
      <c r="T12" s="769" t="s">
        <v>17</v>
      </c>
      <c r="U12" s="770">
        <f t="shared" si="1"/>
        <v>100</v>
      </c>
      <c r="V12" s="769" t="s">
        <v>17</v>
      </c>
      <c r="W12" s="770">
        <f t="shared" si="2"/>
        <v>100</v>
      </c>
      <c r="X12" s="771"/>
      <c r="Y12" s="3130"/>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77"/>
      <c r="Q13" s="1794">
        <f t="shared" si="6"/>
        <v>111</v>
      </c>
      <c r="R13" s="769" t="s">
        <v>17</v>
      </c>
      <c r="S13" s="770">
        <f t="shared" si="0"/>
        <v>100</v>
      </c>
      <c r="T13" s="769" t="s">
        <v>17</v>
      </c>
      <c r="U13" s="770">
        <f t="shared" si="1"/>
        <v>100</v>
      </c>
      <c r="V13" s="769" t="s">
        <v>17</v>
      </c>
      <c r="W13" s="770">
        <f t="shared" si="2"/>
        <v>100</v>
      </c>
      <c r="X13" s="771"/>
      <c r="Y13" s="3130"/>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77"/>
      <c r="Q14" s="1794">
        <f t="shared" si="6"/>
        <v>111</v>
      </c>
      <c r="R14" s="769" t="s">
        <v>17</v>
      </c>
      <c r="S14" s="770">
        <f t="shared" si="0"/>
        <v>100</v>
      </c>
      <c r="T14" s="769" t="s">
        <v>17</v>
      </c>
      <c r="U14" s="770">
        <f t="shared" si="1"/>
        <v>100</v>
      </c>
      <c r="V14" s="769" t="s">
        <v>17</v>
      </c>
      <c r="W14" s="770">
        <f t="shared" si="2"/>
        <v>100</v>
      </c>
      <c r="X14" s="771"/>
      <c r="Y14" s="3130"/>
      <c r="Z14" s="55">
        <f t="shared" si="7"/>
        <v>111</v>
      </c>
      <c r="AA14" s="772">
        <f t="shared" si="3"/>
        <v>1</v>
      </c>
      <c r="AB14" s="772">
        <f t="shared" si="4"/>
        <v>1</v>
      </c>
      <c r="AC14" s="2671">
        <f t="shared" si="5"/>
        <v>1</v>
      </c>
    </row>
    <row r="15" spans="1:29" ht="15">
      <c r="A15" s="439" t="s">
        <v>2556</v>
      </c>
      <c r="B15" s="628" t="s">
        <v>2684</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91" t="s">
        <v>2557</v>
      </c>
      <c r="Q15" s="1809" t="str">
        <f t="shared" si="6"/>
        <v>办公集聚程度</v>
      </c>
      <c r="R15" s="773" t="s">
        <v>17</v>
      </c>
      <c r="S15" s="774">
        <f t="shared" si="0"/>
        <v>100</v>
      </c>
      <c r="T15" s="773" t="s">
        <v>17</v>
      </c>
      <c r="U15" s="774">
        <f t="shared" si="1"/>
        <v>100</v>
      </c>
      <c r="V15" s="773" t="s">
        <v>17</v>
      </c>
      <c r="W15" s="774">
        <f t="shared" si="2"/>
        <v>100</v>
      </c>
      <c r="X15" s="1812"/>
      <c r="Y15" s="3293" t="s">
        <v>2557</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292"/>
      <c r="Q16" s="1809"/>
      <c r="R16" s="773"/>
      <c r="S16" s="774"/>
      <c r="T16" s="773"/>
      <c r="U16" s="774"/>
      <c r="V16" s="773"/>
      <c r="W16" s="774"/>
      <c r="X16" s="1812"/>
      <c r="Y16" s="3294"/>
      <c r="Z16" s="1813"/>
      <c r="AA16" s="1810">
        <v>1</v>
      </c>
      <c r="AB16" s="1810">
        <v>1</v>
      </c>
      <c r="AC16" s="2674">
        <v>1</v>
      </c>
    </row>
    <row r="17" spans="1:29" ht="15">
      <c r="A17" s="427"/>
      <c r="B17" s="630" t="s">
        <v>2094</v>
      </c>
      <c r="C17" s="2675"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92"/>
      <c r="Q17" s="1809" t="str">
        <f>B17</f>
        <v>交通便捷度</v>
      </c>
      <c r="R17" s="773" t="s">
        <v>17</v>
      </c>
      <c r="S17" s="774">
        <f>F17</f>
        <v>100</v>
      </c>
      <c r="T17" s="773" t="s">
        <v>17</v>
      </c>
      <c r="U17" s="774">
        <f>H17</f>
        <v>100</v>
      </c>
      <c r="V17" s="773" t="s">
        <v>17</v>
      </c>
      <c r="W17" s="774">
        <f>J17</f>
        <v>100</v>
      </c>
      <c r="X17" s="1812"/>
      <c r="Y17" s="3294"/>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292"/>
      <c r="Q18" s="1809"/>
      <c r="R18" s="773"/>
      <c r="S18" s="774"/>
      <c r="T18" s="773"/>
      <c r="U18" s="774"/>
      <c r="V18" s="773"/>
      <c r="W18" s="774"/>
      <c r="X18" s="1812"/>
      <c r="Y18" s="3294"/>
      <c r="Z18" s="1813"/>
      <c r="AA18" s="1810">
        <v>1</v>
      </c>
      <c r="AB18" s="1810">
        <v>1</v>
      </c>
      <c r="AC18" s="2674">
        <v>1</v>
      </c>
    </row>
    <row r="19" spans="1:29" ht="15">
      <c r="A19" s="427"/>
      <c r="B19" s="630" t="s">
        <v>2685</v>
      </c>
      <c r="C19" s="2675"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92"/>
      <c r="Q19" s="1809" t="str">
        <f>B19</f>
        <v>公共配套设施</v>
      </c>
      <c r="R19" s="773" t="s">
        <v>17</v>
      </c>
      <c r="S19" s="774">
        <f>F19</f>
        <v>100</v>
      </c>
      <c r="T19" s="773" t="s">
        <v>17</v>
      </c>
      <c r="U19" s="774">
        <f>H19</f>
        <v>100</v>
      </c>
      <c r="V19" s="773" t="s">
        <v>17</v>
      </c>
      <c r="W19" s="774">
        <f>J19</f>
        <v>100</v>
      </c>
      <c r="X19" s="1812"/>
      <c r="Y19" s="3294"/>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292"/>
      <c r="Q20" s="1809"/>
      <c r="R20" s="773"/>
      <c r="S20" s="774"/>
      <c r="T20" s="773"/>
      <c r="U20" s="774"/>
      <c r="V20" s="773"/>
      <c r="W20" s="774"/>
      <c r="X20" s="1812"/>
      <c r="Y20" s="3294"/>
      <c r="Z20" s="1813"/>
      <c r="AA20" s="1810">
        <v>1</v>
      </c>
      <c r="AB20" s="1810">
        <v>1</v>
      </c>
      <c r="AC20" s="2674">
        <v>1</v>
      </c>
    </row>
    <row r="21" spans="1:29" ht="15">
      <c r="A21" s="427"/>
      <c r="B21" s="632" t="s">
        <v>2686</v>
      </c>
      <c r="C21" s="2675"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92"/>
      <c r="Q21" s="1809" t="str">
        <f>B21</f>
        <v>基础设施水平</v>
      </c>
      <c r="R21" s="773" t="s">
        <v>17</v>
      </c>
      <c r="S21" s="774">
        <f>F21</f>
        <v>100</v>
      </c>
      <c r="T21" s="773" t="s">
        <v>17</v>
      </c>
      <c r="U21" s="774">
        <f>H21</f>
        <v>100</v>
      </c>
      <c r="V21" s="773" t="s">
        <v>17</v>
      </c>
      <c r="W21" s="774">
        <f>J21</f>
        <v>100</v>
      </c>
      <c r="X21" s="1812"/>
      <c r="Y21" s="3294"/>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292"/>
      <c r="Q22" s="1809"/>
      <c r="R22" s="773"/>
      <c r="S22" s="774"/>
      <c r="T22" s="773"/>
      <c r="U22" s="774"/>
      <c r="V22" s="773"/>
      <c r="W22" s="774"/>
      <c r="X22" s="1812"/>
      <c r="Y22" s="3294"/>
      <c r="Z22" s="1813"/>
      <c r="AA22" s="1810">
        <v>1</v>
      </c>
      <c r="AB22" s="1810">
        <v>1</v>
      </c>
      <c r="AC22" s="2674">
        <v>1</v>
      </c>
    </row>
    <row r="23" spans="1:29" ht="15">
      <c r="A23" s="427"/>
      <c r="B23" s="630" t="s">
        <v>2687</v>
      </c>
      <c r="C23" s="2675"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92"/>
      <c r="Q23" s="1809" t="str">
        <f>B23</f>
        <v>环境质量</v>
      </c>
      <c r="R23" s="773" t="s">
        <v>17</v>
      </c>
      <c r="S23" s="774">
        <f>F23</f>
        <v>100</v>
      </c>
      <c r="T23" s="773" t="s">
        <v>17</v>
      </c>
      <c r="U23" s="774">
        <f>H23</f>
        <v>100</v>
      </c>
      <c r="V23" s="773" t="s">
        <v>17</v>
      </c>
      <c r="W23" s="774">
        <f>J23</f>
        <v>100</v>
      </c>
      <c r="X23" s="1812"/>
      <c r="Y23" s="3294"/>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292"/>
      <c r="Q24" s="1809"/>
      <c r="R24" s="773"/>
      <c r="S24" s="774"/>
      <c r="T24" s="773"/>
      <c r="U24" s="774"/>
      <c r="V24" s="773"/>
      <c r="W24" s="774"/>
      <c r="X24" s="1812"/>
      <c r="Y24" s="3294"/>
      <c r="Z24" s="1813"/>
      <c r="AA24" s="1810">
        <v>1</v>
      </c>
      <c r="AB24" s="1810">
        <v>1</v>
      </c>
      <c r="AC24" s="2674">
        <v>1</v>
      </c>
    </row>
    <row r="25" spans="1:29" ht="27">
      <c r="A25" s="403"/>
      <c r="B25" s="630" t="s">
        <v>2688</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292"/>
      <c r="Q25" s="1809" t="str">
        <f>B25</f>
        <v>毗邻道路的类型与等级</v>
      </c>
      <c r="R25" s="773" t="s">
        <v>17</v>
      </c>
      <c r="S25" s="774">
        <f>F25</f>
        <v>100</v>
      </c>
      <c r="T25" s="773" t="s">
        <v>17</v>
      </c>
      <c r="U25" s="774">
        <f>H25</f>
        <v>100</v>
      </c>
      <c r="V25" s="773" t="s">
        <v>17</v>
      </c>
      <c r="W25" s="774">
        <f>J25</f>
        <v>100</v>
      </c>
      <c r="X25" s="1812"/>
      <c r="Y25" s="3294"/>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292"/>
      <c r="Q26" s="1809"/>
      <c r="R26" s="773"/>
      <c r="S26" s="774"/>
      <c r="T26" s="773"/>
      <c r="U26" s="774"/>
      <c r="V26" s="773"/>
      <c r="W26" s="774"/>
      <c r="X26" s="1812"/>
      <c r="Y26" s="3294"/>
      <c r="Z26" s="1813"/>
      <c r="AA26" s="1810">
        <v>1</v>
      </c>
      <c r="AB26" s="1810">
        <v>1</v>
      </c>
      <c r="AC26" s="2674">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92"/>
      <c r="Q27" s="1809" t="str">
        <f t="shared" ref="Q27:Q47" si="11">B27</f>
        <v>楼层</v>
      </c>
      <c r="R27" s="773" t="s">
        <v>17</v>
      </c>
      <c r="S27" s="774">
        <f>F27</f>
        <v>100</v>
      </c>
      <c r="T27" s="773" t="s">
        <v>17</v>
      </c>
      <c r="U27" s="774">
        <f>H27</f>
        <v>100</v>
      </c>
      <c r="V27" s="773" t="s">
        <v>17</v>
      </c>
      <c r="W27" s="774">
        <f>J27</f>
        <v>100</v>
      </c>
      <c r="X27" s="1812"/>
      <c r="Y27" s="3294"/>
      <c r="Z27" s="1813" t="str">
        <f>Q27</f>
        <v>楼层</v>
      </c>
      <c r="AA27" s="1810">
        <f t="shared" si="3"/>
        <v>1</v>
      </c>
      <c r="AB27" s="1810">
        <f t="shared" si="4"/>
        <v>1</v>
      </c>
      <c r="AC27" s="2674">
        <f t="shared" si="5"/>
        <v>1</v>
      </c>
    </row>
    <row r="28" spans="1:29" s="116" customFormat="1" ht="15">
      <c r="A28" s="430"/>
      <c r="B28" s="630" t="s">
        <v>2689</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292"/>
      <c r="Q28" s="1794" t="str">
        <f t="shared" si="11"/>
        <v>朝向</v>
      </c>
      <c r="R28" s="769" t="s">
        <v>17</v>
      </c>
      <c r="S28" s="770">
        <f>F28</f>
        <v>100</v>
      </c>
      <c r="T28" s="769" t="s">
        <v>17</v>
      </c>
      <c r="U28" s="770">
        <f>H28</f>
        <v>100</v>
      </c>
      <c r="V28" s="769" t="s">
        <v>17</v>
      </c>
      <c r="W28" s="770">
        <f>J28</f>
        <v>100</v>
      </c>
      <c r="X28" s="771"/>
      <c r="Y28" s="3294"/>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92"/>
      <c r="Q29" s="1809">
        <f t="shared" si="11"/>
        <v>111</v>
      </c>
      <c r="R29" s="773" t="s">
        <v>17</v>
      </c>
      <c r="S29" s="774">
        <f t="shared" ref="S29:S47" si="12">F29</f>
        <v>100</v>
      </c>
      <c r="T29" s="773" t="s">
        <v>17</v>
      </c>
      <c r="U29" s="774">
        <f t="shared" ref="U29:U47" si="13">H29</f>
        <v>100</v>
      </c>
      <c r="V29" s="773" t="s">
        <v>17</v>
      </c>
      <c r="W29" s="774">
        <f t="shared" ref="W29:W47" si="14">J29</f>
        <v>100</v>
      </c>
      <c r="X29" s="1812"/>
      <c r="Y29" s="3294"/>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92"/>
      <c r="Q30" s="1809">
        <f t="shared" si="11"/>
        <v>111</v>
      </c>
      <c r="R30" s="773" t="s">
        <v>17</v>
      </c>
      <c r="S30" s="774">
        <f t="shared" si="12"/>
        <v>100</v>
      </c>
      <c r="T30" s="773" t="s">
        <v>17</v>
      </c>
      <c r="U30" s="774">
        <f t="shared" si="13"/>
        <v>100</v>
      </c>
      <c r="V30" s="773" t="s">
        <v>17</v>
      </c>
      <c r="W30" s="774">
        <f t="shared" si="14"/>
        <v>100</v>
      </c>
      <c r="X30" s="1812"/>
      <c r="Y30" s="3294"/>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92"/>
      <c r="Q31" s="1809">
        <f t="shared" si="11"/>
        <v>111</v>
      </c>
      <c r="R31" s="773" t="s">
        <v>17</v>
      </c>
      <c r="S31" s="774">
        <f t="shared" si="12"/>
        <v>100</v>
      </c>
      <c r="T31" s="773" t="s">
        <v>17</v>
      </c>
      <c r="U31" s="774">
        <f t="shared" si="13"/>
        <v>100</v>
      </c>
      <c r="V31" s="773" t="s">
        <v>17</v>
      </c>
      <c r="W31" s="774">
        <f t="shared" si="14"/>
        <v>100</v>
      </c>
      <c r="X31" s="1812"/>
      <c r="Y31" s="3294"/>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92"/>
      <c r="Q32" s="1809">
        <f t="shared" si="11"/>
        <v>111</v>
      </c>
      <c r="R32" s="773" t="s">
        <v>17</v>
      </c>
      <c r="S32" s="774">
        <f t="shared" si="12"/>
        <v>100</v>
      </c>
      <c r="T32" s="773" t="s">
        <v>17</v>
      </c>
      <c r="U32" s="774">
        <f t="shared" si="13"/>
        <v>100</v>
      </c>
      <c r="V32" s="773" t="s">
        <v>17</v>
      </c>
      <c r="W32" s="774">
        <f t="shared" si="14"/>
        <v>100</v>
      </c>
      <c r="X32" s="1812"/>
      <c r="Y32" s="3294"/>
      <c r="Z32" s="1813">
        <f t="shared" si="15"/>
        <v>111</v>
      </c>
      <c r="AA32" s="1810">
        <f t="shared" si="3"/>
        <v>1</v>
      </c>
      <c r="AB32" s="1810">
        <f t="shared" si="4"/>
        <v>1</v>
      </c>
      <c r="AC32" s="2674">
        <f t="shared" si="5"/>
        <v>1</v>
      </c>
    </row>
    <row r="33" spans="1:29" ht="15">
      <c r="A33" s="439" t="s">
        <v>2560</v>
      </c>
      <c r="B33" s="71" t="s">
        <v>2690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295" t="s">
        <v>2562</v>
      </c>
      <c r="Q33" s="1809" t="str">
        <f t="shared" si="11"/>
        <v>建筑类型</v>
      </c>
      <c r="R33" s="773" t="s">
        <v>17</v>
      </c>
      <c r="S33" s="774">
        <f t="shared" si="12"/>
        <v>100</v>
      </c>
      <c r="T33" s="773" t="s">
        <v>17</v>
      </c>
      <c r="U33" s="774">
        <f t="shared" si="13"/>
        <v>100</v>
      </c>
      <c r="V33" s="773" t="s">
        <v>17</v>
      </c>
      <c r="W33" s="774">
        <f t="shared" si="14"/>
        <v>100</v>
      </c>
      <c r="X33" s="1812"/>
      <c r="Y33" s="3298" t="s">
        <v>2562</v>
      </c>
      <c r="Z33" s="1813" t="str">
        <f t="shared" si="15"/>
        <v>建筑类型</v>
      </c>
      <c r="AA33" s="1810">
        <f t="shared" si="3"/>
        <v>1</v>
      </c>
      <c r="AB33" s="1810">
        <f t="shared" si="4"/>
        <v>1</v>
      </c>
      <c r="AC33" s="2674">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96"/>
      <c r="Q34" s="775" t="str">
        <f t="shared" si="11"/>
        <v>项目建筑规模</v>
      </c>
      <c r="R34" s="776" t="s">
        <v>17</v>
      </c>
      <c r="S34" s="777" t="e">
        <f t="shared" si="12"/>
        <v>#N/A</v>
      </c>
      <c r="T34" s="776" t="s">
        <v>17</v>
      </c>
      <c r="U34" s="777" t="e">
        <f t="shared" si="13"/>
        <v>#N/A</v>
      </c>
      <c r="V34" s="776" t="s">
        <v>17</v>
      </c>
      <c r="W34" s="777" t="e">
        <f t="shared" si="14"/>
        <v>#N/A</v>
      </c>
      <c r="X34" s="778"/>
      <c r="Y34" s="3298"/>
      <c r="Z34" s="779" t="str">
        <f t="shared" si="15"/>
        <v>项目建筑规模</v>
      </c>
      <c r="AA34" s="1810" t="e">
        <f t="shared" si="3"/>
        <v>#N/A</v>
      </c>
      <c r="AB34" s="1810" t="e">
        <f t="shared" si="4"/>
        <v>#N/A</v>
      </c>
      <c r="AC34" s="2674"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96"/>
      <c r="Q35" s="1809" t="str">
        <f t="shared" si="11"/>
        <v>建筑结构</v>
      </c>
      <c r="R35" s="773" t="s">
        <v>17</v>
      </c>
      <c r="S35" s="774">
        <f t="shared" si="12"/>
        <v>100</v>
      </c>
      <c r="T35" s="773" t="s">
        <v>17</v>
      </c>
      <c r="U35" s="774">
        <f t="shared" si="13"/>
        <v>100</v>
      </c>
      <c r="V35" s="773" t="s">
        <v>17</v>
      </c>
      <c r="W35" s="774">
        <f t="shared" si="14"/>
        <v>100</v>
      </c>
      <c r="X35" s="1812"/>
      <c r="Y35" s="3298"/>
      <c r="Z35" s="1813" t="str">
        <f t="shared" si="15"/>
        <v>建筑结构</v>
      </c>
      <c r="AA35" s="1810">
        <f t="shared" si="3"/>
        <v>1</v>
      </c>
      <c r="AB35" s="1810">
        <f t="shared" si="4"/>
        <v>1</v>
      </c>
      <c r="AC35" s="2674">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96"/>
      <c r="Q36" s="1809" t="str">
        <f t="shared" si="11"/>
        <v>公共部分装修</v>
      </c>
      <c r="R36" s="773" t="s">
        <v>17</v>
      </c>
      <c r="S36" s="774">
        <f t="shared" si="12"/>
        <v>100</v>
      </c>
      <c r="T36" s="773" t="s">
        <v>17</v>
      </c>
      <c r="U36" s="774">
        <f t="shared" si="13"/>
        <v>100</v>
      </c>
      <c r="V36" s="773" t="s">
        <v>17</v>
      </c>
      <c r="W36" s="774">
        <f t="shared" si="14"/>
        <v>100</v>
      </c>
      <c r="X36" s="1812"/>
      <c r="Y36" s="3298"/>
      <c r="Z36" s="1813" t="str">
        <f t="shared" si="15"/>
        <v>公共部分装修</v>
      </c>
      <c r="AA36" s="1810">
        <f t="shared" si="3"/>
        <v>1</v>
      </c>
      <c r="AB36" s="1810">
        <f t="shared" si="4"/>
        <v>1</v>
      </c>
      <c r="AC36" s="2674">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96"/>
      <c r="Q37" s="1809" t="str">
        <f t="shared" si="11"/>
        <v>成新度</v>
      </c>
      <c r="R37" s="773" t="s">
        <v>17</v>
      </c>
      <c r="S37" s="774" t="e">
        <f t="shared" si="12"/>
        <v>#N/A</v>
      </c>
      <c r="T37" s="773" t="s">
        <v>17</v>
      </c>
      <c r="U37" s="774" t="e">
        <f t="shared" si="13"/>
        <v>#N/A</v>
      </c>
      <c r="V37" s="773" t="s">
        <v>17</v>
      </c>
      <c r="W37" s="774" t="e">
        <f t="shared" si="14"/>
        <v>#N/A</v>
      </c>
      <c r="X37" s="1812"/>
      <c r="Y37" s="3298"/>
      <c r="Z37" s="1813" t="str">
        <f t="shared" si="15"/>
        <v>成新度</v>
      </c>
      <c r="AA37" s="1810" t="e">
        <f t="shared" si="3"/>
        <v>#N/A</v>
      </c>
      <c r="AB37" s="1810" t="e">
        <f t="shared" si="4"/>
        <v>#N/A</v>
      </c>
      <c r="AC37" s="2674"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96"/>
      <c r="Q38" s="1794" t="str">
        <f t="shared" si="11"/>
        <v>写字楼等级</v>
      </c>
      <c r="R38" s="769" t="s">
        <v>17</v>
      </c>
      <c r="S38" s="770">
        <f t="shared" si="12"/>
        <v>100</v>
      </c>
      <c r="T38" s="769" t="s">
        <v>17</v>
      </c>
      <c r="U38" s="770">
        <f t="shared" si="13"/>
        <v>100</v>
      </c>
      <c r="V38" s="769" t="s">
        <v>17</v>
      </c>
      <c r="W38" s="770">
        <f t="shared" si="14"/>
        <v>100</v>
      </c>
      <c r="X38" s="771"/>
      <c r="Y38" s="3298"/>
      <c r="Z38" s="55" t="str">
        <f t="shared" si="15"/>
        <v>写字楼等级</v>
      </c>
      <c r="AA38" s="772">
        <f t="shared" si="3"/>
        <v>1</v>
      </c>
      <c r="AB38" s="772">
        <f t="shared" si="4"/>
        <v>1</v>
      </c>
      <c r="AC38" s="2671">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96" t="s">
        <v>2562</v>
      </c>
      <c r="Q39" s="1809" t="str">
        <f t="shared" si="11"/>
        <v>物业管理</v>
      </c>
      <c r="R39" s="773" t="s">
        <v>17</v>
      </c>
      <c r="S39" s="774">
        <f t="shared" si="12"/>
        <v>100</v>
      </c>
      <c r="T39" s="773" t="s">
        <v>17</v>
      </c>
      <c r="U39" s="774">
        <f t="shared" si="13"/>
        <v>100</v>
      </c>
      <c r="V39" s="773" t="s">
        <v>17</v>
      </c>
      <c r="W39" s="774">
        <f t="shared" si="14"/>
        <v>100</v>
      </c>
      <c r="X39" s="1812"/>
      <c r="Y39" s="3298" t="s">
        <v>2562</v>
      </c>
      <c r="Z39" s="1813" t="str">
        <f t="shared" si="15"/>
        <v>物业管理</v>
      </c>
      <c r="AA39" s="1810">
        <f t="shared" si="3"/>
        <v>1</v>
      </c>
      <c r="AB39" s="1810">
        <f t="shared" si="4"/>
        <v>1</v>
      </c>
      <c r="AC39" s="2674">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96"/>
      <c r="Q40" s="1809" t="str">
        <f t="shared" si="11"/>
        <v>市政基础设施</v>
      </c>
      <c r="R40" s="773" t="s">
        <v>17</v>
      </c>
      <c r="S40" s="774">
        <f t="shared" si="12"/>
        <v>100</v>
      </c>
      <c r="T40" s="773" t="s">
        <v>17</v>
      </c>
      <c r="U40" s="774">
        <f t="shared" si="13"/>
        <v>100</v>
      </c>
      <c r="V40" s="773" t="s">
        <v>17</v>
      </c>
      <c r="W40" s="774">
        <f t="shared" si="14"/>
        <v>100</v>
      </c>
      <c r="X40" s="1812"/>
      <c r="Y40" s="3298"/>
      <c r="Z40" s="1813" t="str">
        <f t="shared" si="15"/>
        <v>市政基础设施</v>
      </c>
      <c r="AA40" s="1810">
        <f t="shared" si="3"/>
        <v>1</v>
      </c>
      <c r="AB40" s="1810">
        <f t="shared" si="4"/>
        <v>1</v>
      </c>
      <c r="AC40" s="2674">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96"/>
      <c r="Q41" s="1809" t="str">
        <f t="shared" si="11"/>
        <v>层高</v>
      </c>
      <c r="R41" s="773" t="s">
        <v>17</v>
      </c>
      <c r="S41" s="774">
        <f t="shared" si="12"/>
        <v>100</v>
      </c>
      <c r="T41" s="773" t="s">
        <v>17</v>
      </c>
      <c r="U41" s="774">
        <f t="shared" si="13"/>
        <v>100</v>
      </c>
      <c r="V41" s="773" t="s">
        <v>17</v>
      </c>
      <c r="W41" s="774">
        <f t="shared" si="14"/>
        <v>100</v>
      </c>
      <c r="X41" s="1812"/>
      <c r="Y41" s="3298"/>
      <c r="Z41" s="1813" t="str">
        <f t="shared" si="15"/>
        <v>层高</v>
      </c>
      <c r="AA41" s="1810">
        <f t="shared" si="3"/>
        <v>1</v>
      </c>
      <c r="AB41" s="1810">
        <f t="shared" si="4"/>
        <v>1</v>
      </c>
      <c r="AC41" s="2674">
        <f t="shared" si="5"/>
        <v>1</v>
      </c>
    </row>
    <row r="42" spans="1:29" s="470" customFormat="1" ht="15">
      <c r="A42" s="467"/>
      <c r="B42" s="1811"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96"/>
      <c r="Q42" s="775" t="str">
        <f t="shared" si="11"/>
        <v>单套建筑面积</v>
      </c>
      <c r="R42" s="776" t="s">
        <v>17</v>
      </c>
      <c r="S42" s="777">
        <f t="shared" si="12"/>
        <v>100</v>
      </c>
      <c r="T42" s="776" t="s">
        <v>17</v>
      </c>
      <c r="U42" s="777">
        <f t="shared" si="13"/>
        <v>100</v>
      </c>
      <c r="V42" s="776" t="s">
        <v>17</v>
      </c>
      <c r="W42" s="777">
        <f t="shared" si="14"/>
        <v>100</v>
      </c>
      <c r="X42" s="778"/>
      <c r="Y42" s="3298"/>
      <c r="Z42" s="779" t="str">
        <f t="shared" si="15"/>
        <v>单套建筑面积</v>
      </c>
      <c r="AA42" s="1810">
        <f t="shared" si="3"/>
        <v>1</v>
      </c>
      <c r="AB42" s="1810">
        <f t="shared" si="4"/>
        <v>1</v>
      </c>
      <c r="AC42" s="2674">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96"/>
      <c r="Q43" s="1809" t="str">
        <f t="shared" si="11"/>
        <v>内部装修</v>
      </c>
      <c r="R43" s="773" t="s">
        <v>17</v>
      </c>
      <c r="S43" s="774">
        <f t="shared" si="12"/>
        <v>100</v>
      </c>
      <c r="T43" s="773" t="s">
        <v>17</v>
      </c>
      <c r="U43" s="774">
        <f t="shared" si="13"/>
        <v>100</v>
      </c>
      <c r="V43" s="773" t="s">
        <v>17</v>
      </c>
      <c r="W43" s="774">
        <f t="shared" si="14"/>
        <v>100</v>
      </c>
      <c r="X43" s="1812"/>
      <c r="Y43" s="3298"/>
      <c r="Z43" s="1813" t="str">
        <f t="shared" si="15"/>
        <v>内部装修</v>
      </c>
      <c r="AA43" s="1810">
        <f t="shared" si="3"/>
        <v>1</v>
      </c>
      <c r="AB43" s="1810">
        <f t="shared" si="4"/>
        <v>1</v>
      </c>
      <c r="AC43" s="2674">
        <f t="shared" si="5"/>
        <v>1</v>
      </c>
    </row>
    <row r="44" spans="1:29" ht="15">
      <c r="A44" s="471"/>
      <c r="B44" s="421" t="s">
        <v>2573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296"/>
      <c r="Q44" s="1809" t="str">
        <f t="shared" si="11"/>
        <v>内部装修维护情况</v>
      </c>
      <c r="R44" s="773" t="s">
        <v>17</v>
      </c>
      <c r="S44" s="774">
        <f t="shared" si="12"/>
        <v>100</v>
      </c>
      <c r="T44" s="773" t="s">
        <v>17</v>
      </c>
      <c r="U44" s="774">
        <f t="shared" si="13"/>
        <v>100</v>
      </c>
      <c r="V44" s="773" t="s">
        <v>17</v>
      </c>
      <c r="W44" s="774">
        <f t="shared" si="14"/>
        <v>100</v>
      </c>
      <c r="X44" s="1812"/>
      <c r="Y44" s="3298"/>
      <c r="Z44" s="1813" t="str">
        <f t="shared" si="15"/>
        <v>内部装修维护情况</v>
      </c>
      <c r="AA44" s="1810">
        <f t="shared" si="3"/>
        <v>1</v>
      </c>
      <c r="AB44" s="1810">
        <f t="shared" si="4"/>
        <v>1</v>
      </c>
      <c r="AC44" s="2674">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96"/>
      <c r="Q45" s="1794">
        <f t="shared" si="11"/>
        <v>111</v>
      </c>
      <c r="R45" s="769" t="s">
        <v>17</v>
      </c>
      <c r="S45" s="770">
        <f t="shared" si="12"/>
        <v>100</v>
      </c>
      <c r="T45" s="769" t="s">
        <v>17</v>
      </c>
      <c r="U45" s="770">
        <f t="shared" si="13"/>
        <v>100</v>
      </c>
      <c r="V45" s="769" t="s">
        <v>17</v>
      </c>
      <c r="W45" s="770">
        <f t="shared" si="14"/>
        <v>100</v>
      </c>
      <c r="X45" s="771"/>
      <c r="Y45" s="3298"/>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96"/>
      <c r="Q46" s="1809">
        <f t="shared" si="11"/>
        <v>111</v>
      </c>
      <c r="R46" s="773" t="s">
        <v>17</v>
      </c>
      <c r="S46" s="774">
        <f t="shared" si="12"/>
        <v>100</v>
      </c>
      <c r="T46" s="773" t="s">
        <v>17</v>
      </c>
      <c r="U46" s="774">
        <f t="shared" si="13"/>
        <v>100</v>
      </c>
      <c r="V46" s="773" t="s">
        <v>17</v>
      </c>
      <c r="W46" s="774">
        <f t="shared" si="14"/>
        <v>100</v>
      </c>
      <c r="X46" s="1812"/>
      <c r="Y46" s="3298"/>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97"/>
      <c r="Q47" s="1809">
        <f t="shared" si="11"/>
        <v>111</v>
      </c>
      <c r="R47" s="773" t="s">
        <v>17</v>
      </c>
      <c r="S47" s="774">
        <f t="shared" si="12"/>
        <v>100</v>
      </c>
      <c r="T47" s="773" t="s">
        <v>17</v>
      </c>
      <c r="U47" s="774">
        <f t="shared" si="13"/>
        <v>100</v>
      </c>
      <c r="V47" s="773" t="s">
        <v>17</v>
      </c>
      <c r="W47" s="774">
        <f t="shared" si="14"/>
        <v>100</v>
      </c>
      <c r="X47" s="1812"/>
      <c r="Y47" s="3299"/>
      <c r="Z47" s="1813">
        <f t="shared" si="15"/>
        <v>111</v>
      </c>
      <c r="AA47" s="1810">
        <f t="shared" si="3"/>
        <v>1</v>
      </c>
      <c r="AB47" s="1810">
        <f t="shared" si="4"/>
        <v>1</v>
      </c>
      <c r="AC47" s="2674">
        <f t="shared" si="5"/>
        <v>1</v>
      </c>
    </row>
    <row r="48" spans="1:29" ht="15">
      <c r="A48" s="478" t="s">
        <v>2574</v>
      </c>
      <c r="B48" s="479"/>
      <c r="C48" s="1406" t="s">
        <v>1</v>
      </c>
      <c r="D48" s="1407"/>
      <c r="E48" s="1408"/>
      <c r="F48" s="1409"/>
      <c r="G48" s="1410"/>
      <c r="H48" s="1411"/>
      <c r="I48" s="1408"/>
      <c r="J48" s="484"/>
      <c r="K48" s="782"/>
      <c r="L48" s="1142"/>
      <c r="M48" s="1130"/>
      <c r="N48" s="1130"/>
      <c r="O48" s="1130"/>
      <c r="P48" s="3277" t="str">
        <f>A48</f>
        <v>成交单价（元/平方米）</v>
      </c>
      <c r="Q48" s="3300"/>
      <c r="R48" s="3301">
        <f>E48</f>
        <v>0</v>
      </c>
      <c r="S48" s="3301"/>
      <c r="T48" s="3301">
        <f>G48</f>
        <v>0</v>
      </c>
      <c r="U48" s="3301"/>
      <c r="V48" s="3301">
        <f>I48</f>
        <v>0</v>
      </c>
      <c r="W48" s="3301"/>
      <c r="X48" s="445"/>
      <c r="Y48" s="780"/>
      <c r="Z48" s="445"/>
      <c r="AA48" s="445"/>
      <c r="AB48" s="445"/>
      <c r="AC48" s="629"/>
    </row>
    <row r="49" spans="1:29" ht="15.7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277" t="str">
        <f>A49</f>
        <v>比较价值（元/平方米）</v>
      </c>
      <c r="Q49" s="3300"/>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5"/>
      <c r="Y49" s="445"/>
      <c r="Z49" s="445"/>
      <c r="AA49" s="445"/>
      <c r="AB49" s="445"/>
      <c r="AC49" s="629"/>
    </row>
    <row r="50" spans="1:29" ht="15.75" thickBot="1">
      <c r="A50" s="491" t="s">
        <v>2667</v>
      </c>
      <c r="B50" s="492"/>
      <c r="C50" s="1416" t="e">
        <f>R50</f>
        <v>#DIV/0!</v>
      </c>
      <c r="D50" s="1416"/>
      <c r="E50" s="1416"/>
      <c r="F50" s="1416"/>
      <c r="G50" s="1416"/>
      <c r="H50" s="1416"/>
      <c r="I50" s="1416"/>
      <c r="J50" s="493"/>
      <c r="K50" s="784"/>
      <c r="L50" s="1142"/>
      <c r="M50" s="1130"/>
      <c r="N50" s="1130"/>
      <c r="O50" s="1130"/>
      <c r="P50" s="3344" t="str">
        <f>A50</f>
        <v>估价对象XX用房的比较价值（楼面单价，元/平方米）</v>
      </c>
      <c r="Q50" s="3345"/>
      <c r="R50" s="3346" t="e">
        <f>IF(F1="售价",ROUND(AVERAGE(R49:V49),0),ROUND(AVERAGE(R49:V49),1))</f>
        <v>#DIV/0!</v>
      </c>
      <c r="S50" s="3346"/>
      <c r="T50" s="3346"/>
      <c r="U50" s="3346"/>
      <c r="V50" s="3346"/>
      <c r="W50" s="3346"/>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81"/>
      <c r="Q58" s="503"/>
    </row>
    <row r="59" spans="1:29" s="507" customFormat="1" ht="15">
      <c r="A59" s="504" t="s">
        <v>2545</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2582</v>
      </c>
      <c r="B61" s="515"/>
      <c r="C61" s="516"/>
      <c r="D61" s="517"/>
      <c r="E61" s="517"/>
      <c r="F61" s="517"/>
      <c r="G61" s="517"/>
      <c r="H61" s="517"/>
      <c r="I61" s="517"/>
      <c r="J61" s="517"/>
      <c r="K61" s="517"/>
      <c r="L61" s="517"/>
      <c r="M61" s="518"/>
      <c r="N61" s="517"/>
      <c r="O61" s="518"/>
      <c r="P61" s="2682"/>
      <c r="Q61" s="503"/>
    </row>
    <row r="62" spans="1:29" s="116" customFormat="1" ht="15">
      <c r="A62" s="520" t="s">
        <v>2547</v>
      </c>
      <c r="B62" s="509"/>
      <c r="C62" s="521" t="s">
        <v>2649</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2585</v>
      </c>
      <c r="B64" s="527" t="s">
        <v>2551</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2686</v>
      </c>
      <c r="C83" s="659" t="s">
        <v>2672</v>
      </c>
      <c r="D83" s="659" t="s">
        <v>2673</v>
      </c>
      <c r="E83" s="659" t="s">
        <v>2674</v>
      </c>
      <c r="F83" s="659" t="s">
        <v>2675</v>
      </c>
      <c r="G83" s="659" t="s">
        <v>2676</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6" customFormat="1" ht="27.75" thickTop="1">
      <c r="A87" s="578"/>
      <c r="B87" s="537" t="s">
        <v>2696</v>
      </c>
      <c r="C87" s="553"/>
      <c r="D87" s="553"/>
      <c r="E87" s="553"/>
      <c r="F87" s="553"/>
      <c r="G87" s="553"/>
      <c r="H87" s="553"/>
      <c r="I87" s="553"/>
      <c r="J87" s="553"/>
      <c r="K87" s="553"/>
      <c r="L87" s="579"/>
      <c r="M87" s="580"/>
      <c r="N87" s="1150"/>
      <c r="O87" s="1150"/>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6"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2560</v>
      </c>
      <c r="B101" s="527" t="s">
        <v>2609</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2611</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2613</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2614</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2615</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2698</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2617</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9" t="s">
        <v>2699</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IF(C2="——",ROUND(C43*D3/10000,0),ROUND(C43*D3/10000,0)-D2)</f>
        <v>#DIV/0!</v>
      </c>
      <c r="C2" s="2586"/>
      <c r="D2" s="1123" t="e">
        <f ca="1">SUMIF(INDIRECT("'"&amp;F2&amp;"'"&amp;"!A:A"),"承租人权益价值",INDIRECT("'"&amp;F2&amp;"'"&amp;"!c:c"))</f>
        <v>#REF!</v>
      </c>
      <c r="E2" s="2587" t="s">
        <v>2325</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34740.85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78" t="s">
        <v>2643</v>
      </c>
      <c r="D4" s="3279"/>
      <c r="E4" s="3280" t="s">
        <v>2644</v>
      </c>
      <c r="F4" s="3281"/>
      <c r="G4" s="3278" t="s">
        <v>2645</v>
      </c>
      <c r="H4" s="3279"/>
      <c r="I4" s="3278" t="s">
        <v>2646</v>
      </c>
      <c r="J4" s="3279"/>
      <c r="K4" s="609" t="s">
        <v>2647</v>
      </c>
      <c r="L4" s="1129"/>
      <c r="M4" s="1130"/>
      <c r="N4" s="1130"/>
      <c r="O4" s="1130"/>
      <c r="P4" s="3282" t="s">
        <v>2648</v>
      </c>
      <c r="Q4" s="3283"/>
      <c r="R4" s="3264" t="s">
        <v>2644</v>
      </c>
      <c r="S4" s="3265"/>
      <c r="T4" s="3264" t="s">
        <v>2645</v>
      </c>
      <c r="U4" s="3265"/>
      <c r="V4" s="3261" t="s">
        <v>2646</v>
      </c>
      <c r="W4" s="3261"/>
      <c r="X4" s="1812"/>
      <c r="Y4" s="3264" t="s">
        <v>2648</v>
      </c>
      <c r="Z4" s="3265"/>
      <c r="AA4" s="3258" t="s">
        <v>2644</v>
      </c>
      <c r="AB4" s="3259" t="s">
        <v>2645</v>
      </c>
      <c r="AC4" s="3258" t="s">
        <v>2646</v>
      </c>
    </row>
    <row r="5" spans="1:29" ht="15">
      <c r="A5" s="403"/>
      <c r="B5" s="404"/>
      <c r="C5" s="3270" t="s">
        <v>2539</v>
      </c>
      <c r="D5" s="3271"/>
      <c r="E5" s="3331" t="s">
        <v>2540</v>
      </c>
      <c r="F5" s="3269"/>
      <c r="G5" s="3270" t="s">
        <v>2541</v>
      </c>
      <c r="H5" s="3271"/>
      <c r="I5" s="3270" t="s">
        <v>2542</v>
      </c>
      <c r="J5" s="3271"/>
      <c r="K5" s="609"/>
      <c r="L5" s="1129"/>
      <c r="M5" s="1130"/>
      <c r="N5" s="1130"/>
      <c r="O5" s="1130"/>
      <c r="P5" s="3284"/>
      <c r="Q5" s="3285"/>
      <c r="R5" s="3266"/>
      <c r="S5" s="3267"/>
      <c r="T5" s="3266"/>
      <c r="U5" s="3267"/>
      <c r="V5" s="3261"/>
      <c r="W5" s="3261"/>
      <c r="X5" s="1812"/>
      <c r="Y5" s="3266"/>
      <c r="Z5" s="3267"/>
      <c r="AA5" s="3259"/>
      <c r="AB5" s="3259"/>
      <c r="AC5" s="3259"/>
    </row>
    <row r="6" spans="1:29" ht="15.75" thickBot="1">
      <c r="A6" s="405"/>
      <c r="B6" s="406"/>
      <c r="C6" s="3272" t="s">
        <v>2543</v>
      </c>
      <c r="D6" s="3273"/>
      <c r="E6" s="3275" t="s">
        <v>2543</v>
      </c>
      <c r="F6" s="3276"/>
      <c r="G6" s="3272" t="s">
        <v>2543</v>
      </c>
      <c r="H6" s="3273"/>
      <c r="I6" s="3272" t="s">
        <v>2543</v>
      </c>
      <c r="J6" s="3273"/>
      <c r="K6" s="609" t="s">
        <v>2544</v>
      </c>
      <c r="L6" s="1129"/>
      <c r="M6" s="1130"/>
      <c r="N6" s="1130"/>
      <c r="O6" s="1130"/>
      <c r="P6" s="3286"/>
      <c r="Q6" s="3287"/>
      <c r="R6" s="3266"/>
      <c r="S6" s="3267"/>
      <c r="T6" s="3288"/>
      <c r="U6" s="3289"/>
      <c r="V6" s="3261"/>
      <c r="W6" s="3261"/>
      <c r="X6" s="1812"/>
      <c r="Y6" s="3288"/>
      <c r="Z6" s="3289"/>
      <c r="AA6" s="3260"/>
      <c r="AB6" s="3260"/>
      <c r="AC6" s="3260"/>
    </row>
    <row r="7" spans="1:29" s="116" customFormat="1" ht="15.75" thickBot="1">
      <c r="A7" s="407" t="s">
        <v>2545</v>
      </c>
      <c r="B7" s="408"/>
      <c r="C7" s="409">
        <f>'数据-取费表'!B2</f>
        <v>43634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62" t="s">
        <v>2546</v>
      </c>
      <c r="Q7" s="3290"/>
      <c r="R7" s="769" t="s">
        <v>17</v>
      </c>
      <c r="S7" s="770">
        <f t="shared" ref="S7:S15" si="0">F7</f>
        <v>0</v>
      </c>
      <c r="T7" s="769" t="s">
        <v>17</v>
      </c>
      <c r="U7" s="770">
        <f t="shared" ref="U7:U15" si="1">H7</f>
        <v>0</v>
      </c>
      <c r="V7" s="769" t="s">
        <v>17</v>
      </c>
      <c r="W7" s="770">
        <f t="shared" ref="W7:W15" si="2">J7</f>
        <v>0</v>
      </c>
      <c r="X7" s="771"/>
      <c r="Y7" s="3262" t="s">
        <v>2546</v>
      </c>
      <c r="Z7" s="3263"/>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62" t="s">
        <v>2549</v>
      </c>
      <c r="Q8" s="3263"/>
      <c r="R8" s="769" t="s">
        <v>17</v>
      </c>
      <c r="S8" s="770">
        <f t="shared" si="0"/>
        <v>0</v>
      </c>
      <c r="T8" s="769" t="s">
        <v>17</v>
      </c>
      <c r="U8" s="770">
        <f t="shared" si="1"/>
        <v>0</v>
      </c>
      <c r="V8" s="769" t="s">
        <v>17</v>
      </c>
      <c r="W8" s="770">
        <f t="shared" si="2"/>
        <v>0</v>
      </c>
      <c r="X8" s="771"/>
      <c r="Y8" s="3262" t="s">
        <v>2549</v>
      </c>
      <c r="Z8" s="3263"/>
      <c r="AA8" s="772" t="e">
        <f t="shared" ref="AA8:AA40" si="3">D8/F8</f>
        <v>#DIV/0!</v>
      </c>
      <c r="AB8" s="772" t="e">
        <f t="shared" ref="AB8:AB40" si="4">D8/H8</f>
        <v>#DIV/0!</v>
      </c>
      <c r="AC8" s="772" t="e">
        <f t="shared" ref="AC8:AC40" si="5">D8/J8</f>
        <v>#DIV/0!</v>
      </c>
    </row>
    <row r="9" spans="1:29" s="116"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300" t="s">
        <v>2552</v>
      </c>
      <c r="Q9" s="1794" t="str">
        <f t="shared" ref="Q9:Q15" si="6">B9</f>
        <v>用途</v>
      </c>
      <c r="R9" s="769" t="s">
        <v>17</v>
      </c>
      <c r="S9" s="770">
        <f t="shared" si="0"/>
        <v>100</v>
      </c>
      <c r="T9" s="769" t="s">
        <v>17</v>
      </c>
      <c r="U9" s="770">
        <f t="shared" si="1"/>
        <v>100</v>
      </c>
      <c r="V9" s="769" t="s">
        <v>17</v>
      </c>
      <c r="W9" s="770">
        <f t="shared" si="2"/>
        <v>100</v>
      </c>
      <c r="X9" s="771"/>
      <c r="Y9" s="3130"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300"/>
      <c r="Q10" s="1794" t="str">
        <f t="shared" si="6"/>
        <v>土地使用年限（年）</v>
      </c>
      <c r="R10" s="769" t="s">
        <v>17</v>
      </c>
      <c r="S10" s="770">
        <f t="shared" si="0"/>
        <v>100</v>
      </c>
      <c r="T10" s="769" t="s">
        <v>17</v>
      </c>
      <c r="U10" s="770">
        <f t="shared" si="1"/>
        <v>100</v>
      </c>
      <c r="V10" s="769" t="s">
        <v>17</v>
      </c>
      <c r="W10" s="770">
        <f t="shared" si="2"/>
        <v>100</v>
      </c>
      <c r="X10" s="771"/>
      <c r="Y10" s="3130"/>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300"/>
      <c r="Q11" s="1794" t="str">
        <f t="shared" si="6"/>
        <v>容积率</v>
      </c>
      <c r="R11" s="769" t="s">
        <v>17</v>
      </c>
      <c r="S11" s="770" t="e">
        <f t="shared" si="0"/>
        <v>#N/A</v>
      </c>
      <c r="T11" s="769" t="s">
        <v>17</v>
      </c>
      <c r="U11" s="770" t="e">
        <f t="shared" si="1"/>
        <v>#N/A</v>
      </c>
      <c r="V11" s="769" t="s">
        <v>17</v>
      </c>
      <c r="W11" s="770" t="e">
        <f t="shared" si="2"/>
        <v>#N/A</v>
      </c>
      <c r="X11" s="771"/>
      <c r="Y11" s="3130"/>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300"/>
      <c r="Q12" s="1794">
        <f t="shared" si="6"/>
        <v>111</v>
      </c>
      <c r="R12" s="769" t="s">
        <v>17</v>
      </c>
      <c r="S12" s="770">
        <f t="shared" si="0"/>
        <v>100</v>
      </c>
      <c r="T12" s="769" t="s">
        <v>17</v>
      </c>
      <c r="U12" s="770">
        <f t="shared" si="1"/>
        <v>100</v>
      </c>
      <c r="V12" s="769" t="s">
        <v>17</v>
      </c>
      <c r="W12" s="770">
        <f t="shared" si="2"/>
        <v>100</v>
      </c>
      <c r="X12" s="771"/>
      <c r="Y12" s="3130"/>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300"/>
      <c r="Q13" s="1794">
        <f t="shared" si="6"/>
        <v>111</v>
      </c>
      <c r="R13" s="769" t="s">
        <v>17</v>
      </c>
      <c r="S13" s="770">
        <f t="shared" si="0"/>
        <v>100</v>
      </c>
      <c r="T13" s="769" t="s">
        <v>17</v>
      </c>
      <c r="U13" s="770">
        <f t="shared" si="1"/>
        <v>100</v>
      </c>
      <c r="V13" s="769" t="s">
        <v>17</v>
      </c>
      <c r="W13" s="770">
        <f t="shared" si="2"/>
        <v>100</v>
      </c>
      <c r="X13" s="771"/>
      <c r="Y13" s="3130"/>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300"/>
      <c r="Q14" s="1794">
        <f t="shared" si="6"/>
        <v>111</v>
      </c>
      <c r="R14" s="769" t="s">
        <v>17</v>
      </c>
      <c r="S14" s="770">
        <f t="shared" si="0"/>
        <v>100</v>
      </c>
      <c r="T14" s="769" t="s">
        <v>17</v>
      </c>
      <c r="U14" s="770">
        <f t="shared" si="1"/>
        <v>100</v>
      </c>
      <c r="V14" s="769" t="s">
        <v>17</v>
      </c>
      <c r="W14" s="770">
        <f t="shared" si="2"/>
        <v>100</v>
      </c>
      <c r="X14" s="771"/>
      <c r="Y14" s="3130"/>
      <c r="Z14" s="55">
        <f t="shared" si="7"/>
        <v>111</v>
      </c>
      <c r="AA14" s="772">
        <f t="shared" si="3"/>
        <v>1</v>
      </c>
      <c r="AB14" s="772">
        <f t="shared" si="4"/>
        <v>1</v>
      </c>
      <c r="AC14" s="772">
        <f t="shared" si="5"/>
        <v>1</v>
      </c>
    </row>
    <row r="15" spans="1:29" ht="57">
      <c r="A15" s="439" t="s">
        <v>2556</v>
      </c>
      <c r="B15" s="69" t="s">
        <v>2700</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93" t="s">
        <v>2557</v>
      </c>
      <c r="Q15" s="1809" t="str">
        <f t="shared" si="6"/>
        <v>产业集聚程度</v>
      </c>
      <c r="R15" s="773" t="s">
        <v>17</v>
      </c>
      <c r="S15" s="774">
        <f t="shared" si="0"/>
        <v>100</v>
      </c>
      <c r="T15" s="773" t="s">
        <v>17</v>
      </c>
      <c r="U15" s="774">
        <f t="shared" si="1"/>
        <v>100</v>
      </c>
      <c r="V15" s="773" t="s">
        <v>17</v>
      </c>
      <c r="W15" s="774">
        <f t="shared" si="2"/>
        <v>100</v>
      </c>
      <c r="X15" s="1812"/>
      <c r="Y15" s="3293" t="s">
        <v>2557</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94"/>
      <c r="Q16" s="1809"/>
      <c r="R16" s="773"/>
      <c r="S16" s="774"/>
      <c r="T16" s="773"/>
      <c r="U16" s="774"/>
      <c r="V16" s="773"/>
      <c r="W16" s="774"/>
      <c r="X16" s="1812"/>
      <c r="Y16" s="3294"/>
      <c r="Z16" s="1813"/>
      <c r="AA16" s="1810">
        <v>1</v>
      </c>
      <c r="AB16" s="1810">
        <v>1</v>
      </c>
      <c r="AC16" s="1810">
        <v>1</v>
      </c>
    </row>
    <row r="17" spans="1:29" ht="85.5">
      <c r="A17" s="427"/>
      <c r="B17" s="450" t="s">
        <v>2094</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94"/>
      <c r="Q17" s="1809" t="str">
        <f>B17</f>
        <v>交通便捷度</v>
      </c>
      <c r="R17" s="773" t="s">
        <v>17</v>
      </c>
      <c r="S17" s="774">
        <f>F17</f>
        <v>100</v>
      </c>
      <c r="T17" s="773" t="s">
        <v>17</v>
      </c>
      <c r="U17" s="774">
        <f>H17</f>
        <v>100</v>
      </c>
      <c r="V17" s="773" t="s">
        <v>17</v>
      </c>
      <c r="W17" s="774">
        <f>J17</f>
        <v>100</v>
      </c>
      <c r="X17" s="1812"/>
      <c r="Y17" s="3294"/>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94"/>
      <c r="Q18" s="1809"/>
      <c r="R18" s="773"/>
      <c r="S18" s="774"/>
      <c r="T18" s="773"/>
      <c r="U18" s="774"/>
      <c r="V18" s="773"/>
      <c r="W18" s="774"/>
      <c r="X18" s="1812"/>
      <c r="Y18" s="3294"/>
      <c r="Z18" s="1813"/>
      <c r="AA18" s="1810">
        <v>1</v>
      </c>
      <c r="AB18" s="1810">
        <v>1</v>
      </c>
      <c r="AC18" s="1810">
        <v>1</v>
      </c>
    </row>
    <row r="19" spans="1:29" ht="42.75">
      <c r="A19" s="427"/>
      <c r="B19" s="450" t="s">
        <v>2685</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94"/>
      <c r="Q19" s="1809" t="str">
        <f>B19</f>
        <v>公共配套设施</v>
      </c>
      <c r="R19" s="773" t="s">
        <v>17</v>
      </c>
      <c r="S19" s="774">
        <f>F19</f>
        <v>100</v>
      </c>
      <c r="T19" s="773" t="s">
        <v>17</v>
      </c>
      <c r="U19" s="774">
        <f>H19</f>
        <v>100</v>
      </c>
      <c r="V19" s="773" t="s">
        <v>17</v>
      </c>
      <c r="W19" s="774">
        <f>J19</f>
        <v>100</v>
      </c>
      <c r="X19" s="1812"/>
      <c r="Y19" s="3294"/>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94"/>
      <c r="Q20" s="1809"/>
      <c r="R20" s="773"/>
      <c r="S20" s="774"/>
      <c r="T20" s="773"/>
      <c r="U20" s="774"/>
      <c r="V20" s="773"/>
      <c r="W20" s="774"/>
      <c r="X20" s="1812"/>
      <c r="Y20" s="3294"/>
      <c r="Z20" s="1813"/>
      <c r="AA20" s="1810">
        <v>1</v>
      </c>
      <c r="AB20" s="1810">
        <v>1</v>
      </c>
      <c r="AC20" s="1810">
        <v>1</v>
      </c>
    </row>
    <row r="21" spans="1:29" ht="28.5">
      <c r="A21" s="427"/>
      <c r="B21" s="1383" t="s">
        <v>2686</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94"/>
      <c r="Q21" s="1809" t="str">
        <f>B21</f>
        <v>基础设施水平</v>
      </c>
      <c r="R21" s="773" t="s">
        <v>17</v>
      </c>
      <c r="S21" s="774">
        <f>F21</f>
        <v>100</v>
      </c>
      <c r="T21" s="773" t="s">
        <v>17</v>
      </c>
      <c r="U21" s="774">
        <f>H21</f>
        <v>100</v>
      </c>
      <c r="V21" s="773" t="s">
        <v>17</v>
      </c>
      <c r="W21" s="774">
        <f>J21</f>
        <v>100</v>
      </c>
      <c r="X21" s="1812"/>
      <c r="Y21" s="3294"/>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94"/>
      <c r="Q22" s="1809"/>
      <c r="R22" s="773"/>
      <c r="S22" s="774"/>
      <c r="T22" s="773"/>
      <c r="U22" s="774"/>
      <c r="V22" s="773"/>
      <c r="W22" s="774"/>
      <c r="X22" s="1812"/>
      <c r="Y22" s="3294"/>
      <c r="Z22" s="1813"/>
      <c r="AA22" s="1810">
        <v>1</v>
      </c>
      <c r="AB22" s="1810">
        <v>1</v>
      </c>
      <c r="AC22" s="1810">
        <v>1</v>
      </c>
    </row>
    <row r="23" spans="1:29" ht="71.25">
      <c r="A23" s="427"/>
      <c r="B23" s="450" t="s">
        <v>2687</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94"/>
      <c r="Q23" s="1809" t="str">
        <f>B23</f>
        <v>环境质量</v>
      </c>
      <c r="R23" s="773" t="s">
        <v>17</v>
      </c>
      <c r="S23" s="774">
        <f>F23</f>
        <v>100</v>
      </c>
      <c r="T23" s="773" t="s">
        <v>17</v>
      </c>
      <c r="U23" s="774">
        <f>H23</f>
        <v>100</v>
      </c>
      <c r="V23" s="773" t="s">
        <v>17</v>
      </c>
      <c r="W23" s="774">
        <f>J23</f>
        <v>100</v>
      </c>
      <c r="X23" s="1812"/>
      <c r="Y23" s="3294"/>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94"/>
      <c r="Q24" s="1809"/>
      <c r="R24" s="773"/>
      <c r="S24" s="774"/>
      <c r="T24" s="773"/>
      <c r="U24" s="774"/>
      <c r="V24" s="773"/>
      <c r="W24" s="774"/>
      <c r="X24" s="1812"/>
      <c r="Y24" s="3294"/>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94"/>
      <c r="Q25" s="1809">
        <f>B25</f>
        <v>111</v>
      </c>
      <c r="R25" s="773" t="s">
        <v>17</v>
      </c>
      <c r="S25" s="774">
        <f>F25</f>
        <v>100</v>
      </c>
      <c r="T25" s="773" t="s">
        <v>17</v>
      </c>
      <c r="U25" s="774">
        <f>H25</f>
        <v>100</v>
      </c>
      <c r="V25" s="773" t="s">
        <v>17</v>
      </c>
      <c r="W25" s="774">
        <f>J25</f>
        <v>100</v>
      </c>
      <c r="X25" s="1812"/>
      <c r="Y25" s="3294"/>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94"/>
      <c r="Q26" s="1809">
        <f t="shared" ref="Q26:Q40" si="11">B26</f>
        <v>111</v>
      </c>
      <c r="R26" s="773" t="s">
        <v>17</v>
      </c>
      <c r="S26" s="774">
        <f>F26</f>
        <v>100</v>
      </c>
      <c r="T26" s="773" t="s">
        <v>17</v>
      </c>
      <c r="U26" s="774">
        <f>H26</f>
        <v>100</v>
      </c>
      <c r="V26" s="773" t="s">
        <v>17</v>
      </c>
      <c r="W26" s="774">
        <f>J26</f>
        <v>100</v>
      </c>
      <c r="X26" s="1812"/>
      <c r="Y26" s="3294"/>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94"/>
      <c r="Q27" s="1794">
        <f t="shared" si="11"/>
        <v>111</v>
      </c>
      <c r="R27" s="769" t="s">
        <v>17</v>
      </c>
      <c r="S27" s="770">
        <f>F27</f>
        <v>100</v>
      </c>
      <c r="T27" s="769" t="s">
        <v>17</v>
      </c>
      <c r="U27" s="770">
        <f>H27</f>
        <v>100</v>
      </c>
      <c r="V27" s="769" t="s">
        <v>17</v>
      </c>
      <c r="W27" s="770">
        <f>J27</f>
        <v>100</v>
      </c>
      <c r="X27" s="771"/>
      <c r="Y27" s="3294"/>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94"/>
      <c r="Q28" s="1809">
        <f t="shared" si="11"/>
        <v>111</v>
      </c>
      <c r="R28" s="773" t="s">
        <v>17</v>
      </c>
      <c r="S28" s="774">
        <f t="shared" ref="S28:S40" si="12">F28</f>
        <v>100</v>
      </c>
      <c r="T28" s="773" t="s">
        <v>17</v>
      </c>
      <c r="U28" s="774">
        <f t="shared" ref="U28:U40" si="13">H28</f>
        <v>100</v>
      </c>
      <c r="V28" s="773" t="s">
        <v>17</v>
      </c>
      <c r="W28" s="774">
        <f t="shared" ref="W28:W40" si="14">J28</f>
        <v>100</v>
      </c>
      <c r="X28" s="1812"/>
      <c r="Y28" s="3294"/>
      <c r="Z28" s="1813">
        <f t="shared" ref="Z28:Z40" si="15">Q28</f>
        <v>111</v>
      </c>
      <c r="AA28" s="1810">
        <f t="shared" si="3"/>
        <v>1</v>
      </c>
      <c r="AB28" s="1810">
        <f t="shared" si="4"/>
        <v>1</v>
      </c>
      <c r="AC28" s="1810">
        <f t="shared" si="5"/>
        <v>1</v>
      </c>
    </row>
    <row r="29" spans="1:29" ht="28.5">
      <c r="A29" s="465" t="s">
        <v>2560</v>
      </c>
      <c r="B29" s="71" t="s">
        <v>2690</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347" t="s">
        <v>2562</v>
      </c>
      <c r="Q29" s="1809" t="str">
        <f t="shared" si="11"/>
        <v>建筑类型</v>
      </c>
      <c r="R29" s="773" t="s">
        <v>17</v>
      </c>
      <c r="S29" s="774">
        <f t="shared" si="12"/>
        <v>100</v>
      </c>
      <c r="T29" s="773" t="s">
        <v>17</v>
      </c>
      <c r="U29" s="774">
        <f t="shared" si="13"/>
        <v>100</v>
      </c>
      <c r="V29" s="773" t="s">
        <v>17</v>
      </c>
      <c r="W29" s="774">
        <f t="shared" si="14"/>
        <v>100</v>
      </c>
      <c r="X29" s="1812"/>
      <c r="Y29" s="3298" t="s">
        <v>2562</v>
      </c>
      <c r="Z29" s="1813" t="str">
        <f t="shared" si="15"/>
        <v>建筑类型</v>
      </c>
      <c r="AA29" s="1810">
        <f t="shared" si="3"/>
        <v>1</v>
      </c>
      <c r="AB29" s="1810">
        <f t="shared" si="4"/>
        <v>1</v>
      </c>
      <c r="AC29" s="1810">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98"/>
      <c r="Q30" s="775" t="str">
        <f t="shared" si="11"/>
        <v>项目建筑规模</v>
      </c>
      <c r="R30" s="776" t="s">
        <v>17</v>
      </c>
      <c r="S30" s="777" t="e">
        <f t="shared" si="12"/>
        <v>#N/A</v>
      </c>
      <c r="T30" s="776" t="s">
        <v>17</v>
      </c>
      <c r="U30" s="777" t="e">
        <f t="shared" si="13"/>
        <v>#N/A</v>
      </c>
      <c r="V30" s="776" t="s">
        <v>17</v>
      </c>
      <c r="W30" s="777" t="e">
        <f t="shared" si="14"/>
        <v>#N/A</v>
      </c>
      <c r="X30" s="778"/>
      <c r="Y30" s="3298"/>
      <c r="Z30" s="779" t="str">
        <f t="shared" si="15"/>
        <v>项目建筑规模</v>
      </c>
      <c r="AA30" s="1810" t="e">
        <f t="shared" si="3"/>
        <v>#N/A</v>
      </c>
      <c r="AB30" s="1810" t="e">
        <f t="shared" si="4"/>
        <v>#N/A</v>
      </c>
      <c r="AC30" s="1810"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98"/>
      <c r="Q31" s="1809" t="str">
        <f t="shared" si="11"/>
        <v>建筑结构</v>
      </c>
      <c r="R31" s="773" t="s">
        <v>17</v>
      </c>
      <c r="S31" s="774">
        <f t="shared" si="12"/>
        <v>100</v>
      </c>
      <c r="T31" s="773" t="s">
        <v>17</v>
      </c>
      <c r="U31" s="774">
        <f t="shared" si="13"/>
        <v>100</v>
      </c>
      <c r="V31" s="773" t="s">
        <v>17</v>
      </c>
      <c r="W31" s="774">
        <f t="shared" si="14"/>
        <v>100</v>
      </c>
      <c r="X31" s="1812"/>
      <c r="Y31" s="3298"/>
      <c r="Z31" s="1813" t="str">
        <f t="shared" si="15"/>
        <v>建筑结构</v>
      </c>
      <c r="AA31" s="1810">
        <f t="shared" si="3"/>
        <v>1</v>
      </c>
      <c r="AB31" s="1810">
        <f t="shared" si="4"/>
        <v>1</v>
      </c>
      <c r="AC31" s="1810">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98"/>
      <c r="Q32" s="1809" t="str">
        <f t="shared" si="11"/>
        <v>公共部分装修</v>
      </c>
      <c r="R32" s="773" t="s">
        <v>17</v>
      </c>
      <c r="S32" s="774">
        <f t="shared" si="12"/>
        <v>100</v>
      </c>
      <c r="T32" s="773" t="s">
        <v>17</v>
      </c>
      <c r="U32" s="774">
        <f t="shared" si="13"/>
        <v>100</v>
      </c>
      <c r="V32" s="773" t="s">
        <v>17</v>
      </c>
      <c r="W32" s="774">
        <f t="shared" si="14"/>
        <v>100</v>
      </c>
      <c r="X32" s="1812"/>
      <c r="Y32" s="3298"/>
      <c r="Z32" s="1813" t="str">
        <f t="shared" si="15"/>
        <v>公共部分装修</v>
      </c>
      <c r="AA32" s="1810">
        <f t="shared" si="3"/>
        <v>1</v>
      </c>
      <c r="AB32" s="1810">
        <f t="shared" si="4"/>
        <v>1</v>
      </c>
      <c r="AC32" s="1810">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98"/>
      <c r="Q33" s="1809" t="str">
        <f t="shared" si="11"/>
        <v>成新度</v>
      </c>
      <c r="R33" s="773" t="s">
        <v>17</v>
      </c>
      <c r="S33" s="774" t="e">
        <f t="shared" si="12"/>
        <v>#N/A</v>
      </c>
      <c r="T33" s="773" t="s">
        <v>17</v>
      </c>
      <c r="U33" s="774" t="e">
        <f t="shared" si="13"/>
        <v>#N/A</v>
      </c>
      <c r="V33" s="773" t="s">
        <v>17</v>
      </c>
      <c r="W33" s="774" t="e">
        <f t="shared" si="14"/>
        <v>#N/A</v>
      </c>
      <c r="X33" s="1812"/>
      <c r="Y33" s="3298"/>
      <c r="Z33" s="1813" t="str">
        <f t="shared" si="15"/>
        <v>成新度</v>
      </c>
      <c r="AA33" s="1810" t="e">
        <f t="shared" si="3"/>
        <v>#N/A</v>
      </c>
      <c r="AB33" s="1810" t="e">
        <f t="shared" si="4"/>
        <v>#N/A</v>
      </c>
      <c r="AC33" s="1810"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98"/>
      <c r="Q34" s="1794" t="str">
        <f t="shared" si="11"/>
        <v>物业管理</v>
      </c>
      <c r="R34" s="769" t="s">
        <v>17</v>
      </c>
      <c r="S34" s="770">
        <f t="shared" si="12"/>
        <v>100</v>
      </c>
      <c r="T34" s="769" t="s">
        <v>17</v>
      </c>
      <c r="U34" s="770">
        <f t="shared" si="13"/>
        <v>100</v>
      </c>
      <c r="V34" s="769" t="s">
        <v>17</v>
      </c>
      <c r="W34" s="770">
        <f t="shared" si="14"/>
        <v>100</v>
      </c>
      <c r="X34" s="771"/>
      <c r="Y34" s="3298"/>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98" t="s">
        <v>2562</v>
      </c>
      <c r="Q35" s="1809" t="str">
        <f t="shared" si="11"/>
        <v>市政基础设施</v>
      </c>
      <c r="R35" s="773" t="s">
        <v>17</v>
      </c>
      <c r="S35" s="774">
        <f t="shared" si="12"/>
        <v>100</v>
      </c>
      <c r="T35" s="773" t="s">
        <v>17</v>
      </c>
      <c r="U35" s="774">
        <f t="shared" si="13"/>
        <v>100</v>
      </c>
      <c r="V35" s="773" t="s">
        <v>17</v>
      </c>
      <c r="W35" s="774">
        <f t="shared" si="14"/>
        <v>100</v>
      </c>
      <c r="X35" s="1812"/>
      <c r="Y35" s="3298" t="s">
        <v>2562</v>
      </c>
      <c r="Z35" s="1813" t="str">
        <f t="shared" si="15"/>
        <v>市政基础设施</v>
      </c>
      <c r="AA35" s="1810">
        <f t="shared" si="3"/>
        <v>1</v>
      </c>
      <c r="AB35" s="1810">
        <f t="shared" si="4"/>
        <v>1</v>
      </c>
      <c r="AC35" s="1810">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98"/>
      <c r="Q36" s="1809" t="str">
        <f t="shared" si="11"/>
        <v>内部装修</v>
      </c>
      <c r="R36" s="773" t="s">
        <v>17</v>
      </c>
      <c r="S36" s="774">
        <f t="shared" si="12"/>
        <v>100</v>
      </c>
      <c r="T36" s="773" t="s">
        <v>17</v>
      </c>
      <c r="U36" s="774">
        <f t="shared" si="13"/>
        <v>100</v>
      </c>
      <c r="V36" s="773" t="s">
        <v>17</v>
      </c>
      <c r="W36" s="774">
        <f t="shared" si="14"/>
        <v>100</v>
      </c>
      <c r="X36" s="1812"/>
      <c r="Y36" s="3298"/>
      <c r="Z36" s="1813" t="str">
        <f t="shared" si="15"/>
        <v>内部装修</v>
      </c>
      <c r="AA36" s="1810">
        <f t="shared" si="3"/>
        <v>1</v>
      </c>
      <c r="AB36" s="1810">
        <f t="shared" si="4"/>
        <v>1</v>
      </c>
      <c r="AC36" s="1810">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98"/>
      <c r="Q37" s="1809" t="str">
        <f t="shared" si="11"/>
        <v>内部装修状况</v>
      </c>
      <c r="R37" s="773" t="s">
        <v>17</v>
      </c>
      <c r="S37" s="774">
        <f t="shared" si="12"/>
        <v>100</v>
      </c>
      <c r="T37" s="773" t="s">
        <v>17</v>
      </c>
      <c r="U37" s="774">
        <f t="shared" si="13"/>
        <v>100</v>
      </c>
      <c r="V37" s="773" t="s">
        <v>17</v>
      </c>
      <c r="W37" s="774">
        <f t="shared" si="14"/>
        <v>100</v>
      </c>
      <c r="X37" s="1812"/>
      <c r="Y37" s="3298"/>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98"/>
      <c r="Q38" s="775">
        <f t="shared" si="11"/>
        <v>111</v>
      </c>
      <c r="R38" s="776" t="s">
        <v>17</v>
      </c>
      <c r="S38" s="777">
        <f t="shared" si="12"/>
        <v>100</v>
      </c>
      <c r="T38" s="776" t="s">
        <v>17</v>
      </c>
      <c r="U38" s="777">
        <f t="shared" si="13"/>
        <v>100</v>
      </c>
      <c r="V38" s="776" t="s">
        <v>17</v>
      </c>
      <c r="W38" s="777">
        <f t="shared" si="14"/>
        <v>100</v>
      </c>
      <c r="X38" s="778"/>
      <c r="Y38" s="3298"/>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98"/>
      <c r="Q39" s="1809">
        <f t="shared" si="11"/>
        <v>111</v>
      </c>
      <c r="R39" s="773" t="s">
        <v>17</v>
      </c>
      <c r="S39" s="774">
        <f t="shared" si="12"/>
        <v>100</v>
      </c>
      <c r="T39" s="773" t="s">
        <v>17</v>
      </c>
      <c r="U39" s="774">
        <f t="shared" si="13"/>
        <v>100</v>
      </c>
      <c r="V39" s="773" t="s">
        <v>17</v>
      </c>
      <c r="W39" s="774">
        <f t="shared" si="14"/>
        <v>100</v>
      </c>
      <c r="X39" s="1812"/>
      <c r="Y39" s="3298"/>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99"/>
      <c r="Q40" s="1809">
        <f t="shared" si="11"/>
        <v>111</v>
      </c>
      <c r="R40" s="773" t="s">
        <v>17</v>
      </c>
      <c r="S40" s="774">
        <f t="shared" si="12"/>
        <v>100</v>
      </c>
      <c r="T40" s="773" t="s">
        <v>17</v>
      </c>
      <c r="U40" s="774">
        <f t="shared" si="13"/>
        <v>100</v>
      </c>
      <c r="V40" s="773" t="s">
        <v>17</v>
      </c>
      <c r="W40" s="774">
        <f t="shared" si="14"/>
        <v>100</v>
      </c>
      <c r="X40" s="1812"/>
      <c r="Y40" s="3299"/>
      <c r="Z40" s="1813">
        <f t="shared" si="15"/>
        <v>111</v>
      </c>
      <c r="AA40" s="1810">
        <f t="shared" si="3"/>
        <v>1</v>
      </c>
      <c r="AB40" s="1810">
        <f t="shared" si="4"/>
        <v>1</v>
      </c>
      <c r="AC40" s="1810">
        <f t="shared" si="5"/>
        <v>1</v>
      </c>
    </row>
    <row r="41" spans="1:29" ht="15">
      <c r="A41" s="478" t="s">
        <v>2574</v>
      </c>
      <c r="B41" s="479"/>
      <c r="C41" s="1406" t="s">
        <v>1</v>
      </c>
      <c r="D41" s="1407"/>
      <c r="E41" s="1408"/>
      <c r="F41" s="1409"/>
      <c r="G41" s="1410"/>
      <c r="H41" s="1411"/>
      <c r="I41" s="1408"/>
      <c r="J41" s="1411"/>
      <c r="K41" s="782"/>
      <c r="L41" s="1142"/>
      <c r="M41" s="1143"/>
      <c r="N41" s="1130"/>
      <c r="O41" s="1143"/>
      <c r="P41" s="3300" t="str">
        <f>A41</f>
        <v>成交单价（元/平方米）</v>
      </c>
      <c r="Q41" s="3300"/>
      <c r="R41" s="3301">
        <f>E41</f>
        <v>0</v>
      </c>
      <c r="S41" s="3301"/>
      <c r="T41" s="3301">
        <f>G41</f>
        <v>0</v>
      </c>
      <c r="U41" s="3301"/>
      <c r="V41" s="3301">
        <f>I41</f>
        <v>0</v>
      </c>
      <c r="W41" s="3301"/>
      <c r="X41" s="758"/>
      <c r="Y41" s="780"/>
      <c r="Z41" s="758"/>
      <c r="AA41" s="758"/>
      <c r="AB41" s="758"/>
      <c r="AC41" s="758"/>
    </row>
    <row r="42" spans="1:29" ht="15.7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300" t="str">
        <f>A42</f>
        <v>比较价值（元/平方米）</v>
      </c>
      <c r="Q42" s="3300"/>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8"/>
      <c r="Y42" s="758"/>
      <c r="Z42" s="758"/>
      <c r="AA42" s="758"/>
      <c r="AB42" s="758"/>
      <c r="AC42" s="758"/>
    </row>
    <row r="43" spans="1:29" ht="15.75" thickBot="1">
      <c r="A43" s="491" t="s">
        <v>2667</v>
      </c>
      <c r="B43" s="492"/>
      <c r="C43" s="1416" t="e">
        <f>R43</f>
        <v>#DIV/0!</v>
      </c>
      <c r="D43" s="1416"/>
      <c r="E43" s="1416"/>
      <c r="F43" s="1416"/>
      <c r="G43" s="1416"/>
      <c r="H43" s="1416"/>
      <c r="I43" s="1416"/>
      <c r="J43" s="1416"/>
      <c r="K43" s="784"/>
      <c r="L43" s="1142"/>
      <c r="M43" s="1143"/>
      <c r="N43" s="1143"/>
      <c r="O43" s="1143"/>
      <c r="P43" s="3302" t="str">
        <f>A43</f>
        <v>估价对象XX用房的比较价值（楼面单价，元/平方米）</v>
      </c>
      <c r="Q43" s="3303"/>
      <c r="R43" s="3304" t="e">
        <f>IF(F1="售价",ROUND(AVERAGE(R42:V42),0),ROUND(AVERAGE(R42:V42),1))</f>
        <v>#DIV/0!</v>
      </c>
      <c r="S43" s="3304"/>
      <c r="T43" s="3304"/>
      <c r="U43" s="3304"/>
      <c r="V43" s="3304"/>
      <c r="W43" s="330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2"/>
      <c r="Q51" s="503"/>
    </row>
    <row r="52" spans="1:17" s="507" customFormat="1" ht="15">
      <c r="A52" s="504" t="s">
        <v>2545</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2560</v>
      </c>
      <c r="B88" s="527" t="s">
        <v>2609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C31" sqref="C3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t="s">
        <v>1373</v>
      </c>
      <c r="C1" s="1619" t="s">
        <v>2527</v>
      </c>
      <c r="D1" s="1620" t="s">
        <v>3069</v>
      </c>
      <c r="E1" s="1621"/>
      <c r="F1" s="2584" t="s">
        <v>3221</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2324</v>
      </c>
      <c r="B2" s="1417">
        <f>IF(C2="——",IF(B37="元/平方米",ROUND(C39*D3/10000,0),ROUND(F3*C39/10000,0)),IF(B37="元/平方米",ROUND(C39*D3/10000,0),ROUND(F3*C39/10000,0))-D2)</f>
        <v>3315</v>
      </c>
      <c r="C2" s="2586" t="s">
        <v>70</v>
      </c>
      <c r="D2" s="1123" t="e">
        <f ca="1">SUMIF(INDIRECT("'"&amp;F2&amp;"'"&amp;"!A:A"),"承租人权益价值",INDIRECT("'"&amp;F2&amp;"'"&amp;"!c:c"))</f>
        <v>#REF!</v>
      </c>
      <c r="E2" s="2587" t="s">
        <v>2325</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2326</v>
      </c>
      <c r="B3" s="608">
        <f>IF(AND(C2="——",B37="元/平方米"),C39,ROUND(B2*10000/D3,0))</f>
        <v>9313</v>
      </c>
      <c r="C3" s="399" t="s">
        <v>2641</v>
      </c>
      <c r="D3" s="398">
        <f>SUMIF('数据-汇总表'!$C19:$C33,D1,'数据-汇总表'!$E19:$E33)</f>
        <v>3559.58</v>
      </c>
      <c r="E3" s="399" t="s">
        <v>2705</v>
      </c>
      <c r="F3" s="398">
        <f>SUMIF('数据-取费表'!A5:A15,D1,'数据-取费表'!AH5:AH15)</f>
        <v>101</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2642</v>
      </c>
      <c r="B4" s="401"/>
      <c r="C4" s="3278" t="s">
        <v>2643</v>
      </c>
      <c r="D4" s="3279"/>
      <c r="E4" s="3280" t="s">
        <v>2644</v>
      </c>
      <c r="F4" s="3281"/>
      <c r="G4" s="3278" t="s">
        <v>2645</v>
      </c>
      <c r="H4" s="3279"/>
      <c r="I4" s="3278" t="s">
        <v>2646</v>
      </c>
      <c r="J4" s="3279"/>
      <c r="K4" s="609" t="s">
        <v>2647</v>
      </c>
      <c r="L4" s="1129"/>
      <c r="M4" s="1130"/>
      <c r="N4" s="1130"/>
      <c r="O4" s="1130"/>
      <c r="P4" s="3282" t="s">
        <v>2648</v>
      </c>
      <c r="Q4" s="3283"/>
      <c r="R4" s="3264" t="s">
        <v>2644</v>
      </c>
      <c r="S4" s="3265"/>
      <c r="T4" s="3264" t="s">
        <v>2645</v>
      </c>
      <c r="U4" s="3265"/>
      <c r="V4" s="3261" t="s">
        <v>2646</v>
      </c>
      <c r="W4" s="3261"/>
      <c r="X4" s="1812"/>
      <c r="Y4" s="3264" t="s">
        <v>2648</v>
      </c>
      <c r="Z4" s="3265"/>
      <c r="AA4" s="3258" t="s">
        <v>2644</v>
      </c>
      <c r="AB4" s="3259" t="s">
        <v>2645</v>
      </c>
      <c r="AC4" s="3258" t="s">
        <v>2646</v>
      </c>
    </row>
    <row r="5" spans="1:29" ht="15">
      <c r="A5" s="403"/>
      <c r="B5" s="404"/>
      <c r="C5" s="3270" t="s">
        <v>2539</v>
      </c>
      <c r="D5" s="3271"/>
      <c r="E5" s="3268" t="s">
        <v>3225</v>
      </c>
      <c r="F5" s="3269"/>
      <c r="G5" s="3274" t="s">
        <v>3257</v>
      </c>
      <c r="H5" s="3271"/>
      <c r="I5" s="3274" t="s">
        <v>3259</v>
      </c>
      <c r="J5" s="3271"/>
      <c r="K5" s="609"/>
      <c r="L5" s="1129"/>
      <c r="M5" s="1130"/>
      <c r="N5" s="1130"/>
      <c r="O5" s="1130"/>
      <c r="P5" s="3284"/>
      <c r="Q5" s="3285"/>
      <c r="R5" s="3266"/>
      <c r="S5" s="3267"/>
      <c r="T5" s="3266"/>
      <c r="U5" s="3267"/>
      <c r="V5" s="3261"/>
      <c r="W5" s="3261"/>
      <c r="X5" s="1812"/>
      <c r="Y5" s="3266"/>
      <c r="Z5" s="3267"/>
      <c r="AA5" s="3259"/>
      <c r="AB5" s="3259"/>
      <c r="AC5" s="3259"/>
    </row>
    <row r="6" spans="1:29" ht="15.75" thickBot="1">
      <c r="A6" s="405"/>
      <c r="B6" s="406"/>
      <c r="C6" s="3272" t="s">
        <v>2543</v>
      </c>
      <c r="D6" s="3273"/>
      <c r="E6" s="3275" t="s">
        <v>2543</v>
      </c>
      <c r="F6" s="3276"/>
      <c r="G6" s="3272" t="s">
        <v>2543</v>
      </c>
      <c r="H6" s="3273"/>
      <c r="I6" s="3272" t="s">
        <v>2543</v>
      </c>
      <c r="J6" s="3273"/>
      <c r="K6" s="609" t="s">
        <v>2544</v>
      </c>
      <c r="L6" s="1129"/>
      <c r="M6" s="1130"/>
      <c r="N6" s="1130"/>
      <c r="O6" s="1130"/>
      <c r="P6" s="3286"/>
      <c r="Q6" s="3287"/>
      <c r="R6" s="3266"/>
      <c r="S6" s="3267"/>
      <c r="T6" s="3288"/>
      <c r="U6" s="3289"/>
      <c r="V6" s="3261"/>
      <c r="W6" s="3261"/>
      <c r="X6" s="1812"/>
      <c r="Y6" s="3288"/>
      <c r="Z6" s="3289"/>
      <c r="AA6" s="3260"/>
      <c r="AB6" s="3260"/>
      <c r="AC6" s="3260"/>
    </row>
    <row r="7" spans="1:29" s="116" customFormat="1" ht="15.75" thickBot="1">
      <c r="A7" s="407" t="s">
        <v>2545</v>
      </c>
      <c r="B7" s="408"/>
      <c r="C7" s="409">
        <f>'数据-取费表'!B2</f>
        <v>43634</v>
      </c>
      <c r="D7" s="410">
        <v>100</v>
      </c>
      <c r="E7" s="411">
        <v>43606</v>
      </c>
      <c r="F7" s="412">
        <f>SUMIF(48:48,YEAR(E7)&amp;"-"&amp;MONTH(E7),49:49)</f>
        <v>100</v>
      </c>
      <c r="G7" s="411">
        <v>43600</v>
      </c>
      <c r="H7" s="410">
        <f>SUMIF(48:48,YEAR(G7)&amp;"-"&amp;MONTH(G7),49:49)</f>
        <v>100</v>
      </c>
      <c r="I7" s="411">
        <v>43579</v>
      </c>
      <c r="J7" s="410">
        <f>SUMIF(48:48,YEAR(I7)&amp;"-"&amp;MONTH(I7),49:49)</f>
        <v>100</v>
      </c>
      <c r="K7" s="610"/>
      <c r="L7" s="1131"/>
      <c r="M7" s="1132"/>
      <c r="N7" s="1132"/>
      <c r="O7" s="1132"/>
      <c r="P7" s="3262" t="s">
        <v>2546</v>
      </c>
      <c r="Q7" s="3290"/>
      <c r="R7" s="769" t="s">
        <v>17</v>
      </c>
      <c r="S7" s="770">
        <f t="shared" ref="S7:S14" si="0">F7</f>
        <v>100</v>
      </c>
      <c r="T7" s="769" t="s">
        <v>17</v>
      </c>
      <c r="U7" s="770">
        <f t="shared" ref="U7:U14" si="1">H7</f>
        <v>100</v>
      </c>
      <c r="V7" s="769" t="s">
        <v>17</v>
      </c>
      <c r="W7" s="770">
        <f t="shared" ref="W7:W14" si="2">J7</f>
        <v>100</v>
      </c>
      <c r="X7" s="771"/>
      <c r="Y7" s="3262" t="s">
        <v>2546</v>
      </c>
      <c r="Z7" s="3263"/>
      <c r="AA7" s="772">
        <f>D7/F7</f>
        <v>1</v>
      </c>
      <c r="AB7" s="772">
        <f>D7/H7</f>
        <v>1</v>
      </c>
      <c r="AC7" s="772">
        <f>D7/J7</f>
        <v>1</v>
      </c>
    </row>
    <row r="8" spans="1:29" s="116" customFormat="1" ht="15.75" thickBot="1">
      <c r="A8" s="407" t="s">
        <v>2547</v>
      </c>
      <c r="B8" s="408"/>
      <c r="C8" s="413" t="s">
        <v>2649</v>
      </c>
      <c r="D8" s="410">
        <v>100</v>
      </c>
      <c r="E8" s="413" t="s">
        <v>3226</v>
      </c>
      <c r="F8" s="412">
        <f>SUMIF(51:51,E8,52:52)-SUMIF(51:51,C8,52:52)+100</f>
        <v>100</v>
      </c>
      <c r="G8" s="413" t="s">
        <v>3226</v>
      </c>
      <c r="H8" s="410">
        <f>SUMIF(51:51,G8,52:52)-SUMIF(51:51,C8,52:52)+100</f>
        <v>100</v>
      </c>
      <c r="I8" s="413" t="s">
        <v>3226</v>
      </c>
      <c r="J8" s="410">
        <f>SUMIF(51:51,I8,52:52)-SUMIF(51:51,C8,52:52)+100</f>
        <v>100</v>
      </c>
      <c r="K8" s="610"/>
      <c r="L8" s="1131"/>
      <c r="M8" s="1132"/>
      <c r="N8" s="1132"/>
      <c r="O8" s="1132"/>
      <c r="P8" s="3262" t="s">
        <v>2549</v>
      </c>
      <c r="Q8" s="3263"/>
      <c r="R8" s="769" t="s">
        <v>17</v>
      </c>
      <c r="S8" s="770">
        <f t="shared" si="0"/>
        <v>100</v>
      </c>
      <c r="T8" s="769" t="s">
        <v>17</v>
      </c>
      <c r="U8" s="770">
        <f t="shared" si="1"/>
        <v>100</v>
      </c>
      <c r="V8" s="769" t="s">
        <v>17</v>
      </c>
      <c r="W8" s="770">
        <f t="shared" si="2"/>
        <v>100</v>
      </c>
      <c r="X8" s="771"/>
      <c r="Y8" s="3262" t="s">
        <v>2549</v>
      </c>
      <c r="Z8" s="3263"/>
      <c r="AA8" s="772">
        <f t="shared" ref="AA8:AA36" si="3">D8/F8</f>
        <v>1</v>
      </c>
      <c r="AB8" s="772">
        <f t="shared" ref="AB8:AB36" si="4">D8/H8</f>
        <v>1</v>
      </c>
      <c r="AC8" s="772">
        <f t="shared" ref="AC8:AC36" si="5">D8/J8</f>
        <v>1</v>
      </c>
    </row>
    <row r="9" spans="1:29" s="116" customFormat="1">
      <c r="A9" s="68" t="s">
        <v>2550</v>
      </c>
      <c r="B9" s="639" t="s">
        <v>2551</v>
      </c>
      <c r="C9" s="3039" t="s">
        <v>3227</v>
      </c>
      <c r="D9" s="134">
        <v>100</v>
      </c>
      <c r="E9" s="418" t="s">
        <v>3069</v>
      </c>
      <c r="F9" s="134">
        <f>SUMIF(53:53,E9,54:54)-SUMIF(53:53,C9,54:54)+100</f>
        <v>100</v>
      </c>
      <c r="G9" s="416" t="s">
        <v>3069</v>
      </c>
      <c r="H9" s="134">
        <f>SUMIF(53:53,G9,54:54)-SUMIF(53:53,C9,54:54)+100</f>
        <v>100</v>
      </c>
      <c r="I9" s="416" t="s">
        <v>3069</v>
      </c>
      <c r="J9" s="134">
        <f>SUMIF(53:53,I9,54:54)-SUMIF(53:53,C9,54:54)+100</f>
        <v>100</v>
      </c>
      <c r="K9" s="610"/>
      <c r="L9" s="1131"/>
      <c r="M9" s="1132"/>
      <c r="N9" s="1132"/>
      <c r="O9" s="1132"/>
      <c r="P9" s="3300" t="s">
        <v>2552</v>
      </c>
      <c r="Q9" s="1794" t="str">
        <f t="shared" ref="Q9:Q14" si="6">B9</f>
        <v>用途</v>
      </c>
      <c r="R9" s="769" t="s">
        <v>17</v>
      </c>
      <c r="S9" s="770">
        <f t="shared" si="0"/>
        <v>100</v>
      </c>
      <c r="T9" s="769" t="s">
        <v>17</v>
      </c>
      <c r="U9" s="770">
        <f t="shared" si="1"/>
        <v>100</v>
      </c>
      <c r="V9" s="769" t="s">
        <v>17</v>
      </c>
      <c r="W9" s="770">
        <f t="shared" si="2"/>
        <v>100</v>
      </c>
      <c r="X9" s="771"/>
      <c r="Y9" s="3130" t="s">
        <v>2553</v>
      </c>
      <c r="Z9" s="55" t="str">
        <f t="shared" ref="Z9:Z14" si="7">Q9</f>
        <v>用途</v>
      </c>
      <c r="AA9" s="772">
        <f t="shared" si="3"/>
        <v>1</v>
      </c>
      <c r="AB9" s="772">
        <f t="shared" si="4"/>
        <v>1</v>
      </c>
      <c r="AC9" s="772">
        <f t="shared" si="5"/>
        <v>1</v>
      </c>
    </row>
    <row r="10" spans="1:29" s="426" customFormat="1" ht="27">
      <c r="A10" s="640"/>
      <c r="B10" s="641" t="s">
        <v>2554</v>
      </c>
      <c r="C10" s="422" t="s">
        <v>3228</v>
      </c>
      <c r="D10" s="135">
        <v>100</v>
      </c>
      <c r="E10" s="422" t="s">
        <v>3228</v>
      </c>
      <c r="F10" s="135">
        <f>SUMIF(55:55,E10,56:56)-SUMIF(55:55,C10,56:56)+100</f>
        <v>100</v>
      </c>
      <c r="G10" s="423" t="s">
        <v>3258</v>
      </c>
      <c r="H10" s="135">
        <f>SUMIF(55:55,G10,56:56)-SUMIF(55:55,C10,56:56)+100</f>
        <v>102</v>
      </c>
      <c r="I10" s="422" t="s">
        <v>3258</v>
      </c>
      <c r="J10" s="135">
        <f>SUMIF(55:55,I10,56:56)-SUMIF(55:55,C10,56:56)+100</f>
        <v>102</v>
      </c>
      <c r="K10" s="611">
        <v>2</v>
      </c>
      <c r="L10" s="1134"/>
      <c r="M10" s="1135"/>
      <c r="N10" s="1135"/>
      <c r="O10" s="1135"/>
      <c r="P10" s="3300"/>
      <c r="Q10" s="1794" t="str">
        <f t="shared" si="6"/>
        <v>土地使用年限（年）</v>
      </c>
      <c r="R10" s="769" t="s">
        <v>17</v>
      </c>
      <c r="S10" s="770">
        <f t="shared" si="0"/>
        <v>100</v>
      </c>
      <c r="T10" s="769" t="s">
        <v>17</v>
      </c>
      <c r="U10" s="770">
        <f t="shared" si="1"/>
        <v>102</v>
      </c>
      <c r="V10" s="769" t="s">
        <v>17</v>
      </c>
      <c r="W10" s="770">
        <f t="shared" si="2"/>
        <v>102</v>
      </c>
      <c r="X10" s="771"/>
      <c r="Y10" s="3130"/>
      <c r="Z10" s="55" t="str">
        <f t="shared" si="7"/>
        <v>土地使用年限（年）</v>
      </c>
      <c r="AA10" s="772">
        <f t="shared" si="3"/>
        <v>1</v>
      </c>
      <c r="AB10" s="772">
        <f t="shared" si="4"/>
        <v>0.98039215686274506</v>
      </c>
      <c r="AC10" s="772">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300"/>
      <c r="Q11" s="1794">
        <f t="shared" si="6"/>
        <v>111</v>
      </c>
      <c r="R11" s="769" t="s">
        <v>17</v>
      </c>
      <c r="S11" s="770">
        <f t="shared" si="0"/>
        <v>100</v>
      </c>
      <c r="T11" s="769" t="s">
        <v>17</v>
      </c>
      <c r="U11" s="770">
        <f t="shared" si="1"/>
        <v>100</v>
      </c>
      <c r="V11" s="769" t="s">
        <v>17</v>
      </c>
      <c r="W11" s="770">
        <f t="shared" si="2"/>
        <v>100</v>
      </c>
      <c r="X11" s="771"/>
      <c r="Y11" s="313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300"/>
      <c r="Q12" s="1794">
        <f t="shared" si="6"/>
        <v>111</v>
      </c>
      <c r="R12" s="769" t="s">
        <v>17</v>
      </c>
      <c r="S12" s="770">
        <f t="shared" si="0"/>
        <v>100</v>
      </c>
      <c r="T12" s="769" t="s">
        <v>17</v>
      </c>
      <c r="U12" s="770">
        <f t="shared" si="1"/>
        <v>100</v>
      </c>
      <c r="V12" s="769" t="s">
        <v>17</v>
      </c>
      <c r="W12" s="770">
        <f t="shared" si="2"/>
        <v>100</v>
      </c>
      <c r="X12" s="771"/>
      <c r="Y12" s="313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300"/>
      <c r="Q13" s="1794">
        <f t="shared" si="6"/>
        <v>111</v>
      </c>
      <c r="R13" s="769" t="s">
        <v>17</v>
      </c>
      <c r="S13" s="770">
        <f t="shared" si="0"/>
        <v>100</v>
      </c>
      <c r="T13" s="769" t="s">
        <v>17</v>
      </c>
      <c r="U13" s="770">
        <f t="shared" si="1"/>
        <v>100</v>
      </c>
      <c r="V13" s="769" t="s">
        <v>17</v>
      </c>
      <c r="W13" s="770">
        <f t="shared" si="2"/>
        <v>100</v>
      </c>
      <c r="X13" s="771"/>
      <c r="Y13" s="3130"/>
      <c r="Z13" s="55">
        <f t="shared" si="7"/>
        <v>111</v>
      </c>
      <c r="AA13" s="772">
        <f t="shared" si="3"/>
        <v>1</v>
      </c>
      <c r="AB13" s="772">
        <f t="shared" si="4"/>
        <v>1</v>
      </c>
      <c r="AC13" s="772">
        <f t="shared" si="5"/>
        <v>1</v>
      </c>
    </row>
    <row r="14" spans="1:29" ht="15">
      <c r="A14" s="400" t="s">
        <v>2556</v>
      </c>
      <c r="B14" s="628" t="s">
        <v>2706</v>
      </c>
      <c r="C14" s="2693" t="str">
        <f>IF(B1="工业",估价对象房地状况!G4,估价对象房地状况!C6)</f>
        <v>较好</v>
      </c>
      <c r="D14" s="440">
        <v>100</v>
      </c>
      <c r="E14" s="441"/>
      <c r="F14" s="442">
        <f>SUMIF(63:63,E15,64:64)-SUMIF(63:63,C15,64:64)+100</f>
        <v>98</v>
      </c>
      <c r="G14" s="443"/>
      <c r="H14" s="440">
        <f>SUMIF(63:63,G15,64:64)-SUMIF(63:63,C15,64:64)+100</f>
        <v>100</v>
      </c>
      <c r="I14" s="441"/>
      <c r="J14" s="440">
        <f>SUMIF(63:63,I15,64:64)-SUMIF(63:63,C15,64:64)+100</f>
        <v>98</v>
      </c>
      <c r="K14" s="613">
        <v>2</v>
      </c>
      <c r="L14" s="1139"/>
      <c r="M14" s="1130"/>
      <c r="N14" s="1130"/>
      <c r="O14" s="1130"/>
      <c r="P14" s="3293" t="s">
        <v>2557</v>
      </c>
      <c r="Q14" s="1809" t="str">
        <f t="shared" si="6"/>
        <v>交通便捷度</v>
      </c>
      <c r="R14" s="773" t="s">
        <v>17</v>
      </c>
      <c r="S14" s="774">
        <f t="shared" si="0"/>
        <v>98</v>
      </c>
      <c r="T14" s="773" t="s">
        <v>17</v>
      </c>
      <c r="U14" s="774">
        <f t="shared" si="1"/>
        <v>100</v>
      </c>
      <c r="V14" s="773" t="s">
        <v>17</v>
      </c>
      <c r="W14" s="774">
        <f t="shared" si="2"/>
        <v>98</v>
      </c>
      <c r="X14" s="1812"/>
      <c r="Y14" s="3293" t="s">
        <v>2557</v>
      </c>
      <c r="Z14" s="1813" t="str">
        <f t="shared" si="7"/>
        <v>交通便捷度</v>
      </c>
      <c r="AA14" s="1810">
        <f t="shared" si="3"/>
        <v>1.0204081632653061</v>
      </c>
      <c r="AB14" s="1810">
        <f t="shared" si="4"/>
        <v>1</v>
      </c>
      <c r="AC14" s="1810">
        <f t="shared" si="5"/>
        <v>1.0204081632653061</v>
      </c>
    </row>
    <row r="15" spans="1:29" ht="15">
      <c r="A15" s="403"/>
      <c r="B15" s="646"/>
      <c r="C15" s="446" t="s">
        <v>3229</v>
      </c>
      <c r="D15" s="447"/>
      <c r="E15" s="446" t="s">
        <v>3239</v>
      </c>
      <c r="F15" s="448"/>
      <c r="G15" s="446" t="s">
        <v>3229</v>
      </c>
      <c r="H15" s="449"/>
      <c r="I15" s="446" t="s">
        <v>3239</v>
      </c>
      <c r="J15" s="447"/>
      <c r="K15" s="614"/>
      <c r="L15" s="1139"/>
      <c r="M15" s="1130"/>
      <c r="N15" s="1130"/>
      <c r="O15" s="1130"/>
      <c r="P15" s="3294"/>
      <c r="Q15" s="1809"/>
      <c r="R15" s="773"/>
      <c r="S15" s="774"/>
      <c r="T15" s="773"/>
      <c r="U15" s="774"/>
      <c r="V15" s="773"/>
      <c r="W15" s="774"/>
      <c r="X15" s="1812"/>
      <c r="Y15" s="3294"/>
      <c r="Z15" s="1813"/>
      <c r="AA15" s="1810">
        <v>1</v>
      </c>
      <c r="AB15" s="1810">
        <v>1</v>
      </c>
      <c r="AC15" s="1810">
        <v>1</v>
      </c>
    </row>
    <row r="16" spans="1:29" ht="15">
      <c r="A16" s="403"/>
      <c r="B16" s="630" t="s">
        <v>2685</v>
      </c>
      <c r="C16" s="2607"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v>2</v>
      </c>
      <c r="L16" s="1139"/>
      <c r="M16" s="1130"/>
      <c r="N16" s="1130"/>
      <c r="O16" s="1130"/>
      <c r="P16" s="3294"/>
      <c r="Q16" s="1809" t="str">
        <f>B16</f>
        <v>公共配套设施</v>
      </c>
      <c r="R16" s="773" t="s">
        <v>17</v>
      </c>
      <c r="S16" s="774">
        <f>F16</f>
        <v>100</v>
      </c>
      <c r="T16" s="773" t="s">
        <v>17</v>
      </c>
      <c r="U16" s="774">
        <f>H16</f>
        <v>100</v>
      </c>
      <c r="V16" s="773" t="s">
        <v>17</v>
      </c>
      <c r="W16" s="774">
        <f>J16</f>
        <v>100</v>
      </c>
      <c r="X16" s="1812"/>
      <c r="Y16" s="3294"/>
      <c r="Z16" s="1813" t="str">
        <f>Q16</f>
        <v>公共配套设施</v>
      </c>
      <c r="AA16" s="1810">
        <f t="shared" si="3"/>
        <v>1</v>
      </c>
      <c r="AB16" s="1810">
        <f t="shared" si="4"/>
        <v>1</v>
      </c>
      <c r="AC16" s="1810">
        <f t="shared" si="5"/>
        <v>1</v>
      </c>
    </row>
    <row r="17" spans="1:29" ht="15">
      <c r="A17" s="403"/>
      <c r="B17" s="631"/>
      <c r="C17" s="2608" t="s">
        <v>3229</v>
      </c>
      <c r="D17" s="447"/>
      <c r="E17" s="446" t="s">
        <v>3229</v>
      </c>
      <c r="F17" s="448"/>
      <c r="G17" s="446" t="s">
        <v>3229</v>
      </c>
      <c r="H17" s="447"/>
      <c r="I17" s="446" t="s">
        <v>3229</v>
      </c>
      <c r="J17" s="447"/>
      <c r="K17" s="614"/>
      <c r="L17" s="1139"/>
      <c r="M17" s="1130"/>
      <c r="N17" s="1130"/>
      <c r="O17" s="1130"/>
      <c r="P17" s="3294"/>
      <c r="Q17" s="1809"/>
      <c r="R17" s="773"/>
      <c r="S17" s="774"/>
      <c r="T17" s="773"/>
      <c r="U17" s="774"/>
      <c r="V17" s="773"/>
      <c r="W17" s="774"/>
      <c r="X17" s="1812"/>
      <c r="Y17" s="3294"/>
      <c r="Z17" s="1813"/>
      <c r="AA17" s="1810">
        <v>1</v>
      </c>
      <c r="AB17" s="1810">
        <v>1</v>
      </c>
      <c r="AC17" s="1810">
        <v>1</v>
      </c>
    </row>
    <row r="18" spans="1:29" ht="15">
      <c r="A18" s="403"/>
      <c r="B18" s="632" t="s">
        <v>2686</v>
      </c>
      <c r="C18" s="2607"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9"/>
      <c r="M18" s="1130"/>
      <c r="N18" s="1130"/>
      <c r="O18" s="1130"/>
      <c r="P18" s="3294"/>
      <c r="Q18" s="1809" t="str">
        <f>B18</f>
        <v>基础设施水平</v>
      </c>
      <c r="R18" s="773" t="s">
        <v>17</v>
      </c>
      <c r="S18" s="774">
        <f>F18</f>
        <v>100</v>
      </c>
      <c r="T18" s="773" t="s">
        <v>17</v>
      </c>
      <c r="U18" s="774">
        <f>H18</f>
        <v>100</v>
      </c>
      <c r="V18" s="773" t="s">
        <v>17</v>
      </c>
      <c r="W18" s="774">
        <f>J18</f>
        <v>100</v>
      </c>
      <c r="X18" s="1812"/>
      <c r="Y18" s="3294"/>
      <c r="Z18" s="1813" t="str">
        <f>Q18</f>
        <v>基础设施水平</v>
      </c>
      <c r="AA18" s="1810">
        <f t="shared" ref="AA18" si="8">D18/F18</f>
        <v>1</v>
      </c>
      <c r="AB18" s="1810">
        <f t="shared" ref="AB18" si="9">D18/H18</f>
        <v>1</v>
      </c>
      <c r="AC18" s="1810">
        <f t="shared" ref="AC18" si="10">D18/J18</f>
        <v>1</v>
      </c>
    </row>
    <row r="19" spans="1:29" ht="15">
      <c r="A19" s="403"/>
      <c r="B19" s="632"/>
      <c r="C19" s="2608" t="s">
        <v>3230</v>
      </c>
      <c r="D19" s="449"/>
      <c r="E19" s="2608" t="s">
        <v>3230</v>
      </c>
      <c r="F19" s="452"/>
      <c r="G19" s="2608" t="s">
        <v>3230</v>
      </c>
      <c r="H19" s="447"/>
      <c r="I19" s="2608" t="s">
        <v>3230</v>
      </c>
      <c r="J19" s="447"/>
      <c r="K19" s="1382"/>
      <c r="L19" s="1139"/>
      <c r="M19" s="1130"/>
      <c r="N19" s="1130"/>
      <c r="O19" s="1130"/>
      <c r="P19" s="3294"/>
      <c r="Q19" s="1809"/>
      <c r="R19" s="773"/>
      <c r="S19" s="774"/>
      <c r="T19" s="773"/>
      <c r="U19" s="774"/>
      <c r="V19" s="773"/>
      <c r="W19" s="774"/>
      <c r="X19" s="1812"/>
      <c r="Y19" s="3294"/>
      <c r="Z19" s="1813"/>
      <c r="AA19" s="1810">
        <v>1</v>
      </c>
      <c r="AB19" s="1810">
        <v>1</v>
      </c>
      <c r="AC19" s="1810">
        <v>1</v>
      </c>
    </row>
    <row r="20" spans="1:29" ht="15">
      <c r="A20" s="403"/>
      <c r="B20" s="630" t="s">
        <v>2707</v>
      </c>
      <c r="C20" s="2607"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v>2</v>
      </c>
      <c r="L20" s="1139"/>
      <c r="M20" s="1130"/>
      <c r="N20" s="1130"/>
      <c r="O20" s="1130"/>
      <c r="P20" s="3294"/>
      <c r="Q20" s="1809" t="str">
        <f>B20</f>
        <v>自然及人文环境</v>
      </c>
      <c r="R20" s="773" t="s">
        <v>17</v>
      </c>
      <c r="S20" s="774">
        <f>F20</f>
        <v>100</v>
      </c>
      <c r="T20" s="773" t="s">
        <v>17</v>
      </c>
      <c r="U20" s="774">
        <f>H20</f>
        <v>100</v>
      </c>
      <c r="V20" s="773" t="s">
        <v>17</v>
      </c>
      <c r="W20" s="774">
        <f>J20</f>
        <v>100</v>
      </c>
      <c r="X20" s="1812"/>
      <c r="Y20" s="3294"/>
      <c r="Z20" s="1813" t="str">
        <f>Q20</f>
        <v>自然及人文环境</v>
      </c>
      <c r="AA20" s="1810">
        <f t="shared" si="3"/>
        <v>1</v>
      </c>
      <c r="AB20" s="1810">
        <f t="shared" si="4"/>
        <v>1</v>
      </c>
      <c r="AC20" s="1810">
        <f t="shared" si="5"/>
        <v>1</v>
      </c>
    </row>
    <row r="21" spans="1:29" ht="15">
      <c r="A21" s="403"/>
      <c r="B21" s="631"/>
      <c r="C21" s="446" t="s">
        <v>3239</v>
      </c>
      <c r="D21" s="447"/>
      <c r="E21" s="446" t="s">
        <v>3239</v>
      </c>
      <c r="F21" s="448"/>
      <c r="G21" s="446" t="s">
        <v>3239</v>
      </c>
      <c r="H21" s="447"/>
      <c r="I21" s="446" t="s">
        <v>3239</v>
      </c>
      <c r="J21" s="447"/>
      <c r="K21" s="614"/>
      <c r="L21" s="1139"/>
      <c r="M21" s="1130"/>
      <c r="N21" s="1130"/>
      <c r="O21" s="1130"/>
      <c r="P21" s="3294"/>
      <c r="Q21" s="1809"/>
      <c r="R21" s="773"/>
      <c r="S21" s="774"/>
      <c r="T21" s="773"/>
      <c r="U21" s="774"/>
      <c r="V21" s="773"/>
      <c r="W21" s="774"/>
      <c r="X21" s="1812"/>
      <c r="Y21" s="3294"/>
      <c r="Z21" s="1813"/>
      <c r="AA21" s="1810">
        <v>1</v>
      </c>
      <c r="AB21" s="1810">
        <v>1</v>
      </c>
      <c r="AC21" s="1810">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94"/>
      <c r="Q22" s="1809" t="str">
        <f>B22</f>
        <v>楼层</v>
      </c>
      <c r="R22" s="773" t="s">
        <v>17</v>
      </c>
      <c r="S22" s="774">
        <f>F22</f>
        <v>100</v>
      </c>
      <c r="T22" s="773" t="s">
        <v>17</v>
      </c>
      <c r="U22" s="774">
        <f>H22</f>
        <v>100</v>
      </c>
      <c r="V22" s="773" t="s">
        <v>17</v>
      </c>
      <c r="W22" s="774">
        <f>J22</f>
        <v>100</v>
      </c>
      <c r="X22" s="1812"/>
      <c r="Y22" s="3294"/>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94"/>
      <c r="Q23" s="1809">
        <f>B23</f>
        <v>111</v>
      </c>
      <c r="R23" s="773" t="s">
        <v>17</v>
      </c>
      <c r="S23" s="774">
        <f>F23</f>
        <v>100</v>
      </c>
      <c r="T23" s="773" t="s">
        <v>17</v>
      </c>
      <c r="U23" s="774">
        <f>H23</f>
        <v>100</v>
      </c>
      <c r="V23" s="773" t="s">
        <v>17</v>
      </c>
      <c r="W23" s="774">
        <f>J23</f>
        <v>100</v>
      </c>
      <c r="X23" s="1812"/>
      <c r="Y23" s="3294"/>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94"/>
      <c r="Q24" s="1809">
        <f t="shared" ref="Q24:Q36" si="11">B24</f>
        <v>111</v>
      </c>
      <c r="R24" s="773" t="s">
        <v>17</v>
      </c>
      <c r="S24" s="774">
        <f>F24</f>
        <v>100</v>
      </c>
      <c r="T24" s="773" t="s">
        <v>17</v>
      </c>
      <c r="U24" s="774">
        <f>H24</f>
        <v>100</v>
      </c>
      <c r="V24" s="773" t="s">
        <v>17</v>
      </c>
      <c r="W24" s="774">
        <f>J24</f>
        <v>100</v>
      </c>
      <c r="X24" s="1812"/>
      <c r="Y24" s="3294"/>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94"/>
      <c r="Q25" s="1794">
        <f t="shared" si="11"/>
        <v>111</v>
      </c>
      <c r="R25" s="769" t="s">
        <v>17</v>
      </c>
      <c r="S25" s="770">
        <f>F25</f>
        <v>100</v>
      </c>
      <c r="T25" s="769" t="s">
        <v>17</v>
      </c>
      <c r="U25" s="770">
        <f>H25</f>
        <v>100</v>
      </c>
      <c r="V25" s="769" t="s">
        <v>17</v>
      </c>
      <c r="W25" s="770">
        <f>J25</f>
        <v>100</v>
      </c>
      <c r="X25" s="771"/>
      <c r="Y25" s="3294"/>
      <c r="Z25" s="55">
        <f>Q25</f>
        <v>111</v>
      </c>
      <c r="AA25" s="1810">
        <f>D25/F25</f>
        <v>1</v>
      </c>
      <c r="AB25" s="1810">
        <f>D25/H25</f>
        <v>1</v>
      </c>
      <c r="AC25" s="1810">
        <f>D25/J25</f>
        <v>1</v>
      </c>
    </row>
    <row r="26" spans="1:29" ht="28.5">
      <c r="A26" s="651" t="s">
        <v>2560</v>
      </c>
      <c r="B26" s="70" t="s">
        <v>2709</v>
      </c>
      <c r="C26" s="2694" t="str">
        <f>B1</f>
        <v>商业</v>
      </c>
      <c r="D26" s="447">
        <v>100</v>
      </c>
      <c r="E26" s="446" t="s">
        <v>3247</v>
      </c>
      <c r="F26" s="448">
        <f>SUMIF(79:79,E26,80:80)-SUMIF(79:79,C26,80:80)+100</f>
        <v>98</v>
      </c>
      <c r="G26" s="446" t="s">
        <v>3247</v>
      </c>
      <c r="H26" s="447">
        <f>SUMIF(79:79,G26,80:80)-SUMIF(79:79,C26,80:80)+100</f>
        <v>98</v>
      </c>
      <c r="I26" s="446" t="s">
        <v>3247</v>
      </c>
      <c r="J26" s="447">
        <f>SUMIF(79:79,I26,80:80)-SUMIF(79:79,C26,80:80)+100</f>
        <v>98</v>
      </c>
      <c r="K26" s="611">
        <v>2</v>
      </c>
      <c r="L26" s="1139"/>
      <c r="M26" s="1130"/>
      <c r="N26" s="1130"/>
      <c r="O26" s="1130"/>
      <c r="P26" s="3347" t="s">
        <v>2562</v>
      </c>
      <c r="Q26" s="1809" t="str">
        <f t="shared" si="11"/>
        <v>配套类型</v>
      </c>
      <c r="R26" s="773" t="s">
        <v>17</v>
      </c>
      <c r="S26" s="774">
        <f t="shared" ref="S26:S36" si="12">F26</f>
        <v>98</v>
      </c>
      <c r="T26" s="773" t="s">
        <v>17</v>
      </c>
      <c r="U26" s="774">
        <f t="shared" ref="U26:U36" si="13">H26</f>
        <v>98</v>
      </c>
      <c r="V26" s="773" t="s">
        <v>17</v>
      </c>
      <c r="W26" s="774">
        <f t="shared" ref="W26:W36" si="14">J26</f>
        <v>98</v>
      </c>
      <c r="X26" s="1812"/>
      <c r="Y26" s="3298" t="s">
        <v>2562</v>
      </c>
      <c r="Z26" s="1813" t="str">
        <f t="shared" ref="Z26:Z36" si="15">Q26</f>
        <v>配套类型</v>
      </c>
      <c r="AA26" s="1810">
        <f t="shared" si="3"/>
        <v>1.0204081632653061</v>
      </c>
      <c r="AB26" s="1810">
        <f t="shared" si="4"/>
        <v>1.0204081632653061</v>
      </c>
      <c r="AC26" s="1810">
        <f t="shared" si="5"/>
        <v>1.0204081632653061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98"/>
      <c r="Q27" s="775" t="str">
        <f t="shared" si="11"/>
        <v>项目停车位配比</v>
      </c>
      <c r="R27" s="776" t="s">
        <v>17</v>
      </c>
      <c r="S27" s="777">
        <f t="shared" si="12"/>
        <v>100</v>
      </c>
      <c r="T27" s="776" t="s">
        <v>17</v>
      </c>
      <c r="U27" s="777">
        <f t="shared" si="13"/>
        <v>100</v>
      </c>
      <c r="V27" s="776" t="s">
        <v>17</v>
      </c>
      <c r="W27" s="777">
        <f t="shared" si="14"/>
        <v>100</v>
      </c>
      <c r="X27" s="778"/>
      <c r="Y27" s="3298"/>
      <c r="Z27" s="779" t="str">
        <f t="shared" si="15"/>
        <v>项目停车位配比</v>
      </c>
      <c r="AA27" s="1810">
        <f t="shared" si="3"/>
        <v>1</v>
      </c>
      <c r="AB27" s="1810">
        <f t="shared" si="4"/>
        <v>1</v>
      </c>
      <c r="AC27" s="1810">
        <f t="shared" si="5"/>
        <v>1</v>
      </c>
    </row>
    <row r="28" spans="1:29" ht="15">
      <c r="A28" s="655"/>
      <c r="B28" s="653" t="s">
        <v>2711</v>
      </c>
      <c r="C28" s="459" t="s">
        <v>3255</v>
      </c>
      <c r="D28" s="434">
        <v>100</v>
      </c>
      <c r="E28" s="459" t="s">
        <v>3255</v>
      </c>
      <c r="F28" s="460">
        <f>SUMIF(83:83,E28,84:84)-SUMIF(83:83,C28,84:84)+100</f>
        <v>100</v>
      </c>
      <c r="G28" s="459" t="s">
        <v>3255</v>
      </c>
      <c r="H28" s="434">
        <f>SUMIF(83:83,G28,84:84)-SUMIF(83:83,C28,84:84)+100</f>
        <v>100</v>
      </c>
      <c r="I28" s="459" t="s">
        <v>3254</v>
      </c>
      <c r="J28" s="434">
        <f>SUMIF(83:83,I28,84:84)-SUMIF(83:83,C28,84:84)+100</f>
        <v>102</v>
      </c>
      <c r="K28" s="611">
        <v>2</v>
      </c>
      <c r="L28" s="1139"/>
      <c r="M28" s="1130"/>
      <c r="N28" s="1130"/>
      <c r="O28" s="1130"/>
      <c r="P28" s="3298"/>
      <c r="Q28" s="1809" t="str">
        <f t="shared" si="11"/>
        <v>公共部分装修</v>
      </c>
      <c r="R28" s="773" t="s">
        <v>17</v>
      </c>
      <c r="S28" s="774">
        <f t="shared" si="12"/>
        <v>100</v>
      </c>
      <c r="T28" s="773" t="s">
        <v>17</v>
      </c>
      <c r="U28" s="774">
        <f t="shared" si="13"/>
        <v>100</v>
      </c>
      <c r="V28" s="773" t="s">
        <v>17</v>
      </c>
      <c r="W28" s="774">
        <f t="shared" si="14"/>
        <v>102</v>
      </c>
      <c r="X28" s="1812"/>
      <c r="Y28" s="3298"/>
      <c r="Z28" s="1813" t="str">
        <f t="shared" si="15"/>
        <v>公共部分装修</v>
      </c>
      <c r="AA28" s="1810">
        <f t="shared" si="3"/>
        <v>1</v>
      </c>
      <c r="AB28" s="1810">
        <f t="shared" si="4"/>
        <v>1</v>
      </c>
      <c r="AC28" s="1810">
        <f t="shared" si="5"/>
        <v>0.98039215686274506</v>
      </c>
    </row>
    <row r="29" spans="1:29" ht="15">
      <c r="A29" s="655"/>
      <c r="B29" s="653" t="s">
        <v>2712</v>
      </c>
      <c r="C29" s="3040">
        <f>'数据-取费表'!N6</f>
        <v>0.82</v>
      </c>
      <c r="D29" s="434">
        <v>100</v>
      </c>
      <c r="E29" s="473">
        <f>1-(2019-2003)/60</f>
        <v>0.73333333333333339</v>
      </c>
      <c r="F29" s="460">
        <f>LOOKUP(E29,86:86,87:87)-LOOKUP(C29,86:86,87:87)+100</f>
        <v>98</v>
      </c>
      <c r="G29" s="473">
        <f>1-(2019-2012)/60</f>
        <v>0.8833333333333333</v>
      </c>
      <c r="H29" s="460">
        <f>LOOKUP(G29,86:86,87:87)-LOOKUP(C29,86:86,87:87)+100</f>
        <v>100</v>
      </c>
      <c r="I29" s="473">
        <f>1-(2019-I40)/60</f>
        <v>0.9</v>
      </c>
      <c r="J29" s="434">
        <f>LOOKUP(I29,86:86,87:87)-LOOKUP(C29,86:86,87:87)+100</f>
        <v>102</v>
      </c>
      <c r="K29" s="611">
        <v>2</v>
      </c>
      <c r="L29" s="1139"/>
      <c r="M29" s="1130"/>
      <c r="N29" s="1130"/>
      <c r="O29" s="1130"/>
      <c r="P29" s="3298"/>
      <c r="Q29" s="1809" t="str">
        <f t="shared" si="11"/>
        <v>成新率</v>
      </c>
      <c r="R29" s="773" t="s">
        <v>17</v>
      </c>
      <c r="S29" s="774">
        <f t="shared" si="12"/>
        <v>98</v>
      </c>
      <c r="T29" s="773" t="s">
        <v>17</v>
      </c>
      <c r="U29" s="774">
        <f t="shared" si="13"/>
        <v>100</v>
      </c>
      <c r="V29" s="773" t="s">
        <v>17</v>
      </c>
      <c r="W29" s="774">
        <f t="shared" si="14"/>
        <v>102</v>
      </c>
      <c r="X29" s="1812"/>
      <c r="Y29" s="3298"/>
      <c r="Z29" s="1813" t="str">
        <f t="shared" si="15"/>
        <v>成新率</v>
      </c>
      <c r="AA29" s="1810">
        <f t="shared" si="3"/>
        <v>1.0204081632653061</v>
      </c>
      <c r="AB29" s="1810">
        <f t="shared" si="4"/>
        <v>1</v>
      </c>
      <c r="AC29" s="1810">
        <f t="shared" si="5"/>
        <v>0.98039215686274506</v>
      </c>
    </row>
    <row r="30" spans="1:29" ht="15">
      <c r="A30" s="655"/>
      <c r="B30" s="653" t="s">
        <v>2713</v>
      </c>
      <c r="C30" s="656" t="s">
        <v>3251</v>
      </c>
      <c r="D30" s="434">
        <v>100</v>
      </c>
      <c r="E30" s="656" t="s">
        <v>3251</v>
      </c>
      <c r="F30" s="460">
        <f>SUMIF(88:88,E30,89:89)-SUMIF(88:88,C30,89:89)+100</f>
        <v>100</v>
      </c>
      <c r="G30" s="656" t="s">
        <v>3251</v>
      </c>
      <c r="H30" s="434">
        <f>SUMIF(88:88,E30,89:89)-SUMIF(88:88,C30,89:89)+100</f>
        <v>100</v>
      </c>
      <c r="I30" s="656" t="s">
        <v>3249</v>
      </c>
      <c r="J30" s="434">
        <f>SUMIF(88:88,E30,89:89)-SUMIF(88:88,C30,89:89)+100</f>
        <v>100</v>
      </c>
      <c r="K30" s="611"/>
      <c r="L30" s="1139"/>
      <c r="M30" s="1130"/>
      <c r="N30" s="1130"/>
      <c r="O30" s="1130"/>
      <c r="P30" s="3298"/>
      <c r="Q30" s="1809" t="str">
        <f t="shared" si="11"/>
        <v>物业等级</v>
      </c>
      <c r="R30" s="773" t="s">
        <v>17</v>
      </c>
      <c r="S30" s="774">
        <f t="shared" si="12"/>
        <v>100</v>
      </c>
      <c r="T30" s="773" t="s">
        <v>17</v>
      </c>
      <c r="U30" s="774">
        <f t="shared" si="13"/>
        <v>100</v>
      </c>
      <c r="V30" s="773" t="s">
        <v>17</v>
      </c>
      <c r="W30" s="774">
        <f t="shared" si="14"/>
        <v>100</v>
      </c>
      <c r="X30" s="1812"/>
      <c r="Y30" s="3298"/>
      <c r="Z30" s="1813" t="str">
        <f t="shared" si="15"/>
        <v>物业等级</v>
      </c>
      <c r="AA30" s="1810">
        <f t="shared" si="3"/>
        <v>1</v>
      </c>
      <c r="AB30" s="1810">
        <f t="shared" si="4"/>
        <v>1</v>
      </c>
      <c r="AC30" s="1810">
        <f t="shared" si="5"/>
        <v>1</v>
      </c>
    </row>
    <row r="31" spans="1:29" s="116" customFormat="1" ht="15">
      <c r="A31" s="657"/>
      <c r="B31" s="3054" t="s">
        <v>2714</v>
      </c>
      <c r="C31" s="468">
        <f>车库清单!C3</f>
        <v>35.26</v>
      </c>
      <c r="D31" s="135">
        <v>100</v>
      </c>
      <c r="E31" s="468">
        <v>13.8</v>
      </c>
      <c r="F31" s="460">
        <f>LOOKUP(E31,91:91,92:92)-LOOKUP(C31,91:91,92:92)+100</f>
        <v>100</v>
      </c>
      <c r="G31" s="468">
        <v>32.61</v>
      </c>
      <c r="H31" s="434">
        <f>LOOKUP(G31,91:91,92:92)-LOOKUP(C31,91:91,92:92)+100</f>
        <v>100</v>
      </c>
      <c r="I31" s="468">
        <v>29.98</v>
      </c>
      <c r="J31" s="434">
        <f>LOOKUP(I31,91:91,92:92)-LOOKUP(C31,91:91,92:92)+100</f>
        <v>100</v>
      </c>
      <c r="K31" s="611"/>
      <c r="L31" s="1131"/>
      <c r="M31" s="1132"/>
      <c r="N31" s="1132"/>
      <c r="O31" s="1132"/>
      <c r="P31" s="3298"/>
      <c r="Q31" s="1794" t="str">
        <f t="shared" si="11"/>
        <v>停车位面积</v>
      </c>
      <c r="R31" s="769" t="s">
        <v>17</v>
      </c>
      <c r="S31" s="770">
        <f t="shared" si="12"/>
        <v>100</v>
      </c>
      <c r="T31" s="769" t="s">
        <v>17</v>
      </c>
      <c r="U31" s="770">
        <f t="shared" si="13"/>
        <v>100</v>
      </c>
      <c r="V31" s="769" t="s">
        <v>17</v>
      </c>
      <c r="W31" s="770">
        <f t="shared" si="14"/>
        <v>100</v>
      </c>
      <c r="X31" s="771"/>
      <c r="Y31" s="3298"/>
      <c r="Z31" s="55" t="str">
        <f t="shared" si="15"/>
        <v>停车位面积</v>
      </c>
      <c r="AA31" s="772">
        <f t="shared" si="3"/>
        <v>1</v>
      </c>
      <c r="AB31" s="772">
        <f t="shared" si="4"/>
        <v>1</v>
      </c>
      <c r="AC31" s="772">
        <f t="shared" si="5"/>
        <v>1</v>
      </c>
    </row>
    <row r="32" spans="1:29" ht="15">
      <c r="A32" s="655"/>
      <c r="B32" s="653" t="s">
        <v>2715</v>
      </c>
      <c r="C32" s="459" t="s">
        <v>3243</v>
      </c>
      <c r="D32" s="434">
        <v>100</v>
      </c>
      <c r="E32" s="459" t="s">
        <v>3243</v>
      </c>
      <c r="F32" s="460">
        <f>SUMIF(93:93,E32,94:94)-SUMIF(93:93,C32,94:94)+100</f>
        <v>100</v>
      </c>
      <c r="G32" s="459" t="s">
        <v>3243</v>
      </c>
      <c r="H32" s="434">
        <f>SUMIF(93:93,G32,94:94)-SUMIF(93:93,C32,94:94)+100</f>
        <v>100</v>
      </c>
      <c r="I32" s="459" t="s">
        <v>3243</v>
      </c>
      <c r="J32" s="434">
        <f>SUMIF(93:93,I32,94:94)-SUMIF(93:93,C32,94:94)+100</f>
        <v>100</v>
      </c>
      <c r="K32" s="611">
        <v>2</v>
      </c>
      <c r="L32" s="1139"/>
      <c r="M32" s="1130"/>
      <c r="N32" s="1130"/>
      <c r="O32" s="1130"/>
      <c r="P32" s="3298" t="s">
        <v>2562</v>
      </c>
      <c r="Q32" s="1809" t="str">
        <f t="shared" si="11"/>
        <v>车位类型</v>
      </c>
      <c r="R32" s="773" t="s">
        <v>17</v>
      </c>
      <c r="S32" s="774">
        <f t="shared" si="12"/>
        <v>100</v>
      </c>
      <c r="T32" s="773" t="s">
        <v>17</v>
      </c>
      <c r="U32" s="774">
        <f t="shared" si="13"/>
        <v>100</v>
      </c>
      <c r="V32" s="773" t="s">
        <v>17</v>
      </c>
      <c r="W32" s="774">
        <f t="shared" si="14"/>
        <v>100</v>
      </c>
      <c r="X32" s="1812"/>
      <c r="Y32" s="3298" t="s">
        <v>2562</v>
      </c>
      <c r="Z32" s="1813" t="str">
        <f t="shared" si="15"/>
        <v>车位类型</v>
      </c>
      <c r="AA32" s="1810">
        <f t="shared" si="3"/>
        <v>1</v>
      </c>
      <c r="AB32" s="1810">
        <f t="shared" si="4"/>
        <v>1</v>
      </c>
      <c r="AC32" s="1810">
        <f t="shared" si="5"/>
        <v>1</v>
      </c>
    </row>
    <row r="33" spans="1:29" ht="15">
      <c r="A33" s="655"/>
      <c r="B33" s="653" t="s">
        <v>2716</v>
      </c>
      <c r="C33" s="459" t="s">
        <v>3062</v>
      </c>
      <c r="D33" s="434">
        <v>100</v>
      </c>
      <c r="E33" s="459" t="s">
        <v>3062</v>
      </c>
      <c r="F33" s="460">
        <f>SUMIF(95:95,E33,96:96)-SUMIF(95:95,C33,96:96)+100</f>
        <v>100</v>
      </c>
      <c r="G33" s="459" t="s">
        <v>3062</v>
      </c>
      <c r="H33" s="434">
        <f>SUMIF(95:95,G33,96:96)-SUMIF(95:95,C33,96:96)+100</f>
        <v>100</v>
      </c>
      <c r="I33" s="459" t="s">
        <v>3062</v>
      </c>
      <c r="J33" s="434">
        <f>SUMIF(95:95,I33,96:96)-SUMIF(95:95,C33,96:96)+100</f>
        <v>100</v>
      </c>
      <c r="K33" s="611">
        <v>5</v>
      </c>
      <c r="L33" s="1139"/>
      <c r="M33" s="1130"/>
      <c r="N33" s="1130"/>
      <c r="O33" s="1130"/>
      <c r="P33" s="3298"/>
      <c r="Q33" s="1809" t="str">
        <f t="shared" si="11"/>
        <v>是否直接入户</v>
      </c>
      <c r="R33" s="773" t="s">
        <v>17</v>
      </c>
      <c r="S33" s="774">
        <f t="shared" si="12"/>
        <v>100</v>
      </c>
      <c r="T33" s="773" t="s">
        <v>17</v>
      </c>
      <c r="U33" s="774">
        <f t="shared" si="13"/>
        <v>100</v>
      </c>
      <c r="V33" s="773" t="s">
        <v>17</v>
      </c>
      <c r="W33" s="774">
        <f t="shared" si="14"/>
        <v>100</v>
      </c>
      <c r="X33" s="1812"/>
      <c r="Y33" s="3298"/>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98"/>
      <c r="Q34" s="1809">
        <f t="shared" si="11"/>
        <v>111</v>
      </c>
      <c r="R34" s="773" t="s">
        <v>17</v>
      </c>
      <c r="S34" s="774">
        <f t="shared" si="12"/>
        <v>100</v>
      </c>
      <c r="T34" s="773" t="s">
        <v>17</v>
      </c>
      <c r="U34" s="774">
        <f t="shared" si="13"/>
        <v>100</v>
      </c>
      <c r="V34" s="773" t="s">
        <v>17</v>
      </c>
      <c r="W34" s="774">
        <f t="shared" si="14"/>
        <v>100</v>
      </c>
      <c r="X34" s="1812"/>
      <c r="Y34" s="3298"/>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98"/>
      <c r="Q35" s="775">
        <f t="shared" si="11"/>
        <v>111</v>
      </c>
      <c r="R35" s="776" t="s">
        <v>17</v>
      </c>
      <c r="S35" s="777">
        <f t="shared" si="12"/>
        <v>100</v>
      </c>
      <c r="T35" s="776" t="s">
        <v>17</v>
      </c>
      <c r="U35" s="777">
        <f t="shared" si="13"/>
        <v>100</v>
      </c>
      <c r="V35" s="776" t="s">
        <v>17</v>
      </c>
      <c r="W35" s="777">
        <f t="shared" si="14"/>
        <v>100</v>
      </c>
      <c r="X35" s="778"/>
      <c r="Y35" s="3298"/>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98"/>
      <c r="Q36" s="1809">
        <f t="shared" si="11"/>
        <v>111</v>
      </c>
      <c r="R36" s="773" t="s">
        <v>17</v>
      </c>
      <c r="S36" s="774">
        <f t="shared" si="12"/>
        <v>100</v>
      </c>
      <c r="T36" s="773" t="s">
        <v>17</v>
      </c>
      <c r="U36" s="774">
        <f t="shared" si="13"/>
        <v>100</v>
      </c>
      <c r="V36" s="773" t="s">
        <v>17</v>
      </c>
      <c r="W36" s="774">
        <f t="shared" si="14"/>
        <v>100</v>
      </c>
      <c r="X36" s="1812"/>
      <c r="Y36" s="3298"/>
      <c r="Z36" s="1813">
        <f t="shared" si="15"/>
        <v>111</v>
      </c>
      <c r="AA36" s="1810">
        <f t="shared" si="3"/>
        <v>1</v>
      </c>
      <c r="AB36" s="1810">
        <f t="shared" si="4"/>
        <v>1</v>
      </c>
      <c r="AC36" s="1810">
        <f t="shared" si="5"/>
        <v>1</v>
      </c>
    </row>
    <row r="37" spans="1:29" ht="15">
      <c r="A37" s="478" t="s">
        <v>2717</v>
      </c>
      <c r="B37" s="2695" t="s">
        <v>3246</v>
      </c>
      <c r="C37" s="1406" t="s">
        <v>1</v>
      </c>
      <c r="D37" s="1407"/>
      <c r="E37" s="1408">
        <v>340000</v>
      </c>
      <c r="F37" s="1409"/>
      <c r="G37" s="1410">
        <v>280000</v>
      </c>
      <c r="H37" s="1411"/>
      <c r="I37" s="1408">
        <v>350000</v>
      </c>
      <c r="J37" s="1411"/>
      <c r="K37" s="618"/>
      <c r="L37" s="1142"/>
      <c r="M37" s="1143"/>
      <c r="N37" s="1130"/>
      <c r="O37" s="1143"/>
      <c r="P37" s="3300" t="str">
        <f>A37</f>
        <v>成交单价</v>
      </c>
      <c r="Q37" s="3300"/>
      <c r="R37" s="3301">
        <f>E37</f>
        <v>340000</v>
      </c>
      <c r="S37" s="3301"/>
      <c r="T37" s="3301">
        <f>G37</f>
        <v>280000</v>
      </c>
      <c r="U37" s="3301"/>
      <c r="V37" s="3301">
        <f>I37</f>
        <v>350000</v>
      </c>
      <c r="W37" s="3301"/>
      <c r="X37" s="758"/>
      <c r="Y37" s="780"/>
      <c r="Z37" s="758"/>
      <c r="AA37" s="758"/>
      <c r="AB37" s="758"/>
      <c r="AC37" s="758"/>
    </row>
    <row r="38" spans="1:29" ht="15.75" thickBot="1">
      <c r="A38" s="485" t="s">
        <v>2718</v>
      </c>
      <c r="B38" s="486" t="str">
        <f>B37</f>
        <v>元/车位</v>
      </c>
      <c r="C38" s="1412">
        <f>R39</f>
        <v>328256</v>
      </c>
      <c r="D38" s="1413"/>
      <c r="E38" s="1414">
        <f>R38</f>
        <v>361244</v>
      </c>
      <c r="F38" s="1414"/>
      <c r="G38" s="1412">
        <f>T38</f>
        <v>280112</v>
      </c>
      <c r="H38" s="1413"/>
      <c r="I38" s="1414">
        <f>V38</f>
        <v>343412</v>
      </c>
      <c r="J38" s="1413"/>
      <c r="K38" s="619"/>
      <c r="L38" s="1142"/>
      <c r="M38" s="1143"/>
      <c r="N38" s="1143"/>
      <c r="O38" s="1143"/>
      <c r="P38" s="3300" t="str">
        <f>A38</f>
        <v>比较价值（元/平方米）</v>
      </c>
      <c r="Q38" s="3300"/>
      <c r="R38" s="3301">
        <f>IF(F1="售价",ROUND(PRODUCT(R37,AA7:AA36),0),ROUND(PRODUCT(R37,AA7:AA36),1))</f>
        <v>361244</v>
      </c>
      <c r="S38" s="3301"/>
      <c r="T38" s="3301">
        <f>IF(F1="售价",ROUND(PRODUCT(T37,AB7:AB36),0),ROUND(PRODUCT(T37,AB7:AB36),1))</f>
        <v>280112</v>
      </c>
      <c r="U38" s="3301"/>
      <c r="V38" s="3301">
        <f>IF(F1="售价",ROUND(PRODUCT(V37,AC7:AC36),0),ROUND(PRODUCT(V37,AC7:AC36),1))</f>
        <v>343412</v>
      </c>
      <c r="W38" s="3301"/>
      <c r="X38" s="758"/>
      <c r="Y38" s="758"/>
      <c r="Z38" s="758"/>
      <c r="AA38" s="758"/>
      <c r="AB38" s="758"/>
      <c r="AC38" s="758"/>
    </row>
    <row r="39" spans="1:29" ht="15.75" thickBot="1">
      <c r="A39" s="491" t="s">
        <v>2719</v>
      </c>
      <c r="B39" s="492"/>
      <c r="C39" s="1416">
        <f>R39</f>
        <v>328256</v>
      </c>
      <c r="D39" s="1416"/>
      <c r="E39" s="1416"/>
      <c r="F39" s="1416"/>
      <c r="G39" s="1416"/>
      <c r="H39" s="1416"/>
      <c r="I39" s="1416"/>
      <c r="J39" s="1416"/>
      <c r="K39" s="620"/>
      <c r="L39" s="1142"/>
      <c r="M39" s="1143"/>
      <c r="N39" s="1143"/>
      <c r="O39" s="1143"/>
      <c r="P39" s="3302" t="str">
        <f>A39</f>
        <v>估价对象XX用房的比较价值（楼面单价，元/平方米）</v>
      </c>
      <c r="Q39" s="3303"/>
      <c r="R39" s="3304">
        <f>IF(F1="售价",ROUND(AVERAGE(R38:V38),0),ROUND(AVERAGE(R38:V38),1))</f>
        <v>328256</v>
      </c>
      <c r="S39" s="3304"/>
      <c r="T39" s="3304"/>
      <c r="U39" s="3304"/>
      <c r="V39" s="3304"/>
      <c r="W39" s="3304"/>
      <c r="X39" s="758"/>
      <c r="Y39" s="758"/>
      <c r="Z39" s="758"/>
      <c r="AA39" s="758"/>
      <c r="AB39" s="758"/>
      <c r="AC39" s="758"/>
    </row>
    <row r="40" spans="1:29">
      <c r="A40" s="1143"/>
      <c r="B40" s="1143"/>
      <c r="C40" s="1143"/>
      <c r="D40" s="1143"/>
      <c r="E40" s="1143">
        <v>2003</v>
      </c>
      <c r="F40" s="1143"/>
      <c r="G40" s="1146">
        <v>20.12</v>
      </c>
      <c r="H40" s="1143"/>
      <c r="I40" s="1143">
        <v>2013</v>
      </c>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2720</v>
      </c>
      <c r="D42" s="497"/>
      <c r="E42" s="498">
        <f>IF(E37&lt;E38,E38/E37-1,E37/E38-1)</f>
        <v>6.2482352941176433E-2</v>
      </c>
      <c r="F42" s="499" t="str">
        <f>IF(OR(E42&gt;=0.3,E42&lt;=-0.3),"超过30%","")</f>
        <v/>
      </c>
      <c r="G42" s="498">
        <f>IF(G37&lt;G38,G38/G37-1,G37/G38-1)</f>
        <v>3.9999999999995595E-4</v>
      </c>
      <c r="H42" s="499" t="str">
        <f>IF(OR(G42&gt;=0.3,G42&lt;=-0.3),"超过30%","")</f>
        <v/>
      </c>
      <c r="I42" s="498">
        <f>IF(I37&lt;I38,I38/I37-1,I37/I38-1)</f>
        <v>1.9183953967828682E-2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2721</v>
      </c>
      <c r="D43" s="500"/>
      <c r="E43" s="498">
        <f>IF(E38&lt;G38,G38/E38-1,E38/G38-1)</f>
        <v>0.28964128634260589</v>
      </c>
      <c r="F43" s="499" t="str">
        <f>IF(OR(E43&gt;=0.2,E43&lt;=-0.2),"超过20%","")</f>
        <v>超过20%</v>
      </c>
      <c r="G43" s="498">
        <f>IF(G38&lt;I38,I38/G38-1,G38/I38-1)</f>
        <v>0.22598103615696585</v>
      </c>
      <c r="H43" s="499" t="str">
        <f>IF(OR(G43&gt;=0.2,G43&lt;=-0.2),"超过20%","")</f>
        <v>超过20%</v>
      </c>
      <c r="I43" s="498">
        <f>IF(I38&lt;E38,E38/I38-1,I38/E38-1)</f>
        <v>5.192596647758374E-2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2722</v>
      </c>
      <c r="D44" s="500"/>
      <c r="E44" s="498">
        <f>IF(E37&lt;G37,G37/E37-1,E37/G37-1)</f>
        <v>0.21428571428571419</v>
      </c>
      <c r="F44" s="499" t="str">
        <f>IF(OR(E44&gt;=0.3,E44&lt;=-0.3),"超过30%","")</f>
        <v/>
      </c>
      <c r="G44" s="498">
        <f>IF(G37&lt;I37,I37/G37-1,G37/I37-1)</f>
        <v>0.25</v>
      </c>
      <c r="H44" s="499" t="str">
        <f>IF(OR(G44&gt;=0.3,G44&lt;=-0.3),"超过30%","")</f>
        <v/>
      </c>
      <c r="I44" s="498">
        <f>IF(I37&lt;E37,E37/I37-1,I37/E37-1)</f>
        <v>2.9411764705882248E-2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2724</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v>100</v>
      </c>
      <c r="E49" s="511">
        <v>100</v>
      </c>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2582</v>
      </c>
      <c r="B50" s="515"/>
      <c r="C50" s="516">
        <v>1</v>
      </c>
      <c r="D50" s="517">
        <v>1</v>
      </c>
      <c r="E50" s="517">
        <v>1</v>
      </c>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t="str">
        <f>C9</f>
        <v>车位</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98</v>
      </c>
      <c r="E64" s="543">
        <f>D64-$K14</f>
        <v>96</v>
      </c>
      <c r="F64" s="543">
        <f>E64-$K14</f>
        <v>94</v>
      </c>
      <c r="G64" s="543">
        <f>F64-$K14</f>
        <v>92</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98</v>
      </c>
      <c r="E66" s="543">
        <f>D66-$K16</f>
        <v>96</v>
      </c>
      <c r="F66" s="543">
        <f>E66-$K16</f>
        <v>94</v>
      </c>
      <c r="G66" s="543">
        <f>F66-$K16</f>
        <v>92</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98</v>
      </c>
      <c r="E70" s="543">
        <f>D70-$K20</f>
        <v>96</v>
      </c>
      <c r="F70" s="543">
        <f>E70-$K20</f>
        <v>94</v>
      </c>
      <c r="G70" s="543">
        <f>F70-$K20</f>
        <v>92</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2725</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2560</v>
      </c>
      <c r="B79" s="527" t="s">
        <v>2726</v>
      </c>
      <c r="C79" s="528" t="str">
        <f>C26</f>
        <v>商业</v>
      </c>
      <c r="D79" s="3042" t="s">
        <v>3248</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2727</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3043" t="s">
        <v>3253</v>
      </c>
      <c r="D83" s="3043" t="s">
        <v>3254</v>
      </c>
      <c r="E83" s="3043" t="s">
        <v>3255</v>
      </c>
      <c r="F83" s="3044" t="s">
        <v>3256</v>
      </c>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2729</v>
      </c>
      <c r="C88" s="3042" t="s">
        <v>3250</v>
      </c>
      <c r="D88" s="3042" t="s">
        <v>3252</v>
      </c>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2730</v>
      </c>
      <c r="C90" s="577" t="str">
        <f>C91&amp;"(含)"&amp;"-"&amp;D91</f>
        <v>0(含)-20</v>
      </c>
      <c r="D90" s="577" t="str">
        <f t="shared" ref="D90:L90" si="21">D91&amp;"(含)"&amp;"-"&amp;E91</f>
        <v>20(含)-30</v>
      </c>
      <c r="E90" s="577" t="str">
        <f t="shared" si="21"/>
        <v>30(含)-40</v>
      </c>
      <c r="F90" s="577" t="str">
        <f t="shared" si="21"/>
        <v>40(含)-50</v>
      </c>
      <c r="G90" s="577" t="str">
        <f t="shared" si="21"/>
        <v>50(含)-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20</v>
      </c>
      <c r="E91" s="594">
        <v>30</v>
      </c>
      <c r="F91" s="594">
        <v>40</v>
      </c>
      <c r="G91" s="594">
        <v>50</v>
      </c>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v>100</v>
      </c>
      <c r="E92" s="535">
        <v>100</v>
      </c>
      <c r="F92" s="535">
        <v>100</v>
      </c>
      <c r="G92" s="535">
        <v>100</v>
      </c>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2731</v>
      </c>
      <c r="C93" s="3041" t="s">
        <v>3242</v>
      </c>
      <c r="D93" s="3041" t="s">
        <v>3243</v>
      </c>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2732</v>
      </c>
      <c r="C95" s="3042" t="s">
        <v>3244</v>
      </c>
      <c r="D95" s="3042" t="s">
        <v>3245</v>
      </c>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95</v>
      </c>
      <c r="E96" s="543">
        <f>D96-$K33</f>
        <v>90</v>
      </c>
      <c r="F96" s="543">
        <f>E96-$K33</f>
        <v>85</v>
      </c>
      <c r="G96" s="543">
        <f>F96-$K33</f>
        <v>80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IF(C2="——",ROUND(C37*D3/10000,0),ROUND(C37*D3/10000,0)-D2)</f>
        <v>#DIV/0!</v>
      </c>
      <c r="C2" s="2586"/>
      <c r="D2" s="1123" t="e">
        <f ca="1">SUMIF(INDIRECT("'"&amp;F2&amp;"'"&amp;"!A:A"),"承租人权益价值",INDIRECT("'"&amp;F2&amp;"'"&amp;"!c:c"))</f>
        <v>#REF!</v>
      </c>
      <c r="E2" s="2587" t="s">
        <v>2325</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78" t="s">
        <v>2643</v>
      </c>
      <c r="D4" s="3279"/>
      <c r="E4" s="3280" t="s">
        <v>2644</v>
      </c>
      <c r="F4" s="3281"/>
      <c r="G4" s="3278" t="s">
        <v>2645</v>
      </c>
      <c r="H4" s="3279"/>
      <c r="I4" s="3278" t="s">
        <v>2646</v>
      </c>
      <c r="J4" s="3279"/>
      <c r="K4" s="609" t="s">
        <v>2647</v>
      </c>
      <c r="L4" s="1129"/>
      <c r="M4" s="1130"/>
      <c r="N4" s="1130"/>
      <c r="O4" s="1130"/>
      <c r="P4" s="3282" t="s">
        <v>2648</v>
      </c>
      <c r="Q4" s="3283"/>
      <c r="R4" s="3264" t="s">
        <v>2644</v>
      </c>
      <c r="S4" s="3265"/>
      <c r="T4" s="3264" t="s">
        <v>2645</v>
      </c>
      <c r="U4" s="3265"/>
      <c r="V4" s="3261" t="s">
        <v>2646</v>
      </c>
      <c r="W4" s="3261"/>
      <c r="X4" s="1812"/>
      <c r="Y4" s="3264" t="s">
        <v>2648</v>
      </c>
      <c r="Z4" s="3265"/>
      <c r="AA4" s="3258" t="s">
        <v>2644</v>
      </c>
      <c r="AB4" s="3259" t="s">
        <v>2645</v>
      </c>
      <c r="AC4" s="3258" t="s">
        <v>2646</v>
      </c>
    </row>
    <row r="5" spans="1:29" ht="15">
      <c r="A5" s="403"/>
      <c r="B5" s="404"/>
      <c r="C5" s="3270" t="s">
        <v>2539</v>
      </c>
      <c r="D5" s="3271"/>
      <c r="E5" s="3331" t="s">
        <v>2540</v>
      </c>
      <c r="F5" s="3269"/>
      <c r="G5" s="3270" t="s">
        <v>2541</v>
      </c>
      <c r="H5" s="3271"/>
      <c r="I5" s="3270" t="s">
        <v>2542</v>
      </c>
      <c r="J5" s="3271"/>
      <c r="K5" s="609"/>
      <c r="L5" s="1129"/>
      <c r="M5" s="1130"/>
      <c r="N5" s="1130"/>
      <c r="O5" s="1130"/>
      <c r="P5" s="3284"/>
      <c r="Q5" s="3285"/>
      <c r="R5" s="3266"/>
      <c r="S5" s="3267"/>
      <c r="T5" s="3266"/>
      <c r="U5" s="3267"/>
      <c r="V5" s="3261"/>
      <c r="W5" s="3261"/>
      <c r="X5" s="1812"/>
      <c r="Y5" s="3266"/>
      <c r="Z5" s="3267"/>
      <c r="AA5" s="3259"/>
      <c r="AB5" s="3259"/>
      <c r="AC5" s="3259"/>
    </row>
    <row r="6" spans="1:29" ht="15.75" thickBot="1">
      <c r="A6" s="405"/>
      <c r="B6" s="406"/>
      <c r="C6" s="3272" t="s">
        <v>2543</v>
      </c>
      <c r="D6" s="3273"/>
      <c r="E6" s="3275" t="s">
        <v>2543</v>
      </c>
      <c r="F6" s="3276"/>
      <c r="G6" s="3272" t="s">
        <v>2543</v>
      </c>
      <c r="H6" s="3273"/>
      <c r="I6" s="3272" t="s">
        <v>2543</v>
      </c>
      <c r="J6" s="3273"/>
      <c r="K6" s="609" t="s">
        <v>2544</v>
      </c>
      <c r="L6" s="1129"/>
      <c r="M6" s="1130"/>
      <c r="N6" s="1130"/>
      <c r="O6" s="1130"/>
      <c r="P6" s="3286"/>
      <c r="Q6" s="3287"/>
      <c r="R6" s="3266"/>
      <c r="S6" s="3267"/>
      <c r="T6" s="3288"/>
      <c r="U6" s="3289"/>
      <c r="V6" s="3261"/>
      <c r="W6" s="3261"/>
      <c r="X6" s="1812"/>
      <c r="Y6" s="3288"/>
      <c r="Z6" s="3289"/>
      <c r="AA6" s="3260"/>
      <c r="AB6" s="3260"/>
      <c r="AC6" s="3260"/>
    </row>
    <row r="7" spans="1:29" s="116" customFormat="1" ht="15.75" thickBot="1">
      <c r="A7" s="407" t="s">
        <v>2545</v>
      </c>
      <c r="B7" s="408"/>
      <c r="C7" s="409">
        <f>'数据-取费表'!B2</f>
        <v>43634</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62" t="s">
        <v>2546</v>
      </c>
      <c r="Q7" s="3290"/>
      <c r="R7" s="769" t="s">
        <v>17</v>
      </c>
      <c r="S7" s="770">
        <f t="shared" ref="S7:S14" si="0">F7</f>
        <v>0</v>
      </c>
      <c r="T7" s="769" t="s">
        <v>17</v>
      </c>
      <c r="U7" s="770">
        <f t="shared" ref="U7:U14" si="1">H7</f>
        <v>0</v>
      </c>
      <c r="V7" s="769" t="s">
        <v>17</v>
      </c>
      <c r="W7" s="770">
        <f t="shared" ref="W7:W14" si="2">J7</f>
        <v>0</v>
      </c>
      <c r="X7" s="771"/>
      <c r="Y7" s="3262" t="s">
        <v>2546</v>
      </c>
      <c r="Z7" s="3263"/>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62" t="s">
        <v>2549</v>
      </c>
      <c r="Q8" s="3263"/>
      <c r="R8" s="769" t="s">
        <v>17</v>
      </c>
      <c r="S8" s="770">
        <f t="shared" si="0"/>
        <v>0</v>
      </c>
      <c r="T8" s="769" t="s">
        <v>17</v>
      </c>
      <c r="U8" s="770">
        <f t="shared" si="1"/>
        <v>0</v>
      </c>
      <c r="V8" s="769" t="s">
        <v>17</v>
      </c>
      <c r="W8" s="770">
        <f t="shared" si="2"/>
        <v>0</v>
      </c>
      <c r="X8" s="771"/>
      <c r="Y8" s="3262" t="s">
        <v>2549</v>
      </c>
      <c r="Z8" s="3263"/>
      <c r="AA8" s="772" t="e">
        <f t="shared" ref="AA8:AA34" si="3">D8/F8</f>
        <v>#DIV/0!</v>
      </c>
      <c r="AB8" s="772" t="e">
        <f t="shared" ref="AB8:AB34" si="4">D8/H8</f>
        <v>#DIV/0!</v>
      </c>
      <c r="AC8" s="772" t="e">
        <f t="shared" ref="AC8:AC34" si="5">D8/J8</f>
        <v>#DIV/0!</v>
      </c>
    </row>
    <row r="9" spans="1:29" s="116"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300" t="s">
        <v>2552</v>
      </c>
      <c r="Q9" s="1794" t="str">
        <f t="shared" ref="Q9:Q14" si="6">B9</f>
        <v>用途</v>
      </c>
      <c r="R9" s="769" t="s">
        <v>17</v>
      </c>
      <c r="S9" s="770">
        <f t="shared" si="0"/>
        <v>100</v>
      </c>
      <c r="T9" s="769" t="s">
        <v>17</v>
      </c>
      <c r="U9" s="770">
        <f t="shared" si="1"/>
        <v>100</v>
      </c>
      <c r="V9" s="769" t="s">
        <v>17</v>
      </c>
      <c r="W9" s="770">
        <f t="shared" si="2"/>
        <v>100</v>
      </c>
      <c r="X9" s="771"/>
      <c r="Y9" s="3130"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300"/>
      <c r="Q10" s="1794" t="str">
        <f t="shared" si="6"/>
        <v>土地使用年限（年）</v>
      </c>
      <c r="R10" s="769" t="s">
        <v>17</v>
      </c>
      <c r="S10" s="770">
        <f t="shared" si="0"/>
        <v>100</v>
      </c>
      <c r="T10" s="769" t="s">
        <v>17</v>
      </c>
      <c r="U10" s="770">
        <f t="shared" si="1"/>
        <v>100</v>
      </c>
      <c r="V10" s="769" t="s">
        <v>17</v>
      </c>
      <c r="W10" s="770">
        <f t="shared" si="2"/>
        <v>100</v>
      </c>
      <c r="X10" s="771"/>
      <c r="Y10" s="3130"/>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300"/>
      <c r="Q11" s="1794">
        <f t="shared" si="6"/>
        <v>111</v>
      </c>
      <c r="R11" s="769" t="s">
        <v>17</v>
      </c>
      <c r="S11" s="770">
        <f t="shared" si="0"/>
        <v>100</v>
      </c>
      <c r="T11" s="769" t="s">
        <v>17</v>
      </c>
      <c r="U11" s="770">
        <f t="shared" si="1"/>
        <v>100</v>
      </c>
      <c r="V11" s="769" t="s">
        <v>17</v>
      </c>
      <c r="W11" s="770">
        <f t="shared" si="2"/>
        <v>100</v>
      </c>
      <c r="X11" s="771"/>
      <c r="Y11" s="3130"/>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300"/>
      <c r="Q12" s="1794">
        <f t="shared" si="6"/>
        <v>111</v>
      </c>
      <c r="R12" s="769" t="s">
        <v>17</v>
      </c>
      <c r="S12" s="770">
        <f t="shared" si="0"/>
        <v>100</v>
      </c>
      <c r="T12" s="769" t="s">
        <v>17</v>
      </c>
      <c r="U12" s="770">
        <f t="shared" si="1"/>
        <v>100</v>
      </c>
      <c r="V12" s="769" t="s">
        <v>17</v>
      </c>
      <c r="W12" s="770">
        <f t="shared" si="2"/>
        <v>100</v>
      </c>
      <c r="X12" s="771"/>
      <c r="Y12" s="3130"/>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300"/>
      <c r="Q13" s="1794">
        <f t="shared" si="6"/>
        <v>111</v>
      </c>
      <c r="R13" s="769" t="s">
        <v>17</v>
      </c>
      <c r="S13" s="770">
        <f t="shared" si="0"/>
        <v>100</v>
      </c>
      <c r="T13" s="769" t="s">
        <v>17</v>
      </c>
      <c r="U13" s="770">
        <f t="shared" si="1"/>
        <v>100</v>
      </c>
      <c r="V13" s="769" t="s">
        <v>17</v>
      </c>
      <c r="W13" s="770">
        <f t="shared" si="2"/>
        <v>100</v>
      </c>
      <c r="X13" s="771"/>
      <c r="Y13" s="3130"/>
      <c r="Z13" s="55">
        <f t="shared" si="7"/>
        <v>111</v>
      </c>
      <c r="AA13" s="772">
        <f t="shared" si="3"/>
        <v>1</v>
      </c>
      <c r="AB13" s="772">
        <f t="shared" si="4"/>
        <v>1</v>
      </c>
      <c r="AC13" s="772">
        <f t="shared" si="5"/>
        <v>1</v>
      </c>
    </row>
    <row r="14" spans="1:29" ht="15">
      <c r="A14" s="439" t="s">
        <v>2556</v>
      </c>
      <c r="B14" s="69" t="s">
        <v>2706</v>
      </c>
      <c r="C14" s="2693"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93" t="s">
        <v>2557</v>
      </c>
      <c r="Q14" s="1809" t="str">
        <f t="shared" si="6"/>
        <v>交通便捷度</v>
      </c>
      <c r="R14" s="773" t="s">
        <v>17</v>
      </c>
      <c r="S14" s="774">
        <f t="shared" si="0"/>
        <v>100</v>
      </c>
      <c r="T14" s="773" t="s">
        <v>17</v>
      </c>
      <c r="U14" s="774">
        <f t="shared" si="1"/>
        <v>100</v>
      </c>
      <c r="V14" s="773" t="s">
        <v>17</v>
      </c>
      <c r="W14" s="774">
        <f t="shared" si="2"/>
        <v>100</v>
      </c>
      <c r="X14" s="1812"/>
      <c r="Y14" s="3293" t="s">
        <v>2557</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94"/>
      <c r="Q15" s="1809"/>
      <c r="R15" s="773"/>
      <c r="S15" s="774"/>
      <c r="T15" s="773"/>
      <c r="U15" s="774"/>
      <c r="V15" s="773"/>
      <c r="W15" s="774"/>
      <c r="X15" s="1812"/>
      <c r="Y15" s="3294"/>
      <c r="Z15" s="1813"/>
      <c r="AA15" s="1810">
        <v>1</v>
      </c>
      <c r="AB15" s="1810">
        <v>1</v>
      </c>
      <c r="AC15" s="1810">
        <v>1</v>
      </c>
    </row>
    <row r="16" spans="1:29" ht="15">
      <c r="A16" s="427"/>
      <c r="B16" s="450" t="s">
        <v>2685</v>
      </c>
      <c r="C16" s="2607"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94"/>
      <c r="Q16" s="1809" t="str">
        <f>B16</f>
        <v>公共配套设施</v>
      </c>
      <c r="R16" s="773" t="s">
        <v>17</v>
      </c>
      <c r="S16" s="774">
        <f>F16</f>
        <v>100</v>
      </c>
      <c r="T16" s="773" t="s">
        <v>17</v>
      </c>
      <c r="U16" s="774">
        <f>H16</f>
        <v>100</v>
      </c>
      <c r="V16" s="773" t="s">
        <v>17</v>
      </c>
      <c r="W16" s="774">
        <f>J16</f>
        <v>100</v>
      </c>
      <c r="X16" s="1812"/>
      <c r="Y16" s="3294"/>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94"/>
      <c r="Q17" s="1809"/>
      <c r="R17" s="773"/>
      <c r="S17" s="774"/>
      <c r="T17" s="773"/>
      <c r="U17" s="774"/>
      <c r="V17" s="773"/>
      <c r="W17" s="774"/>
      <c r="X17" s="1812"/>
      <c r="Y17" s="3294"/>
      <c r="Z17" s="1813"/>
      <c r="AA17" s="1810">
        <v>1</v>
      </c>
      <c r="AB17" s="1810">
        <v>1</v>
      </c>
      <c r="AC17" s="1810">
        <v>1</v>
      </c>
    </row>
    <row r="18" spans="1:29" ht="15">
      <c r="A18" s="427"/>
      <c r="B18" s="1383" t="s">
        <v>2686</v>
      </c>
      <c r="C18" s="2607"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94"/>
      <c r="Q18" s="1809" t="str">
        <f>B18</f>
        <v>基础设施水平</v>
      </c>
      <c r="R18" s="773" t="s">
        <v>17</v>
      </c>
      <c r="S18" s="774">
        <f>F18</f>
        <v>100</v>
      </c>
      <c r="T18" s="773" t="s">
        <v>17</v>
      </c>
      <c r="U18" s="774">
        <f>H18</f>
        <v>100</v>
      </c>
      <c r="V18" s="773" t="s">
        <v>17</v>
      </c>
      <c r="W18" s="774">
        <f>J18</f>
        <v>100</v>
      </c>
      <c r="X18" s="1812"/>
      <c r="Y18" s="3294"/>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94"/>
      <c r="Q19" s="1809"/>
      <c r="R19" s="773"/>
      <c r="S19" s="774"/>
      <c r="T19" s="773"/>
      <c r="U19" s="774"/>
      <c r="V19" s="773"/>
      <c r="W19" s="774"/>
      <c r="X19" s="1812"/>
      <c r="Y19" s="3294"/>
      <c r="Z19" s="1813"/>
      <c r="AA19" s="1810">
        <v>1</v>
      </c>
      <c r="AB19" s="1810">
        <v>1</v>
      </c>
      <c r="AC19" s="1810">
        <v>1</v>
      </c>
    </row>
    <row r="20" spans="1:29" ht="15">
      <c r="A20" s="427"/>
      <c r="B20" s="450" t="s">
        <v>2707</v>
      </c>
      <c r="C20" s="2607"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94"/>
      <c r="Q20" s="1809" t="str">
        <f>B20</f>
        <v>自然及人文环境</v>
      </c>
      <c r="R20" s="773" t="s">
        <v>17</v>
      </c>
      <c r="S20" s="774">
        <f>F20</f>
        <v>100</v>
      </c>
      <c r="T20" s="773" t="s">
        <v>17</v>
      </c>
      <c r="U20" s="774">
        <f>H20</f>
        <v>100</v>
      </c>
      <c r="V20" s="773" t="s">
        <v>17</v>
      </c>
      <c r="W20" s="774">
        <f>J20</f>
        <v>100</v>
      </c>
      <c r="X20" s="1812"/>
      <c r="Y20" s="3294"/>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94"/>
      <c r="Q21" s="1809"/>
      <c r="R21" s="773"/>
      <c r="S21" s="774"/>
      <c r="T21" s="773"/>
      <c r="U21" s="774"/>
      <c r="V21" s="773"/>
      <c r="W21" s="774"/>
      <c r="X21" s="1812"/>
      <c r="Y21" s="3294"/>
      <c r="Z21" s="1813"/>
      <c r="AA21" s="1810">
        <v>1</v>
      </c>
      <c r="AB21" s="1810">
        <v>1</v>
      </c>
      <c r="AC21" s="1810">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94"/>
      <c r="Q22" s="1809" t="str">
        <f>B22</f>
        <v>楼层</v>
      </c>
      <c r="R22" s="773" t="s">
        <v>17</v>
      </c>
      <c r="S22" s="774">
        <f>F22</f>
        <v>100</v>
      </c>
      <c r="T22" s="773" t="s">
        <v>17</v>
      </c>
      <c r="U22" s="774">
        <f>H22</f>
        <v>100</v>
      </c>
      <c r="V22" s="773" t="s">
        <v>17</v>
      </c>
      <c r="W22" s="774">
        <f>J22</f>
        <v>100</v>
      </c>
      <c r="X22" s="1812"/>
      <c r="Y22" s="3294"/>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94"/>
      <c r="Q23" s="1809">
        <f>B23</f>
        <v>111</v>
      </c>
      <c r="R23" s="773" t="s">
        <v>17</v>
      </c>
      <c r="S23" s="774">
        <f>F23</f>
        <v>100</v>
      </c>
      <c r="T23" s="773" t="s">
        <v>17</v>
      </c>
      <c r="U23" s="774">
        <f>H23</f>
        <v>100</v>
      </c>
      <c r="V23" s="773" t="s">
        <v>17</v>
      </c>
      <c r="W23" s="774">
        <f>J23</f>
        <v>100</v>
      </c>
      <c r="X23" s="1812"/>
      <c r="Y23" s="3294"/>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94"/>
      <c r="Q24" s="1809">
        <f t="shared" ref="Q24:Q34" si="11">B24</f>
        <v>111</v>
      </c>
      <c r="R24" s="773" t="s">
        <v>17</v>
      </c>
      <c r="S24" s="774">
        <f>F24</f>
        <v>100</v>
      </c>
      <c r="T24" s="773" t="s">
        <v>17</v>
      </c>
      <c r="U24" s="774">
        <f>H24</f>
        <v>100</v>
      </c>
      <c r="V24" s="773" t="s">
        <v>17</v>
      </c>
      <c r="W24" s="774">
        <f>J24</f>
        <v>100</v>
      </c>
      <c r="X24" s="1812"/>
      <c r="Y24" s="3294"/>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94"/>
      <c r="Q25" s="1794">
        <f t="shared" si="11"/>
        <v>111</v>
      </c>
      <c r="R25" s="769" t="s">
        <v>17</v>
      </c>
      <c r="S25" s="770">
        <f>F25</f>
        <v>100</v>
      </c>
      <c r="T25" s="769" t="s">
        <v>17</v>
      </c>
      <c r="U25" s="770">
        <f>H25</f>
        <v>100</v>
      </c>
      <c r="V25" s="769" t="s">
        <v>17</v>
      </c>
      <c r="W25" s="770">
        <f>J25</f>
        <v>100</v>
      </c>
      <c r="X25" s="771"/>
      <c r="Y25" s="3294"/>
      <c r="Z25" s="55">
        <f>Q25</f>
        <v>111</v>
      </c>
      <c r="AA25" s="1810">
        <f>D25/F25</f>
        <v>1</v>
      </c>
      <c r="AB25" s="1810">
        <f>D25/H25</f>
        <v>1</v>
      </c>
      <c r="AC25" s="1810">
        <f>D25/J25</f>
        <v>1</v>
      </c>
    </row>
    <row r="26" spans="1:29" ht="28.5">
      <c r="A26" s="465" t="s">
        <v>2560</v>
      </c>
      <c r="B26" s="71" t="s">
        <v>2711</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347"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98" t="s">
        <v>2562</v>
      </c>
      <c r="Z26" s="1813" t="str">
        <f t="shared" ref="Z26:Z34" si="15">Q26</f>
        <v>公共部分装修</v>
      </c>
      <c r="AA26" s="1810">
        <f t="shared" si="3"/>
        <v>1</v>
      </c>
      <c r="AB26" s="1810">
        <f t="shared" si="4"/>
        <v>1</v>
      </c>
      <c r="AC26" s="1810">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98"/>
      <c r="Q27" s="775" t="str">
        <f t="shared" si="11"/>
        <v>成新率</v>
      </c>
      <c r="R27" s="776" t="s">
        <v>17</v>
      </c>
      <c r="S27" s="777" t="e">
        <f t="shared" si="12"/>
        <v>#N/A</v>
      </c>
      <c r="T27" s="776" t="s">
        <v>17</v>
      </c>
      <c r="U27" s="777" t="e">
        <f t="shared" si="13"/>
        <v>#N/A</v>
      </c>
      <c r="V27" s="776" t="s">
        <v>17</v>
      </c>
      <c r="W27" s="777" t="e">
        <f t="shared" si="14"/>
        <v>#N/A</v>
      </c>
      <c r="X27" s="778"/>
      <c r="Y27" s="3298"/>
      <c r="Z27" s="779" t="str">
        <f t="shared" si="15"/>
        <v>成新率</v>
      </c>
      <c r="AA27" s="1810" t="e">
        <f t="shared" si="3"/>
        <v>#N/A</v>
      </c>
      <c r="AB27" s="1810" t="e">
        <f t="shared" si="4"/>
        <v>#N/A</v>
      </c>
      <c r="AC27" s="1810"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98"/>
      <c r="Q28" s="1809" t="str">
        <f t="shared" si="11"/>
        <v>物业等级</v>
      </c>
      <c r="R28" s="773" t="s">
        <v>17</v>
      </c>
      <c r="S28" s="774">
        <f t="shared" si="12"/>
        <v>100</v>
      </c>
      <c r="T28" s="773" t="s">
        <v>17</v>
      </c>
      <c r="U28" s="774">
        <f t="shared" si="13"/>
        <v>100</v>
      </c>
      <c r="V28" s="773" t="s">
        <v>17</v>
      </c>
      <c r="W28" s="774">
        <f t="shared" si="14"/>
        <v>100</v>
      </c>
      <c r="X28" s="1812"/>
      <c r="Y28" s="3298"/>
      <c r="Z28" s="1813" t="str">
        <f t="shared" si="15"/>
        <v>物业等级</v>
      </c>
      <c r="AA28" s="1810">
        <f t="shared" si="3"/>
        <v>1</v>
      </c>
      <c r="AB28" s="1810">
        <f t="shared" si="4"/>
        <v>1</v>
      </c>
      <c r="AC28" s="1810">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98"/>
      <c r="Q29" s="1809" t="str">
        <f t="shared" si="11"/>
        <v>有无电梯</v>
      </c>
      <c r="R29" s="773" t="s">
        <v>17</v>
      </c>
      <c r="S29" s="774">
        <f t="shared" si="12"/>
        <v>100</v>
      </c>
      <c r="T29" s="773" t="s">
        <v>17</v>
      </c>
      <c r="U29" s="774">
        <f t="shared" si="13"/>
        <v>100</v>
      </c>
      <c r="V29" s="773" t="s">
        <v>17</v>
      </c>
      <c r="W29" s="774">
        <f t="shared" si="14"/>
        <v>100</v>
      </c>
      <c r="X29" s="1812"/>
      <c r="Y29" s="3298"/>
      <c r="Z29" s="1813" t="str">
        <f t="shared" si="15"/>
        <v>有无电梯</v>
      </c>
      <c r="AA29" s="1810">
        <f t="shared" si="3"/>
        <v>1</v>
      </c>
      <c r="AB29" s="1810">
        <f t="shared" si="4"/>
        <v>1</v>
      </c>
      <c r="AC29" s="1810">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98"/>
      <c r="Q30" s="1809" t="str">
        <f t="shared" si="11"/>
        <v>建筑面积</v>
      </c>
      <c r="R30" s="773" t="s">
        <v>17</v>
      </c>
      <c r="S30" s="774" t="e">
        <f t="shared" si="12"/>
        <v>#N/A</v>
      </c>
      <c r="T30" s="773" t="s">
        <v>17</v>
      </c>
      <c r="U30" s="774" t="e">
        <f t="shared" si="13"/>
        <v>#N/A</v>
      </c>
      <c r="V30" s="773" t="s">
        <v>17</v>
      </c>
      <c r="W30" s="774" t="e">
        <f t="shared" si="14"/>
        <v>#N/A</v>
      </c>
      <c r="X30" s="1812"/>
      <c r="Y30" s="3298"/>
      <c r="Z30" s="1813" t="str">
        <f t="shared" si="15"/>
        <v>建筑面积</v>
      </c>
      <c r="AA30" s="1810" t="e">
        <f t="shared" si="3"/>
        <v>#N/A</v>
      </c>
      <c r="AB30" s="1810" t="e">
        <f t="shared" si="4"/>
        <v>#N/A</v>
      </c>
      <c r="AC30" s="1810" t="e">
        <f t="shared" si="5"/>
        <v>#N/A</v>
      </c>
    </row>
    <row r="31" spans="1:29" s="116" customFormat="1" ht="15">
      <c r="A31" s="472"/>
      <c r="B31" s="421" t="s">
        <v>2735</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98"/>
      <c r="Q31" s="1794" t="str">
        <f t="shared" si="11"/>
        <v>是否封闭</v>
      </c>
      <c r="R31" s="769" t="s">
        <v>17</v>
      </c>
      <c r="S31" s="770">
        <f t="shared" si="12"/>
        <v>100</v>
      </c>
      <c r="T31" s="769" t="s">
        <v>17</v>
      </c>
      <c r="U31" s="770">
        <f t="shared" si="13"/>
        <v>100</v>
      </c>
      <c r="V31" s="769" t="s">
        <v>17</v>
      </c>
      <c r="W31" s="770">
        <f t="shared" si="14"/>
        <v>100</v>
      </c>
      <c r="X31" s="771"/>
      <c r="Y31" s="3298"/>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98" t="s">
        <v>2562</v>
      </c>
      <c r="Q32" s="1809">
        <f t="shared" si="11"/>
        <v>111</v>
      </c>
      <c r="R32" s="773" t="s">
        <v>17</v>
      </c>
      <c r="S32" s="774">
        <f t="shared" si="12"/>
        <v>100</v>
      </c>
      <c r="T32" s="773" t="s">
        <v>17</v>
      </c>
      <c r="U32" s="774">
        <f t="shared" si="13"/>
        <v>100</v>
      </c>
      <c r="V32" s="773" t="s">
        <v>17</v>
      </c>
      <c r="W32" s="774">
        <f t="shared" si="14"/>
        <v>100</v>
      </c>
      <c r="X32" s="1812"/>
      <c r="Y32" s="3298" t="s">
        <v>2562</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98"/>
      <c r="Q33" s="1809">
        <f t="shared" si="11"/>
        <v>111</v>
      </c>
      <c r="R33" s="773" t="s">
        <v>17</v>
      </c>
      <c r="S33" s="774">
        <f t="shared" si="12"/>
        <v>100</v>
      </c>
      <c r="T33" s="773" t="s">
        <v>17</v>
      </c>
      <c r="U33" s="774">
        <f t="shared" si="13"/>
        <v>100</v>
      </c>
      <c r="V33" s="773" t="s">
        <v>17</v>
      </c>
      <c r="W33" s="774">
        <f t="shared" si="14"/>
        <v>100</v>
      </c>
      <c r="X33" s="1812"/>
      <c r="Y33" s="3298"/>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98"/>
      <c r="Q34" s="1809">
        <f t="shared" si="11"/>
        <v>111</v>
      </c>
      <c r="R34" s="773" t="s">
        <v>17</v>
      </c>
      <c r="S34" s="774">
        <f t="shared" si="12"/>
        <v>100</v>
      </c>
      <c r="T34" s="773" t="s">
        <v>17</v>
      </c>
      <c r="U34" s="774">
        <f t="shared" si="13"/>
        <v>100</v>
      </c>
      <c r="V34" s="773" t="s">
        <v>17</v>
      </c>
      <c r="W34" s="774">
        <f t="shared" si="14"/>
        <v>100</v>
      </c>
      <c r="X34" s="1812"/>
      <c r="Y34" s="3298"/>
      <c r="Z34" s="1813">
        <f t="shared" si="15"/>
        <v>111</v>
      </c>
      <c r="AA34" s="1810">
        <f t="shared" si="3"/>
        <v>1</v>
      </c>
      <c r="AB34" s="1810">
        <f t="shared" si="4"/>
        <v>1</v>
      </c>
      <c r="AC34" s="1810">
        <f t="shared" si="5"/>
        <v>1</v>
      </c>
    </row>
    <row r="35" spans="1:29" ht="15">
      <c r="A35" s="478" t="s">
        <v>2574</v>
      </c>
      <c r="B35" s="479"/>
      <c r="C35" s="1406" t="s">
        <v>1</v>
      </c>
      <c r="D35" s="1407"/>
      <c r="E35" s="1408"/>
      <c r="F35" s="1409"/>
      <c r="G35" s="1410"/>
      <c r="H35" s="1411"/>
      <c r="I35" s="1408"/>
      <c r="J35" s="1411"/>
      <c r="K35" s="782"/>
      <c r="L35" s="1142"/>
      <c r="M35" s="1143"/>
      <c r="N35" s="1130"/>
      <c r="O35" s="1143"/>
      <c r="P35" s="3300" t="str">
        <f>A35</f>
        <v>成交单价（元/平方米）</v>
      </c>
      <c r="Q35" s="3300"/>
      <c r="R35" s="3301">
        <f>E35</f>
        <v>0</v>
      </c>
      <c r="S35" s="3301"/>
      <c r="T35" s="3301">
        <f>G35</f>
        <v>0</v>
      </c>
      <c r="U35" s="3301"/>
      <c r="V35" s="3301">
        <f>I35</f>
        <v>0</v>
      </c>
      <c r="W35" s="3301"/>
      <c r="X35" s="758"/>
      <c r="Y35" s="780"/>
      <c r="Z35" s="758"/>
      <c r="AA35" s="758"/>
      <c r="AB35" s="758"/>
      <c r="AC35" s="758"/>
    </row>
    <row r="36" spans="1:29" ht="15.7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300" t="str">
        <f>A36</f>
        <v>比较价值（元/平方米）</v>
      </c>
      <c r="Q36" s="3300"/>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8"/>
      <c r="Y36" s="758"/>
      <c r="Z36" s="758"/>
      <c r="AA36" s="758"/>
      <c r="AB36" s="758"/>
      <c r="AC36" s="758"/>
    </row>
    <row r="37" spans="1:29" ht="15.75" thickBot="1">
      <c r="A37" s="491" t="s">
        <v>2667</v>
      </c>
      <c r="B37" s="492"/>
      <c r="C37" s="1416" t="e">
        <f>R37</f>
        <v>#DIV/0!</v>
      </c>
      <c r="D37" s="1416"/>
      <c r="E37" s="1416"/>
      <c r="F37" s="1416"/>
      <c r="G37" s="1416"/>
      <c r="H37" s="1416"/>
      <c r="I37" s="1416"/>
      <c r="J37" s="1416"/>
      <c r="K37" s="784"/>
      <c r="L37" s="1142"/>
      <c r="M37" s="1143"/>
      <c r="N37" s="1143"/>
      <c r="O37" s="1143"/>
      <c r="P37" s="3302" t="str">
        <f>A37</f>
        <v>估价对象XX用房的比较价值（楼面单价，元/平方米）</v>
      </c>
      <c r="Q37" s="3303"/>
      <c r="R37" s="3304" t="e">
        <f>IF(F1="售价",ROUND(AVERAGE(R36:V36),0),ROUND(AVERAGE(R36:V36),1))</f>
        <v>#DIV/0!</v>
      </c>
      <c r="S37" s="3304"/>
      <c r="T37" s="3304"/>
      <c r="U37" s="3304"/>
      <c r="V37" s="3304"/>
      <c r="W37" s="330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2736</v>
      </c>
      <c r="C63" s="577" t="s">
        <v>2594</v>
      </c>
      <c r="D63" s="577" t="s">
        <v>2595</v>
      </c>
      <c r="E63" s="577" t="s">
        <v>2596</v>
      </c>
      <c r="F63" s="577" t="s">
        <v>2597</v>
      </c>
      <c r="G63" s="577" t="s">
        <v>2598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2725</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2729</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2737</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2739</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21" sqref="J2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2326</v>
      </c>
      <c r="B3" s="608" t="e">
        <f>ROUND(IF(D3="",B2*10000/'数据-汇总表'!E3,B2*10000/D3),0)</f>
        <v>#DIV/0!</v>
      </c>
      <c r="C3" s="246"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2642</v>
      </c>
      <c r="B4" s="401"/>
      <c r="C4" s="3278" t="s">
        <v>2643</v>
      </c>
      <c r="D4" s="3279"/>
      <c r="E4" s="3280" t="s">
        <v>2644</v>
      </c>
      <c r="F4" s="3281"/>
      <c r="G4" s="3278" t="s">
        <v>2645</v>
      </c>
      <c r="H4" s="3279"/>
      <c r="I4" s="3278" t="s">
        <v>2646</v>
      </c>
      <c r="J4" s="3279"/>
      <c r="K4" s="609" t="s">
        <v>2647</v>
      </c>
      <c r="L4" s="1129"/>
      <c r="M4" s="1130"/>
      <c r="N4" s="1130"/>
      <c r="O4" s="1130"/>
      <c r="P4" s="3282" t="s">
        <v>2648</v>
      </c>
      <c r="Q4" s="3283"/>
      <c r="R4" s="3264" t="s">
        <v>2644</v>
      </c>
      <c r="S4" s="3265"/>
      <c r="T4" s="3264" t="s">
        <v>2645</v>
      </c>
      <c r="U4" s="3265"/>
      <c r="V4" s="3261" t="s">
        <v>2646</v>
      </c>
      <c r="W4" s="3261"/>
      <c r="X4" s="1812"/>
      <c r="Y4" s="3264" t="s">
        <v>2648</v>
      </c>
      <c r="Z4" s="3265"/>
      <c r="AA4" s="3258" t="s">
        <v>2644</v>
      </c>
      <c r="AB4" s="3259" t="s">
        <v>2645</v>
      </c>
      <c r="AC4" s="3258" t="s">
        <v>2646</v>
      </c>
    </row>
    <row r="5" spans="1:30" ht="15">
      <c r="A5" s="403"/>
      <c r="B5" s="404"/>
      <c r="C5" s="3270" t="s">
        <v>2539</v>
      </c>
      <c r="D5" s="3271"/>
      <c r="E5" s="3331" t="s">
        <v>2540</v>
      </c>
      <c r="F5" s="3269"/>
      <c r="G5" s="3270" t="s">
        <v>2541</v>
      </c>
      <c r="H5" s="3271"/>
      <c r="I5" s="3270" t="s">
        <v>2542</v>
      </c>
      <c r="J5" s="3271"/>
      <c r="K5" s="609"/>
      <c r="L5" s="1129"/>
      <c r="M5" s="1130"/>
      <c r="N5" s="1130"/>
      <c r="O5" s="1130"/>
      <c r="P5" s="3284"/>
      <c r="Q5" s="3285"/>
      <c r="R5" s="3266"/>
      <c r="S5" s="3267"/>
      <c r="T5" s="3266"/>
      <c r="U5" s="3267"/>
      <c r="V5" s="3261"/>
      <c r="W5" s="3261"/>
      <c r="X5" s="1812"/>
      <c r="Y5" s="3266"/>
      <c r="Z5" s="3267"/>
      <c r="AA5" s="3259"/>
      <c r="AB5" s="3259"/>
      <c r="AC5" s="3259"/>
    </row>
    <row r="6" spans="1:30" ht="15.75" thickBot="1">
      <c r="A6" s="405"/>
      <c r="B6" s="406"/>
      <c r="C6" s="3272" t="s">
        <v>2543</v>
      </c>
      <c r="D6" s="3273"/>
      <c r="E6" s="3275" t="s">
        <v>2543</v>
      </c>
      <c r="F6" s="3276"/>
      <c r="G6" s="3272" t="s">
        <v>2543</v>
      </c>
      <c r="H6" s="3273"/>
      <c r="I6" s="3272" t="s">
        <v>2543</v>
      </c>
      <c r="J6" s="3273"/>
      <c r="K6" s="609" t="s">
        <v>2544</v>
      </c>
      <c r="L6" s="1129"/>
      <c r="M6" s="1130"/>
      <c r="N6" s="1130"/>
      <c r="O6" s="1130"/>
      <c r="P6" s="3286"/>
      <c r="Q6" s="3287"/>
      <c r="R6" s="3266"/>
      <c r="S6" s="3267"/>
      <c r="T6" s="3288"/>
      <c r="U6" s="3289"/>
      <c r="V6" s="3261"/>
      <c r="W6" s="3261"/>
      <c r="X6" s="1812"/>
      <c r="Y6" s="3288"/>
      <c r="Z6" s="3289"/>
      <c r="AA6" s="3260"/>
      <c r="AB6" s="3260"/>
      <c r="AC6" s="3260"/>
    </row>
    <row r="7" spans="1:30" s="116" customFormat="1" ht="15.75" thickBot="1">
      <c r="A7" s="407" t="s">
        <v>2545</v>
      </c>
      <c r="B7" s="408"/>
      <c r="C7" s="409">
        <f>'数据-取费表'!B2</f>
        <v>43634</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1"/>
      <c r="M7" s="1132"/>
      <c r="N7" s="1132"/>
      <c r="O7" s="1132"/>
      <c r="P7" s="3262" t="s">
        <v>2546</v>
      </c>
      <c r="Q7" s="3290"/>
      <c r="R7" s="769" t="s">
        <v>17</v>
      </c>
      <c r="S7" s="770">
        <f t="shared" ref="S7:S15" si="0">F7</f>
        <v>0</v>
      </c>
      <c r="T7" s="769" t="s">
        <v>17</v>
      </c>
      <c r="U7" s="770">
        <f t="shared" ref="U7:U15" si="1">H7</f>
        <v>0</v>
      </c>
      <c r="V7" s="769" t="s">
        <v>17</v>
      </c>
      <c r="W7" s="770">
        <f t="shared" ref="W7:W15" si="2">J7</f>
        <v>0</v>
      </c>
      <c r="X7" s="771"/>
      <c r="Y7" s="3262" t="s">
        <v>2546</v>
      </c>
      <c r="Z7" s="3263"/>
      <c r="AA7" s="772" t="e">
        <f>D7/F7</f>
        <v>#DIV/0!</v>
      </c>
      <c r="AB7" s="772" t="e">
        <f>D7/H7</f>
        <v>#DIV/0!</v>
      </c>
      <c r="AC7" s="772" t="e">
        <f>D7/J7</f>
        <v>#DIV/0!</v>
      </c>
    </row>
    <row r="8" spans="1:30" s="116" customFormat="1" ht="15.75" thickBot="1">
      <c r="A8" s="407" t="s">
        <v>2547</v>
      </c>
      <c r="B8" s="408"/>
      <c r="C8" s="413" t="s">
        <v>2548</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62" t="s">
        <v>2549</v>
      </c>
      <c r="Q8" s="3263"/>
      <c r="R8" s="769" t="s">
        <v>17</v>
      </c>
      <c r="S8" s="770">
        <f t="shared" si="0"/>
        <v>0</v>
      </c>
      <c r="T8" s="769" t="s">
        <v>17</v>
      </c>
      <c r="U8" s="770">
        <f t="shared" si="1"/>
        <v>0</v>
      </c>
      <c r="V8" s="769" t="s">
        <v>17</v>
      </c>
      <c r="W8" s="770">
        <f t="shared" si="2"/>
        <v>0</v>
      </c>
      <c r="X8" s="771"/>
      <c r="Y8" s="3262" t="s">
        <v>2549</v>
      </c>
      <c r="Z8" s="3263"/>
      <c r="AA8" s="772" t="e">
        <f t="shared" ref="AA8:AA45" si="3">D8/F8</f>
        <v>#DIV/0!</v>
      </c>
      <c r="AB8" s="772" t="e">
        <f t="shared" ref="AB8:AB45" si="4">D8/H8</f>
        <v>#DIV/0!</v>
      </c>
      <c r="AC8" s="772" t="e">
        <f t="shared" ref="AC8:AC45" si="5">D8/J8</f>
        <v>#DIV/0!</v>
      </c>
    </row>
    <row r="9" spans="1:30" s="116" customFormat="1">
      <c r="A9" s="414" t="s">
        <v>2550</v>
      </c>
      <c r="B9" s="71" t="s">
        <v>2551</v>
      </c>
      <c r="C9" s="2699"/>
      <c r="D9" s="134">
        <v>100</v>
      </c>
      <c r="E9" s="2699"/>
      <c r="F9" s="134">
        <f>SUMIF(75:75,E9,76:76)-SUMIF(75:75,C9,76:76)+100</f>
        <v>100</v>
      </c>
      <c r="G9" s="2699"/>
      <c r="H9" s="134">
        <f>SUMIF(75:75,G9,76:76)-SUMIF(75:75,C9,76:76)+100</f>
        <v>100</v>
      </c>
      <c r="I9" s="2699"/>
      <c r="J9" s="134">
        <f>SUMIF(75:75,I9,76:76)-SUMIF(75:75,C9,76:76)+100</f>
        <v>100</v>
      </c>
      <c r="K9" s="610"/>
      <c r="L9" s="1131"/>
      <c r="M9" s="1132"/>
      <c r="N9" s="1132"/>
      <c r="O9" s="1133"/>
      <c r="P9" s="3300" t="s">
        <v>2552</v>
      </c>
      <c r="Q9" s="1794" t="str">
        <f t="shared" ref="Q9:Q15" si="6">B9</f>
        <v>用途</v>
      </c>
      <c r="R9" s="769" t="s">
        <v>17</v>
      </c>
      <c r="S9" s="770">
        <f t="shared" si="0"/>
        <v>100</v>
      </c>
      <c r="T9" s="769" t="s">
        <v>17</v>
      </c>
      <c r="U9" s="770">
        <f t="shared" si="1"/>
        <v>100</v>
      </c>
      <c r="V9" s="769" t="s">
        <v>17</v>
      </c>
      <c r="W9" s="770">
        <f t="shared" si="2"/>
        <v>100</v>
      </c>
      <c r="X9" s="771"/>
      <c r="Y9" s="3130" t="s">
        <v>2553</v>
      </c>
      <c r="Z9" s="55" t="str">
        <f t="shared" ref="Z9:Z15" si="7">Q9</f>
        <v>用途</v>
      </c>
      <c r="AA9" s="772">
        <f t="shared" si="3"/>
        <v>1</v>
      </c>
      <c r="AB9" s="772">
        <f t="shared" si="4"/>
        <v>1</v>
      </c>
      <c r="AC9" s="772">
        <f t="shared" si="5"/>
        <v>1</v>
      </c>
    </row>
    <row r="10" spans="1:30" s="426" customFormat="1" ht="27">
      <c r="A10" s="420"/>
      <c r="B10" s="421" t="s">
        <v>2554</v>
      </c>
      <c r="C10" s="431"/>
      <c r="D10" s="135">
        <v>100</v>
      </c>
      <c r="E10" s="464"/>
      <c r="F10" s="135">
        <f>ROUND(100/'数据-取费表'!G16,0)</f>
        <v>117</v>
      </c>
      <c r="G10" s="462"/>
      <c r="H10" s="135">
        <f>ROUND(100/'数据-取费表'!G16,0)</f>
        <v>117</v>
      </c>
      <c r="I10" s="462"/>
      <c r="J10" s="135">
        <f>ROUND(100/'数据-取费表'!G16,0)</f>
        <v>117</v>
      </c>
      <c r="K10" s="671"/>
      <c r="L10" s="1134"/>
      <c r="M10" s="1135"/>
      <c r="N10" s="1135"/>
      <c r="O10" s="1136"/>
      <c r="P10" s="3300"/>
      <c r="Q10" s="1794" t="str">
        <f t="shared" si="6"/>
        <v>土地使用年限（年）</v>
      </c>
      <c r="R10" s="769" t="s">
        <v>17</v>
      </c>
      <c r="S10" s="770">
        <f t="shared" si="0"/>
        <v>117</v>
      </c>
      <c r="T10" s="769" t="s">
        <v>17</v>
      </c>
      <c r="U10" s="770">
        <f t="shared" si="1"/>
        <v>117</v>
      </c>
      <c r="V10" s="769" t="s">
        <v>17</v>
      </c>
      <c r="W10" s="770">
        <f t="shared" si="2"/>
        <v>117</v>
      </c>
      <c r="X10" s="771"/>
      <c r="Y10" s="3130"/>
      <c r="Z10" s="55" t="str">
        <f t="shared" si="7"/>
        <v>土地使用年限（年）</v>
      </c>
      <c r="AA10" s="772">
        <f t="shared" si="3"/>
        <v>0.85470085470085466</v>
      </c>
      <c r="AB10" s="772">
        <f t="shared" si="4"/>
        <v>0.85470085470085466</v>
      </c>
      <c r="AC10" s="772">
        <f t="shared" si="5"/>
        <v>0.85470085470085466</v>
      </c>
    </row>
    <row r="11" spans="1:30" ht="15">
      <c r="A11" s="427"/>
      <c r="B11" s="421" t="s">
        <v>2555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300"/>
      <c r="Q11" s="1794" t="str">
        <f t="shared" si="6"/>
        <v>容积率</v>
      </c>
      <c r="R11" s="769" t="s">
        <v>17</v>
      </c>
      <c r="S11" s="770" t="e">
        <f t="shared" si="0"/>
        <v>#N/A</v>
      </c>
      <c r="T11" s="769" t="s">
        <v>17</v>
      </c>
      <c r="U11" s="770" t="e">
        <f t="shared" si="1"/>
        <v>#N/A</v>
      </c>
      <c r="V11" s="769" t="s">
        <v>17</v>
      </c>
      <c r="W11" s="770" t="e">
        <f t="shared" si="2"/>
        <v>#N/A</v>
      </c>
      <c r="X11" s="771"/>
      <c r="Y11" s="3130"/>
      <c r="Z11" s="55" t="str">
        <f t="shared" si="7"/>
        <v>容积率</v>
      </c>
      <c r="AA11" s="772" t="e">
        <f t="shared" si="3"/>
        <v>#N/A</v>
      </c>
      <c r="AB11" s="772" t="e">
        <f t="shared" si="4"/>
        <v>#N/A</v>
      </c>
      <c r="AC11" s="772" t="e">
        <f t="shared" si="5"/>
        <v>#N/A</v>
      </c>
    </row>
    <row r="12" spans="1:30" s="116" customFormat="1" ht="15">
      <c r="A12" s="430"/>
      <c r="B12" s="2600" t="s">
        <v>2743</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300"/>
      <c r="Q12" s="1794" t="str">
        <f t="shared" si="6"/>
        <v>配建</v>
      </c>
      <c r="R12" s="769" t="s">
        <v>17</v>
      </c>
      <c r="S12" s="770">
        <f t="shared" si="0"/>
        <v>100</v>
      </c>
      <c r="T12" s="769" t="s">
        <v>17</v>
      </c>
      <c r="U12" s="770">
        <f t="shared" si="1"/>
        <v>100</v>
      </c>
      <c r="V12" s="769" t="s">
        <v>17</v>
      </c>
      <c r="W12" s="770">
        <f t="shared" si="2"/>
        <v>100</v>
      </c>
      <c r="X12" s="771"/>
      <c r="Y12" s="3130"/>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300"/>
      <c r="Q13" s="1794">
        <f t="shared" si="6"/>
        <v>111</v>
      </c>
      <c r="R13" s="769" t="s">
        <v>17</v>
      </c>
      <c r="S13" s="770">
        <f t="shared" si="0"/>
        <v>100</v>
      </c>
      <c r="T13" s="769" t="s">
        <v>17</v>
      </c>
      <c r="U13" s="770">
        <f t="shared" si="1"/>
        <v>100</v>
      </c>
      <c r="V13" s="769" t="s">
        <v>17</v>
      </c>
      <c r="W13" s="770">
        <f t="shared" si="2"/>
        <v>100</v>
      </c>
      <c r="X13" s="771"/>
      <c r="Y13" s="3130"/>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300"/>
      <c r="Q14" s="1794">
        <f t="shared" si="6"/>
        <v>111</v>
      </c>
      <c r="R14" s="769" t="s">
        <v>17</v>
      </c>
      <c r="S14" s="770">
        <f t="shared" si="0"/>
        <v>100</v>
      </c>
      <c r="T14" s="769" t="s">
        <v>17</v>
      </c>
      <c r="U14" s="770">
        <f t="shared" si="1"/>
        <v>100</v>
      </c>
      <c r="V14" s="769" t="s">
        <v>17</v>
      </c>
      <c r="W14" s="770">
        <f t="shared" si="2"/>
        <v>100</v>
      </c>
      <c r="X14" s="771"/>
      <c r="Y14" s="3130"/>
      <c r="Z14" s="55">
        <f t="shared" si="7"/>
        <v>111</v>
      </c>
      <c r="AA14" s="772">
        <f>D14/F14</f>
        <v>1</v>
      </c>
      <c r="AB14" s="772">
        <f>D14/H14</f>
        <v>1</v>
      </c>
      <c r="AC14" s="772">
        <f>D14/J14</f>
        <v>1</v>
      </c>
    </row>
    <row r="15" spans="1:30" ht="15">
      <c r="A15" s="439" t="s">
        <v>2556</v>
      </c>
      <c r="B15" s="69" t="s">
        <v>2085</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93" t="s">
        <v>2557</v>
      </c>
      <c r="Q15" s="1809" t="str">
        <f t="shared" si="6"/>
        <v>居住社区成熟度</v>
      </c>
      <c r="R15" s="773" t="s">
        <v>17</v>
      </c>
      <c r="S15" s="774">
        <f t="shared" si="0"/>
        <v>100</v>
      </c>
      <c r="T15" s="773" t="s">
        <v>17</v>
      </c>
      <c r="U15" s="774">
        <f t="shared" si="1"/>
        <v>100</v>
      </c>
      <c r="V15" s="773" t="s">
        <v>17</v>
      </c>
      <c r="W15" s="774">
        <f t="shared" si="2"/>
        <v>100</v>
      </c>
      <c r="X15" s="1812"/>
      <c r="Y15" s="3293" t="s">
        <v>2557</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39"/>
      <c r="M16" s="1130"/>
      <c r="N16" s="1130"/>
      <c r="O16" s="1138"/>
      <c r="P16" s="3294"/>
      <c r="Q16" s="1809"/>
      <c r="R16" s="773"/>
      <c r="S16" s="774"/>
      <c r="T16" s="773"/>
      <c r="U16" s="774"/>
      <c r="V16" s="773"/>
      <c r="W16" s="774"/>
      <c r="X16" s="1812"/>
      <c r="Y16" s="3294"/>
      <c r="Z16" s="1813"/>
      <c r="AA16" s="1810">
        <v>1</v>
      </c>
      <c r="AB16" s="1810">
        <v>1</v>
      </c>
      <c r="AC16" s="1810">
        <v>1</v>
      </c>
    </row>
    <row r="17" spans="1:29" ht="15">
      <c r="A17" s="427"/>
      <c r="B17" s="450" t="s">
        <v>2650</v>
      </c>
      <c r="C17" s="2664"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94"/>
      <c r="Q17" s="1809" t="str">
        <f>B17</f>
        <v>商业繁华度</v>
      </c>
      <c r="R17" s="773" t="s">
        <v>17</v>
      </c>
      <c r="S17" s="774">
        <f>F17</f>
        <v>100</v>
      </c>
      <c r="T17" s="773" t="s">
        <v>17</v>
      </c>
      <c r="U17" s="774">
        <f>H17</f>
        <v>100</v>
      </c>
      <c r="V17" s="773" t="s">
        <v>17</v>
      </c>
      <c r="W17" s="774">
        <f>J17</f>
        <v>100</v>
      </c>
      <c r="X17" s="1812"/>
      <c r="Y17" s="3294"/>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39"/>
      <c r="M18" s="1130"/>
      <c r="N18" s="1130"/>
      <c r="O18" s="1138"/>
      <c r="P18" s="3294"/>
      <c r="Q18" s="1809"/>
      <c r="R18" s="773"/>
      <c r="S18" s="774"/>
      <c r="T18" s="773"/>
      <c r="U18" s="774"/>
      <c r="V18" s="773"/>
      <c r="W18" s="774"/>
      <c r="X18" s="1812"/>
      <c r="Y18" s="3294"/>
      <c r="Z18" s="1813"/>
      <c r="AA18" s="1810">
        <v>1</v>
      </c>
      <c r="AB18" s="1810">
        <v>1</v>
      </c>
      <c r="AC18" s="1810">
        <v>1</v>
      </c>
    </row>
    <row r="19" spans="1:29" ht="15">
      <c r="A19" s="427"/>
      <c r="B19" s="450" t="s">
        <v>2684</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94"/>
      <c r="Q19" s="1809" t="str">
        <f>B19</f>
        <v>办公集聚程度</v>
      </c>
      <c r="R19" s="773" t="s">
        <v>17</v>
      </c>
      <c r="S19" s="774">
        <f>F19</f>
        <v>100</v>
      </c>
      <c r="T19" s="773" t="s">
        <v>17</v>
      </c>
      <c r="U19" s="774">
        <f>H19</f>
        <v>100</v>
      </c>
      <c r="V19" s="773" t="s">
        <v>17</v>
      </c>
      <c r="W19" s="774">
        <f>J19</f>
        <v>100</v>
      </c>
      <c r="X19" s="1812"/>
      <c r="Y19" s="3294"/>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39"/>
      <c r="M20" s="1130"/>
      <c r="N20" s="1130"/>
      <c r="O20" s="1138"/>
      <c r="P20" s="3294"/>
      <c r="Q20" s="1809"/>
      <c r="R20" s="773"/>
      <c r="S20" s="774"/>
      <c r="T20" s="773"/>
      <c r="U20" s="774"/>
      <c r="V20" s="773"/>
      <c r="W20" s="774"/>
      <c r="X20" s="1812"/>
      <c r="Y20" s="3294"/>
      <c r="Z20" s="1813"/>
      <c r="AA20" s="1810">
        <v>1</v>
      </c>
      <c r="AB20" s="1810">
        <v>1</v>
      </c>
      <c r="AC20" s="1810">
        <v>1</v>
      </c>
    </row>
    <row r="21" spans="1:29" ht="15">
      <c r="A21" s="427"/>
      <c r="B21" s="450" t="s">
        <v>2706</v>
      </c>
      <c r="C21" s="2607"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94"/>
      <c r="Q21" s="1809" t="str">
        <f>B21</f>
        <v>交通便捷度</v>
      </c>
      <c r="R21" s="773" t="s">
        <v>17</v>
      </c>
      <c r="S21" s="774">
        <f>F21</f>
        <v>100</v>
      </c>
      <c r="T21" s="773" t="s">
        <v>17</v>
      </c>
      <c r="U21" s="774">
        <f>H21</f>
        <v>100</v>
      </c>
      <c r="V21" s="773" t="s">
        <v>17</v>
      </c>
      <c r="W21" s="774">
        <f>J21</f>
        <v>100</v>
      </c>
      <c r="X21" s="1812"/>
      <c r="Y21" s="3294"/>
      <c r="Z21" s="1813" t="str">
        <f>Q21</f>
        <v>交通便捷度</v>
      </c>
      <c r="AA21" s="1810">
        <f t="shared" si="3"/>
        <v>1</v>
      </c>
      <c r="AB21" s="1810">
        <f t="shared" si="4"/>
        <v>1</v>
      </c>
      <c r="AC21" s="1810">
        <f t="shared" si="5"/>
        <v>1</v>
      </c>
    </row>
    <row r="22" spans="1:29" ht="15">
      <c r="A22" s="427"/>
      <c r="B22" s="1383"/>
      <c r="C22" s="446"/>
      <c r="D22" s="449"/>
      <c r="E22" s="2605"/>
      <c r="F22" s="447"/>
      <c r="G22" s="2605"/>
      <c r="H22" s="447"/>
      <c r="I22" s="2604"/>
      <c r="J22" s="447"/>
      <c r="K22" s="671"/>
      <c r="L22" s="1139"/>
      <c r="M22" s="1130"/>
      <c r="N22" s="1130"/>
      <c r="O22" s="1138"/>
      <c r="P22" s="3294"/>
      <c r="Q22" s="1809"/>
      <c r="R22" s="773"/>
      <c r="S22" s="774"/>
      <c r="T22" s="773"/>
      <c r="U22" s="774"/>
      <c r="V22" s="773"/>
      <c r="W22" s="774"/>
      <c r="X22" s="1812"/>
      <c r="Y22" s="3294"/>
      <c r="Z22" s="1813"/>
      <c r="AA22" s="1810">
        <v>1</v>
      </c>
      <c r="AB22" s="1810">
        <v>1</v>
      </c>
      <c r="AC22" s="1810">
        <v>1</v>
      </c>
    </row>
    <row r="23" spans="1:29" ht="15">
      <c r="A23" s="403"/>
      <c r="B23" s="450" t="s">
        <v>2744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94"/>
      <c r="Q23" s="1809" t="str">
        <f t="shared" ref="Q23:Q37" si="8">B23</f>
        <v>区域土地利用方向</v>
      </c>
      <c r="R23" s="773" t="s">
        <v>17</v>
      </c>
      <c r="S23" s="774">
        <f>F23</f>
        <v>100</v>
      </c>
      <c r="T23" s="773" t="s">
        <v>17</v>
      </c>
      <c r="U23" s="774">
        <f>H23</f>
        <v>100</v>
      </c>
      <c r="V23" s="773" t="s">
        <v>17</v>
      </c>
      <c r="W23" s="774">
        <f>J23</f>
        <v>100</v>
      </c>
      <c r="X23" s="1812"/>
      <c r="Y23" s="3294"/>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11"/>
      <c r="L24" s="1139"/>
      <c r="M24" s="1130"/>
      <c r="N24" s="1130"/>
      <c r="O24" s="1138"/>
      <c r="P24" s="3294"/>
      <c r="Q24" s="1809"/>
      <c r="R24" s="773"/>
      <c r="S24" s="774"/>
      <c r="T24" s="773"/>
      <c r="U24" s="774"/>
      <c r="V24" s="773"/>
      <c r="W24" s="774"/>
      <c r="X24" s="1812"/>
      <c r="Y24" s="3294"/>
      <c r="Z24" s="1813"/>
      <c r="AA24" s="1810"/>
      <c r="AB24" s="1810"/>
      <c r="AC24" s="1810"/>
    </row>
    <row r="25" spans="1:29" ht="27">
      <c r="A25" s="403"/>
      <c r="B25" s="1383" t="s">
        <v>2745</v>
      </c>
      <c r="C25" s="2664"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94"/>
      <c r="Q25" s="1809" t="str">
        <f t="shared" si="8"/>
        <v>自然及人文环境状况</v>
      </c>
      <c r="R25" s="773" t="s">
        <v>17</v>
      </c>
      <c r="S25" s="774">
        <f>F25</f>
        <v>100</v>
      </c>
      <c r="T25" s="773" t="s">
        <v>17</v>
      </c>
      <c r="U25" s="774">
        <f>H25</f>
        <v>100</v>
      </c>
      <c r="V25" s="773" t="s">
        <v>17</v>
      </c>
      <c r="W25" s="774">
        <f>J25</f>
        <v>100</v>
      </c>
      <c r="X25" s="1812"/>
      <c r="Y25" s="3294"/>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39"/>
      <c r="M26" s="1130"/>
      <c r="N26" s="1130"/>
      <c r="O26" s="1138"/>
      <c r="P26" s="3294"/>
      <c r="Q26" s="1809"/>
      <c r="R26" s="773"/>
      <c r="S26" s="774"/>
      <c r="T26" s="773"/>
      <c r="U26" s="774"/>
      <c r="V26" s="773"/>
      <c r="W26" s="774"/>
      <c r="X26" s="1812"/>
      <c r="Y26" s="3294"/>
      <c r="Z26" s="1813"/>
      <c r="AA26" s="1810">
        <v>1</v>
      </c>
      <c r="AB26" s="1810">
        <v>1</v>
      </c>
      <c r="AC26" s="1810">
        <v>1</v>
      </c>
    </row>
    <row r="27" spans="1:29" s="116" customFormat="1" ht="15">
      <c r="A27" s="648"/>
      <c r="B27" s="1383" t="s">
        <v>2651</v>
      </c>
      <c r="C27" s="2607"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94"/>
      <c r="Q27" s="1794" t="str">
        <f t="shared" si="8"/>
        <v>公共配套设施</v>
      </c>
      <c r="R27" s="769" t="s">
        <v>17</v>
      </c>
      <c r="S27" s="770">
        <f>F27</f>
        <v>100</v>
      </c>
      <c r="T27" s="769" t="s">
        <v>17</v>
      </c>
      <c r="U27" s="770">
        <f>H27</f>
        <v>100</v>
      </c>
      <c r="V27" s="769" t="s">
        <v>17</v>
      </c>
      <c r="W27" s="770">
        <f>J27</f>
        <v>100</v>
      </c>
      <c r="X27" s="771"/>
      <c r="Y27" s="3294"/>
      <c r="Z27" s="55"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1"/>
      <c r="M28" s="1132"/>
      <c r="N28" s="1132"/>
      <c r="O28" s="1133"/>
      <c r="P28" s="3294"/>
      <c r="Q28" s="1794"/>
      <c r="R28" s="769"/>
      <c r="S28" s="770"/>
      <c r="T28" s="769"/>
      <c r="U28" s="770"/>
      <c r="V28" s="769"/>
      <c r="W28" s="770"/>
      <c r="X28" s="771"/>
      <c r="Y28" s="3294"/>
      <c r="Z28" s="55"/>
      <c r="AA28" s="1810">
        <v>1</v>
      </c>
      <c r="AB28" s="1810">
        <v>1</v>
      </c>
      <c r="AC28" s="1810">
        <v>1</v>
      </c>
    </row>
    <row r="29" spans="1:29" s="116" customFormat="1" ht="15">
      <c r="A29" s="648"/>
      <c r="B29" s="1383" t="s">
        <v>2652</v>
      </c>
      <c r="C29" s="2607"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94"/>
      <c r="Q29" s="1794" t="str">
        <f t="shared" ref="Q29" si="9">B29</f>
        <v>基础设施水平</v>
      </c>
      <c r="R29" s="769" t="s">
        <v>17</v>
      </c>
      <c r="S29" s="770">
        <f>F29</f>
        <v>100</v>
      </c>
      <c r="T29" s="769" t="s">
        <v>17</v>
      </c>
      <c r="U29" s="770">
        <f>H29</f>
        <v>100</v>
      </c>
      <c r="V29" s="769" t="s">
        <v>17</v>
      </c>
      <c r="W29" s="770">
        <f>J29</f>
        <v>100</v>
      </c>
      <c r="X29" s="771"/>
      <c r="Y29" s="3294"/>
      <c r="Z29" s="55"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1"/>
      <c r="M30" s="1132"/>
      <c r="N30" s="1132"/>
      <c r="O30" s="1133"/>
      <c r="P30" s="3294"/>
      <c r="Q30" s="1794"/>
      <c r="R30" s="769"/>
      <c r="S30" s="770"/>
      <c r="T30" s="769"/>
      <c r="U30" s="770"/>
      <c r="V30" s="769"/>
      <c r="W30" s="770"/>
      <c r="X30" s="771"/>
      <c r="Y30" s="3294"/>
      <c r="Z30" s="55"/>
      <c r="AA30" s="1810">
        <v>1</v>
      </c>
      <c r="AB30" s="1810">
        <v>1</v>
      </c>
      <c r="AC30" s="1810">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94"/>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94"/>
      <c r="Z31" s="1813" t="str">
        <f t="shared" ref="Z31:Z45" si="13">Q31</f>
        <v>临街状况</v>
      </c>
      <c r="AA31" s="1810">
        <f t="shared" si="3"/>
        <v>1</v>
      </c>
      <c r="AB31" s="1810">
        <f t="shared" si="4"/>
        <v>1</v>
      </c>
      <c r="AC31" s="1810">
        <f t="shared" si="5"/>
        <v>1</v>
      </c>
    </row>
    <row r="32" spans="1:29" ht="27">
      <c r="A32" s="427"/>
      <c r="B32" s="1383"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94"/>
      <c r="Q32" s="1809" t="str">
        <f t="shared" si="8"/>
        <v>毗邻道路的类型与等级</v>
      </c>
      <c r="R32" s="773" t="s">
        <v>17</v>
      </c>
      <c r="S32" s="774">
        <f t="shared" si="10"/>
        <v>100</v>
      </c>
      <c r="T32" s="773" t="s">
        <v>17</v>
      </c>
      <c r="U32" s="774">
        <f t="shared" si="11"/>
        <v>100</v>
      </c>
      <c r="V32" s="773" t="s">
        <v>17</v>
      </c>
      <c r="W32" s="774">
        <f t="shared" si="12"/>
        <v>100</v>
      </c>
      <c r="X32" s="1812"/>
      <c r="Y32" s="3294"/>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39"/>
      <c r="M33" s="1130"/>
      <c r="N33" s="1130"/>
      <c r="O33" s="1138"/>
      <c r="P33" s="3294"/>
      <c r="Q33" s="1809"/>
      <c r="R33" s="773"/>
      <c r="S33" s="774"/>
      <c r="T33" s="773"/>
      <c r="U33" s="774"/>
      <c r="V33" s="773"/>
      <c r="W33" s="774"/>
      <c r="X33" s="1812"/>
      <c r="Y33" s="3294"/>
      <c r="Z33" s="1813"/>
      <c r="AA33" s="1810">
        <v>1</v>
      </c>
      <c r="AB33" s="1810">
        <v>1</v>
      </c>
      <c r="AC33" s="1810">
        <v>1</v>
      </c>
    </row>
    <row r="34" spans="1:29" ht="15">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94"/>
      <c r="Q34" s="1809" t="str">
        <f t="shared" si="8"/>
        <v>土地级别</v>
      </c>
      <c r="R34" s="773" t="s">
        <v>17</v>
      </c>
      <c r="S34" s="774">
        <f t="shared" si="10"/>
        <v>100</v>
      </c>
      <c r="T34" s="773" t="s">
        <v>17</v>
      </c>
      <c r="U34" s="774">
        <f t="shared" si="11"/>
        <v>100</v>
      </c>
      <c r="V34" s="773" t="s">
        <v>17</v>
      </c>
      <c r="W34" s="774">
        <f t="shared" si="12"/>
        <v>100</v>
      </c>
      <c r="X34" s="1812"/>
      <c r="Y34" s="3294"/>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94"/>
      <c r="Q35" s="1809">
        <f t="shared" si="8"/>
        <v>111</v>
      </c>
      <c r="R35" s="773" t="s">
        <v>17</v>
      </c>
      <c r="S35" s="774">
        <f t="shared" si="10"/>
        <v>100</v>
      </c>
      <c r="T35" s="773" t="s">
        <v>17</v>
      </c>
      <c r="U35" s="774">
        <f t="shared" si="11"/>
        <v>100</v>
      </c>
      <c r="V35" s="773" t="s">
        <v>17</v>
      </c>
      <c r="W35" s="774">
        <f t="shared" si="12"/>
        <v>100</v>
      </c>
      <c r="X35" s="1812"/>
      <c r="Y35" s="3294"/>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47" t="s">
        <v>2562</v>
      </c>
      <c r="Q36" s="1809">
        <f t="shared" si="8"/>
        <v>111</v>
      </c>
      <c r="R36" s="773" t="s">
        <v>17</v>
      </c>
      <c r="S36" s="774">
        <f t="shared" si="10"/>
        <v>100</v>
      </c>
      <c r="T36" s="773" t="s">
        <v>17</v>
      </c>
      <c r="U36" s="774">
        <f t="shared" si="11"/>
        <v>100</v>
      </c>
      <c r="V36" s="773" t="s">
        <v>17</v>
      </c>
      <c r="W36" s="774">
        <f t="shared" si="12"/>
        <v>100</v>
      </c>
      <c r="X36" s="1812"/>
      <c r="Y36" s="3298" t="s">
        <v>2562</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98"/>
      <c r="Q37" s="1809">
        <f t="shared" si="8"/>
        <v>111</v>
      </c>
      <c r="R37" s="776" t="s">
        <v>17</v>
      </c>
      <c r="S37" s="777">
        <f t="shared" si="10"/>
        <v>100</v>
      </c>
      <c r="T37" s="776" t="s">
        <v>17</v>
      </c>
      <c r="U37" s="777">
        <f t="shared" si="11"/>
        <v>100</v>
      </c>
      <c r="V37" s="776" t="s">
        <v>17</v>
      </c>
      <c r="W37" s="777">
        <f t="shared" si="12"/>
        <v>100</v>
      </c>
      <c r="X37" s="778"/>
      <c r="Y37" s="3298"/>
      <c r="Z37" s="779">
        <f t="shared" si="13"/>
        <v>111</v>
      </c>
      <c r="AA37" s="1810">
        <f t="shared" si="3"/>
        <v>1</v>
      </c>
      <c r="AB37" s="1810">
        <f t="shared" si="4"/>
        <v>1</v>
      </c>
      <c r="AC37" s="1810">
        <f t="shared" si="5"/>
        <v>1</v>
      </c>
    </row>
    <row r="38" spans="1:29" ht="15">
      <c r="A38" s="471" t="s">
        <v>2560</v>
      </c>
      <c r="B38" s="455" t="s">
        <v>2747</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98"/>
      <c r="Q38" s="1809" t="str">
        <f>B38</f>
        <v>宗地面积</v>
      </c>
      <c r="R38" s="773" t="s">
        <v>17</v>
      </c>
      <c r="S38" s="774" t="e">
        <f t="shared" si="10"/>
        <v>#N/A</v>
      </c>
      <c r="T38" s="773" t="s">
        <v>17</v>
      </c>
      <c r="U38" s="774" t="e">
        <f t="shared" si="11"/>
        <v>#N/A</v>
      </c>
      <c r="V38" s="773" t="s">
        <v>17</v>
      </c>
      <c r="W38" s="774" t="e">
        <f t="shared" si="12"/>
        <v>#N/A</v>
      </c>
      <c r="X38" s="1812"/>
      <c r="Y38" s="3298"/>
      <c r="Z38" s="1813" t="str">
        <f t="shared" si="13"/>
        <v>宗地面积</v>
      </c>
      <c r="AA38" s="1810" t="e">
        <f t="shared" si="3"/>
        <v>#N/A</v>
      </c>
      <c r="AB38" s="1810" t="e">
        <f t="shared" si="4"/>
        <v>#N/A</v>
      </c>
      <c r="AC38" s="1810" t="e">
        <f t="shared" si="5"/>
        <v>#N/A</v>
      </c>
    </row>
    <row r="39" spans="1:29" ht="15">
      <c r="A39" s="471"/>
      <c r="B39" s="421" t="s">
        <v>2748</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39"/>
      <c r="M39" s="1130"/>
      <c r="N39" s="1130"/>
      <c r="O39" s="1138"/>
      <c r="P39" s="3298"/>
      <c r="Q39" s="1809" t="str">
        <f t="shared" ref="Q39:Q45" si="14">B39</f>
        <v>宗地形状</v>
      </c>
      <c r="R39" s="773" t="s">
        <v>17</v>
      </c>
      <c r="S39" s="774">
        <f t="shared" si="10"/>
        <v>100</v>
      </c>
      <c r="T39" s="773" t="s">
        <v>17</v>
      </c>
      <c r="U39" s="774">
        <f t="shared" si="11"/>
        <v>100</v>
      </c>
      <c r="V39" s="773" t="s">
        <v>17</v>
      </c>
      <c r="W39" s="774">
        <f t="shared" si="12"/>
        <v>100</v>
      </c>
      <c r="X39" s="1812"/>
      <c r="Y39" s="3298"/>
      <c r="Z39" s="1813" t="str">
        <f t="shared" si="13"/>
        <v>宗地形状</v>
      </c>
      <c r="AA39" s="1810">
        <f t="shared" si="3"/>
        <v>1</v>
      </c>
      <c r="AB39" s="1810">
        <f t="shared" si="4"/>
        <v>1</v>
      </c>
      <c r="AC39" s="1810">
        <f t="shared" si="5"/>
        <v>1</v>
      </c>
    </row>
    <row r="40" spans="1:29" ht="15">
      <c r="A40" s="471"/>
      <c r="B40" s="421" t="s">
        <v>2749</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9"/>
      <c r="M40" s="1130"/>
      <c r="N40" s="1130"/>
      <c r="O40" s="1138"/>
      <c r="P40" s="3298"/>
      <c r="Q40" s="1809" t="str">
        <f t="shared" si="14"/>
        <v>临街宽度及深度</v>
      </c>
      <c r="R40" s="773" t="s">
        <v>17</v>
      </c>
      <c r="S40" s="774">
        <f t="shared" si="10"/>
        <v>100</v>
      </c>
      <c r="T40" s="773" t="s">
        <v>17</v>
      </c>
      <c r="U40" s="774">
        <f t="shared" si="11"/>
        <v>100</v>
      </c>
      <c r="V40" s="773" t="s">
        <v>17</v>
      </c>
      <c r="W40" s="774">
        <f t="shared" si="12"/>
        <v>100</v>
      </c>
      <c r="X40" s="1812"/>
      <c r="Y40" s="3298"/>
      <c r="Z40" s="1813" t="str">
        <f t="shared" si="13"/>
        <v>临街宽度及深度</v>
      </c>
      <c r="AA40" s="1810">
        <f t="shared" si="3"/>
        <v>1</v>
      </c>
      <c r="AB40" s="1810">
        <f t="shared" si="4"/>
        <v>1</v>
      </c>
      <c r="AC40" s="1810">
        <f t="shared" si="5"/>
        <v>1</v>
      </c>
    </row>
    <row r="41" spans="1:29" s="116" customFormat="1" ht="15">
      <c r="A41" s="472"/>
      <c r="B41" s="421" t="s">
        <v>2750</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98"/>
      <c r="Q41" s="1809" t="str">
        <f t="shared" si="14"/>
        <v>宗地开发程度</v>
      </c>
      <c r="R41" s="769" t="s">
        <v>17</v>
      </c>
      <c r="S41" s="770">
        <f t="shared" si="10"/>
        <v>100</v>
      </c>
      <c r="T41" s="769" t="s">
        <v>17</v>
      </c>
      <c r="U41" s="770">
        <f t="shared" si="11"/>
        <v>100</v>
      </c>
      <c r="V41" s="769" t="s">
        <v>17</v>
      </c>
      <c r="W41" s="770">
        <f t="shared" si="12"/>
        <v>100</v>
      </c>
      <c r="X41" s="771"/>
      <c r="Y41" s="3298"/>
      <c r="Z41" s="55" t="str">
        <f t="shared" si="13"/>
        <v>宗地开发程度</v>
      </c>
      <c r="AA41" s="772">
        <f t="shared" si="3"/>
        <v>1</v>
      </c>
      <c r="AB41" s="772">
        <f t="shared" si="4"/>
        <v>1</v>
      </c>
      <c r="AC41" s="772">
        <f t="shared" si="5"/>
        <v>1</v>
      </c>
    </row>
    <row r="42" spans="1:29" ht="15">
      <c r="A42" s="471"/>
      <c r="B42" s="421" t="s">
        <v>2751</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98" t="s">
        <v>2562</v>
      </c>
      <c r="Q42" s="1809" t="str">
        <f t="shared" si="14"/>
        <v>工程地质条件</v>
      </c>
      <c r="R42" s="773" t="s">
        <v>17</v>
      </c>
      <c r="S42" s="774">
        <f t="shared" si="10"/>
        <v>100</v>
      </c>
      <c r="T42" s="773" t="s">
        <v>17</v>
      </c>
      <c r="U42" s="774">
        <f t="shared" si="11"/>
        <v>100</v>
      </c>
      <c r="V42" s="773" t="s">
        <v>17</v>
      </c>
      <c r="W42" s="774">
        <f t="shared" si="12"/>
        <v>100</v>
      </c>
      <c r="X42" s="1812"/>
      <c r="Y42" s="3298" t="s">
        <v>2562</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98"/>
      <c r="Q43" s="1809">
        <f t="shared" si="14"/>
        <v>111</v>
      </c>
      <c r="R43" s="773" t="s">
        <v>17</v>
      </c>
      <c r="S43" s="774">
        <f t="shared" si="10"/>
        <v>100</v>
      </c>
      <c r="T43" s="773" t="s">
        <v>17</v>
      </c>
      <c r="U43" s="774">
        <f t="shared" si="11"/>
        <v>100</v>
      </c>
      <c r="V43" s="773" t="s">
        <v>17</v>
      </c>
      <c r="W43" s="774">
        <f t="shared" si="12"/>
        <v>100</v>
      </c>
      <c r="X43" s="1812"/>
      <c r="Y43" s="3298"/>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98"/>
      <c r="Q44" s="1809">
        <f t="shared" si="14"/>
        <v>111</v>
      </c>
      <c r="R44" s="773" t="s">
        <v>17</v>
      </c>
      <c r="S44" s="774">
        <f t="shared" si="10"/>
        <v>100</v>
      </c>
      <c r="T44" s="773" t="s">
        <v>17</v>
      </c>
      <c r="U44" s="774">
        <f t="shared" si="11"/>
        <v>100</v>
      </c>
      <c r="V44" s="773" t="s">
        <v>17</v>
      </c>
      <c r="W44" s="774">
        <f t="shared" si="12"/>
        <v>100</v>
      </c>
      <c r="X44" s="1812"/>
      <c r="Y44" s="3298"/>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98"/>
      <c r="Q45" s="1809">
        <f t="shared" si="14"/>
        <v>111</v>
      </c>
      <c r="R45" s="776" t="s">
        <v>17</v>
      </c>
      <c r="S45" s="777">
        <f t="shared" si="10"/>
        <v>100</v>
      </c>
      <c r="T45" s="776" t="s">
        <v>17</v>
      </c>
      <c r="U45" s="777">
        <f t="shared" si="11"/>
        <v>100</v>
      </c>
      <c r="V45" s="776" t="s">
        <v>17</v>
      </c>
      <c r="W45" s="777">
        <f t="shared" si="12"/>
        <v>100</v>
      </c>
      <c r="X45" s="778"/>
      <c r="Y45" s="3298"/>
      <c r="Z45" s="779">
        <f t="shared" si="13"/>
        <v>111</v>
      </c>
      <c r="AA45" s="1810">
        <f t="shared" si="3"/>
        <v>1</v>
      </c>
      <c r="AB45" s="1810">
        <f t="shared" si="4"/>
        <v>1</v>
      </c>
      <c r="AC45" s="1810">
        <f t="shared" si="5"/>
        <v>1</v>
      </c>
    </row>
    <row r="46" spans="1:29" ht="15">
      <c r="A46" s="478" t="s">
        <v>2717</v>
      </c>
      <c r="B46" s="2704" t="s">
        <v>2752</v>
      </c>
      <c r="C46" s="681" t="s">
        <v>1</v>
      </c>
      <c r="D46" s="480"/>
      <c r="E46" s="481"/>
      <c r="F46" s="482"/>
      <c r="G46" s="483"/>
      <c r="H46" s="484"/>
      <c r="I46" s="481"/>
      <c r="J46" s="484"/>
      <c r="K46" s="782"/>
      <c r="L46" s="1142"/>
      <c r="M46" s="1143"/>
      <c r="N46" s="1130"/>
      <c r="O46" s="1143"/>
      <c r="P46" s="3300" t="str">
        <f>A46</f>
        <v>成交单价</v>
      </c>
      <c r="Q46" s="3300"/>
      <c r="R46" s="3261">
        <f>E46</f>
        <v>0</v>
      </c>
      <c r="S46" s="3261"/>
      <c r="T46" s="3261">
        <f>G46</f>
        <v>0</v>
      </c>
      <c r="U46" s="3261"/>
      <c r="V46" s="3261">
        <f>I46</f>
        <v>0</v>
      </c>
      <c r="W46" s="3261"/>
      <c r="X46" s="758"/>
      <c r="Y46" s="780"/>
      <c r="Z46" s="758"/>
      <c r="AA46" s="758"/>
      <c r="AB46" s="758"/>
      <c r="AC46" s="758"/>
    </row>
    <row r="47" spans="1:29" ht="15.75" thickBot="1">
      <c r="A47" s="485" t="s">
        <v>2666</v>
      </c>
      <c r="B47" s="682"/>
      <c r="C47" s="489" t="e">
        <f>R48</f>
        <v>#DIV/0!</v>
      </c>
      <c r="D47" s="488"/>
      <c r="E47" s="489" t="e">
        <f>R47</f>
        <v>#DIV/0!</v>
      </c>
      <c r="F47" s="490"/>
      <c r="G47" s="487" t="e">
        <f>T47</f>
        <v>#DIV/0!</v>
      </c>
      <c r="H47" s="488"/>
      <c r="I47" s="489" t="e">
        <f>V47</f>
        <v>#DIV/0!</v>
      </c>
      <c r="J47" s="488"/>
      <c r="K47" s="783"/>
      <c r="L47" s="1142"/>
      <c r="M47" s="1143"/>
      <c r="N47" s="1143"/>
      <c r="O47" s="1143"/>
      <c r="P47" s="3300" t="str">
        <f>A47</f>
        <v>比较价值（元/平方米）</v>
      </c>
      <c r="Q47" s="3300"/>
      <c r="R47" s="3348" t="e">
        <f>ROUND(PRODUCT(R46,AA7:AA45),0)</f>
        <v>#DIV/0!</v>
      </c>
      <c r="S47" s="3348"/>
      <c r="T47" s="3348" t="e">
        <f>ROUND(PRODUCT(T46,AB7:AB45),0)</f>
        <v>#DIV/0!</v>
      </c>
      <c r="U47" s="3348"/>
      <c r="V47" s="3348" t="e">
        <f>ROUND(PRODUCT(V46,AC7:AC45),0)</f>
        <v>#DIV/0!</v>
      </c>
      <c r="W47" s="3348"/>
      <c r="X47" s="758"/>
      <c r="Y47" s="758"/>
      <c r="Z47" s="758"/>
      <c r="AA47" s="758"/>
      <c r="AB47" s="758"/>
      <c r="AC47" s="758"/>
    </row>
    <row r="48" spans="1:29" ht="15.75" thickBot="1">
      <c r="A48" s="491" t="s">
        <v>2753</v>
      </c>
      <c r="B48" s="492"/>
      <c r="C48" s="493" t="e">
        <f>R48</f>
        <v>#DIV/0!</v>
      </c>
      <c r="D48" s="493"/>
      <c r="E48" s="493"/>
      <c r="F48" s="493"/>
      <c r="G48" s="493"/>
      <c r="H48" s="493"/>
      <c r="I48" s="493"/>
      <c r="J48" s="493"/>
      <c r="K48" s="784"/>
      <c r="L48" s="1142"/>
      <c r="M48" s="1143"/>
      <c r="N48" s="1143"/>
      <c r="O48" s="1143"/>
      <c r="P48" s="3302" t="str">
        <f>A48</f>
        <v>估价对象XX用房的比较价值（楼面单价，元/平方米）</v>
      </c>
      <c r="Q48" s="3303"/>
      <c r="R48" s="3349" t="e">
        <f>ROUND(AVERAGE(R47:V47),0)</f>
        <v>#DIV/0!</v>
      </c>
      <c r="S48" s="3349"/>
      <c r="T48" s="3349"/>
      <c r="U48" s="3349"/>
      <c r="V48" s="3349"/>
      <c r="W48" s="334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2754</v>
      </c>
      <c r="B55" s="684" t="s">
        <v>2755</v>
      </c>
      <c r="C55" s="2705" t="s">
        <v>2756</v>
      </c>
      <c r="D55" s="2706" t="s">
        <v>2757</v>
      </c>
      <c r="E55" s="685" t="s">
        <v>2758</v>
      </c>
      <c r="F55" s="1106" t="s">
        <v>2759</v>
      </c>
      <c r="G55" s="3278" t="s">
        <v>2760</v>
      </c>
      <c r="H55" s="3350"/>
      <c r="I55" s="143" t="s">
        <v>2761</v>
      </c>
      <c r="J55" s="2707">
        <f>项目基本情况!F35</f>
        <v>0</v>
      </c>
      <c r="K55" s="2708" t="s">
        <v>2762</v>
      </c>
      <c r="L55" s="1105"/>
      <c r="M55" s="1143"/>
      <c r="N55" s="1143"/>
      <c r="O55" s="1143"/>
    </row>
    <row r="56" spans="1:15" s="691" customFormat="1">
      <c r="A56" s="687" t="s">
        <v>2763</v>
      </c>
      <c r="B56" s="688" t="e">
        <f>C48</f>
        <v>#DIV/0!</v>
      </c>
      <c r="C56" s="689">
        <v>1</v>
      </c>
      <c r="D56" s="1162">
        <v>1</v>
      </c>
      <c r="E56" s="689">
        <f>'数据-汇总表'!E8+'数据-汇总表'!E9</f>
        <v>31181.27</v>
      </c>
      <c r="F56" s="1102" t="e">
        <f t="shared" ref="F56:F65" si="15">ROUND(B56*E56/10000,0)</f>
        <v>#DIV/0!</v>
      </c>
      <c r="G56" s="3277"/>
      <c r="H56" s="3300"/>
      <c r="I56" s="1107">
        <v>1</v>
      </c>
      <c r="J56" s="1110">
        <v>1</v>
      </c>
      <c r="K56" s="1144"/>
      <c r="L56" s="940"/>
      <c r="M56" s="940"/>
      <c r="N56" s="940"/>
      <c r="O56" s="940"/>
    </row>
    <row r="57" spans="1:15" s="691" customFormat="1">
      <c r="A57" s="692" t="s">
        <v>2764</v>
      </c>
      <c r="B57" s="261" t="e">
        <f>ROUND($C$48*C57*D57,0)</f>
        <v>#DIV/0!</v>
      </c>
      <c r="C57" s="199">
        <f t="shared" ref="C57:C65" si="16">IF($C$55="北京市系数",I57,J57)</f>
        <v>0</v>
      </c>
      <c r="D57" s="1163">
        <v>0.25</v>
      </c>
      <c r="E57" s="693"/>
      <c r="F57" s="1102" t="e">
        <f t="shared" si="15"/>
        <v>#DIV/0!</v>
      </c>
      <c r="G57" s="3351" t="s">
        <v>2765</v>
      </c>
      <c r="H57" s="1103">
        <f>项目基本情况!B37</f>
        <v>0</v>
      </c>
      <c r="I57" s="1107">
        <f>SUMIF(修正!A45:A56,H57,修正!B45:B56)</f>
        <v>0</v>
      </c>
      <c r="J57" s="1111"/>
      <c r="K57" s="1143"/>
      <c r="L57" s="940"/>
      <c r="M57" s="940"/>
      <c r="N57" s="940"/>
      <c r="O57" s="940"/>
    </row>
    <row r="58" spans="1:15" s="691" customFormat="1">
      <c r="A58" s="692" t="s">
        <v>2766</v>
      </c>
      <c r="B58" s="261" t="e">
        <f t="shared" ref="B58:B65" si="17">ROUND($C$48*C58*D58,0)</f>
        <v>#DIV/0!</v>
      </c>
      <c r="C58" s="199">
        <f t="shared" si="16"/>
        <v>0</v>
      </c>
      <c r="D58" s="1163">
        <v>0.25</v>
      </c>
      <c r="E58" s="693"/>
      <c r="F58" s="1102" t="e">
        <f t="shared" si="15"/>
        <v>#DIV/0!</v>
      </c>
      <c r="G58" s="3351"/>
      <c r="H58" s="1103">
        <f>项目基本情况!B37</f>
        <v>0</v>
      </c>
      <c r="I58" s="1107">
        <f>SUMIF(修正!A45:A56,H58,修正!C45:C56)</f>
        <v>0</v>
      </c>
      <c r="J58" s="1111"/>
      <c r="K58" s="1144"/>
      <c r="L58" s="940"/>
      <c r="M58" s="940"/>
      <c r="N58" s="940"/>
      <c r="O58" s="940"/>
    </row>
    <row r="59" spans="1:15" s="691" customFormat="1">
      <c r="A59" s="692" t="s">
        <v>2767</v>
      </c>
      <c r="B59" s="261" t="e">
        <f t="shared" si="17"/>
        <v>#DIV/0!</v>
      </c>
      <c r="C59" s="199">
        <f t="shared" si="16"/>
        <v>0</v>
      </c>
      <c r="D59" s="1163">
        <v>0.25</v>
      </c>
      <c r="E59" s="693"/>
      <c r="F59" s="1102" t="e">
        <f t="shared" si="15"/>
        <v>#DIV/0!</v>
      </c>
      <c r="G59" s="3351"/>
      <c r="H59" s="1103">
        <f>项目基本情况!B37</f>
        <v>0</v>
      </c>
      <c r="I59" s="1107">
        <f>SUMIF(修正!A45:A56,H59,修正!D45:D56)</f>
        <v>0</v>
      </c>
      <c r="J59" s="1111"/>
      <c r="K59" s="1143"/>
      <c r="L59" s="940"/>
      <c r="M59" s="940"/>
      <c r="N59" s="940"/>
      <c r="O59" s="940"/>
    </row>
    <row r="60" spans="1:15" s="691" customFormat="1">
      <c r="A60" s="692" t="s">
        <v>2768</v>
      </c>
      <c r="B60" s="261" t="e">
        <f t="shared" si="17"/>
        <v>#DIV/0!</v>
      </c>
      <c r="C60" s="199">
        <f t="shared" si="16"/>
        <v>0</v>
      </c>
      <c r="D60" s="1163">
        <v>0.25</v>
      </c>
      <c r="E60" s="693"/>
      <c r="F60" s="1102" t="e">
        <f t="shared" si="15"/>
        <v>#DIV/0!</v>
      </c>
      <c r="G60" s="3351"/>
      <c r="H60" s="1103">
        <f>项目基本情况!B37</f>
        <v>0</v>
      </c>
      <c r="I60" s="1107">
        <f>SUMIF(修正!A45:A56,H60,修正!E45:E56)</f>
        <v>0</v>
      </c>
      <c r="J60" s="1111"/>
      <c r="K60" s="1144"/>
      <c r="L60" s="940"/>
      <c r="M60" s="940"/>
      <c r="N60" s="940"/>
      <c r="O60" s="940"/>
    </row>
    <row r="61" spans="1:15" s="691" customFormat="1">
      <c r="A61" s="692" t="s">
        <v>2769</v>
      </c>
      <c r="B61" s="261" t="e">
        <f t="shared" si="17"/>
        <v>#DIV/0!</v>
      </c>
      <c r="C61" s="199">
        <f t="shared" si="16"/>
        <v>0</v>
      </c>
      <c r="D61" s="1163">
        <v>0.25</v>
      </c>
      <c r="E61" s="260">
        <f>'数据-汇总表'!E11</f>
        <v>0</v>
      </c>
      <c r="F61" s="1102" t="e">
        <f t="shared" si="15"/>
        <v>#DIV/0!</v>
      </c>
      <c r="G61" s="2709" t="s">
        <v>2770</v>
      </c>
      <c r="H61" s="1103">
        <f>项目基本情况!C37</f>
        <v>0</v>
      </c>
      <c r="I61" s="1107">
        <f>SUMIF(修正!A45:A56,H61,修正!F45:F56)</f>
        <v>0</v>
      </c>
      <c r="J61" s="1111"/>
      <c r="K61" s="1143"/>
      <c r="L61" s="940"/>
      <c r="M61" s="940"/>
      <c r="N61" s="940"/>
      <c r="O61" s="940"/>
    </row>
    <row r="62" spans="1:15" s="691" customFormat="1">
      <c r="A62" s="692" t="s">
        <v>2771</v>
      </c>
      <c r="B62" s="261" t="e">
        <f t="shared" si="17"/>
        <v>#DIV/0!</v>
      </c>
      <c r="C62" s="199">
        <f t="shared" si="16"/>
        <v>0</v>
      </c>
      <c r="D62" s="1163">
        <v>0.25</v>
      </c>
      <c r="E62" s="260">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2773</v>
      </c>
      <c r="B63" s="261" t="e">
        <f t="shared" si="17"/>
        <v>#DIV/0!</v>
      </c>
      <c r="C63" s="199">
        <f t="shared" si="16"/>
        <v>0</v>
      </c>
      <c r="D63" s="1163">
        <v>0.25</v>
      </c>
      <c r="E63" s="260">
        <f>'数据-汇总表'!E13</f>
        <v>3559.58</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2775</v>
      </c>
      <c r="B64" s="261" t="e">
        <f t="shared" si="17"/>
        <v>#DIV/0!</v>
      </c>
      <c r="C64" s="199">
        <f t="shared" si="16"/>
        <v>0</v>
      </c>
      <c r="D64" s="1163">
        <v>0.25</v>
      </c>
      <c r="E64" s="260">
        <f>'数据-汇总表'!E14</f>
        <v>0</v>
      </c>
      <c r="F64" s="1102" t="e">
        <f t="shared" si="15"/>
        <v>#DIV/0!</v>
      </c>
      <c r="G64" s="2709" t="s">
        <v>2765</v>
      </c>
      <c r="H64" s="1103">
        <f>项目基本情况!B37</f>
        <v>0</v>
      </c>
      <c r="I64" s="1107">
        <f>SUMIF(修正!A45:A56,H64,修正!H45:H56)</f>
        <v>0</v>
      </c>
      <c r="J64" s="1111"/>
      <c r="K64" s="1144"/>
      <c r="L64" s="940"/>
      <c r="M64" s="940"/>
      <c r="N64" s="940"/>
      <c r="O64" s="940"/>
    </row>
    <row r="65" spans="1:17" s="691" customFormat="1" ht="15" thickBot="1">
      <c r="A65" s="692" t="s">
        <v>2776</v>
      </c>
      <c r="B65" s="261" t="e">
        <f t="shared" si="17"/>
        <v>#DIV/0!</v>
      </c>
      <c r="C65" s="199">
        <f t="shared" si="16"/>
        <v>0</v>
      </c>
      <c r="D65" s="1163">
        <v>0.25</v>
      </c>
      <c r="E65" s="260">
        <f>'数据-汇总表'!E15</f>
        <v>0</v>
      </c>
      <c r="F65" s="1102" t="e">
        <f t="shared" si="15"/>
        <v>#DIV/0!</v>
      </c>
      <c r="G65" s="2710" t="s">
        <v>2770</v>
      </c>
      <c r="H65" s="1113">
        <f>项目基本情况!C37</f>
        <v>0</v>
      </c>
      <c r="I65" s="1109">
        <f>SUMIF(修正!A45:A56,H65,修正!H45:H56)</f>
        <v>0</v>
      </c>
      <c r="J65" s="1112"/>
      <c r="K65" s="1143"/>
      <c r="L65" s="940"/>
      <c r="M65" s="940"/>
      <c r="N65" s="940"/>
      <c r="O65" s="940"/>
    </row>
    <row r="66" spans="1:17" s="691" customFormat="1" ht="13.5" thickBot="1">
      <c r="A66" s="694" t="s">
        <v>2777</v>
      </c>
      <c r="B66" s="695" t="s">
        <v>28</v>
      </c>
      <c r="C66" s="695" t="s">
        <v>29</v>
      </c>
      <c r="D66" s="695" t="s">
        <v>1026</v>
      </c>
      <c r="E66" s="695">
        <f>IF(B46="楼面地价",SUM(E56:E65),'数据-汇总表'!D3)</f>
        <v>34740.85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2671</v>
      </c>
      <c r="B69" s="758"/>
      <c r="C69" s="763"/>
      <c r="D69" s="763"/>
      <c r="E69" s="763"/>
      <c r="F69" s="764"/>
      <c r="G69" s="764"/>
      <c r="H69" s="763"/>
      <c r="I69" s="763"/>
      <c r="J69" s="1158"/>
      <c r="K69" s="1159"/>
      <c r="L69" s="1160"/>
      <c r="M69" s="1158"/>
      <c r="N69" s="1158"/>
      <c r="O69" s="1158"/>
      <c r="P69" s="502"/>
      <c r="Q69" s="503"/>
    </row>
    <row r="70" spans="1:17" s="507" customFormat="1" ht="15">
      <c r="A70" s="2711" t="s">
        <v>2778</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6" customFormat="1" ht="30" customHeight="1">
      <c r="A71" s="2712" t="s">
        <v>2779</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6" customFormat="1" ht="15.75" thickBot="1">
      <c r="A72" s="514" t="s">
        <v>2582</v>
      </c>
      <c r="B72" s="515"/>
      <c r="C72" s="516"/>
      <c r="D72" s="517"/>
      <c r="E72" s="517"/>
      <c r="F72" s="517"/>
      <c r="G72" s="517"/>
      <c r="H72" s="517"/>
      <c r="I72" s="517"/>
      <c r="J72" s="517"/>
      <c r="K72" s="517"/>
      <c r="L72" s="517"/>
      <c r="M72" s="518"/>
      <c r="N72" s="517"/>
      <c r="O72" s="1161"/>
      <c r="P72" s="503"/>
      <c r="Q72" s="503"/>
    </row>
    <row r="73" spans="1:17" s="116" customFormat="1" ht="15">
      <c r="A73" s="520" t="s">
        <v>2547</v>
      </c>
      <c r="B73" s="509"/>
      <c r="C73" s="521" t="s">
        <v>2649</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2780</v>
      </c>
      <c r="C90" s="577" t="s">
        <v>2594</v>
      </c>
      <c r="D90" s="577" t="s">
        <v>2595</v>
      </c>
      <c r="E90" s="577" t="s">
        <v>2596</v>
      </c>
      <c r="F90" s="577" t="s">
        <v>2597</v>
      </c>
      <c r="G90" s="577" t="s">
        <v>2598</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2781</v>
      </c>
      <c r="C96" s="577" t="s">
        <v>2594</v>
      </c>
      <c r="D96" s="577" t="s">
        <v>2595</v>
      </c>
      <c r="E96" s="577" t="s">
        <v>2596</v>
      </c>
      <c r="F96" s="577" t="s">
        <v>2597</v>
      </c>
      <c r="G96" s="577" t="s">
        <v>2598</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2782</v>
      </c>
      <c r="C98" s="572" t="s">
        <v>2594</v>
      </c>
      <c r="D98" s="572" t="s">
        <v>2595</v>
      </c>
      <c r="E98" s="572" t="s">
        <v>2596</v>
      </c>
      <c r="F98" s="572" t="s">
        <v>2597</v>
      </c>
      <c r="G98" s="572" t="s">
        <v>2598</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2688</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2560</v>
      </c>
      <c r="B116" s="527" t="s">
        <v>2787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2788</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2789</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2790</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2791</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78" t="s">
        <v>2643</v>
      </c>
      <c r="D4" s="3279"/>
      <c r="E4" s="3280" t="s">
        <v>2644</v>
      </c>
      <c r="F4" s="3281"/>
      <c r="G4" s="3278" t="s">
        <v>2645</v>
      </c>
      <c r="H4" s="3279"/>
      <c r="I4" s="3278" t="s">
        <v>2646</v>
      </c>
      <c r="J4" s="3279"/>
      <c r="K4" s="609" t="s">
        <v>2647</v>
      </c>
      <c r="L4" s="1129"/>
      <c r="M4" s="1130"/>
      <c r="N4" s="1130"/>
      <c r="O4" s="1130"/>
      <c r="P4" s="3282" t="s">
        <v>2648</v>
      </c>
      <c r="Q4" s="3283"/>
      <c r="R4" s="3264" t="s">
        <v>2644</v>
      </c>
      <c r="S4" s="3265"/>
      <c r="T4" s="3264" t="s">
        <v>2645</v>
      </c>
      <c r="U4" s="3265"/>
      <c r="V4" s="3261" t="s">
        <v>2646</v>
      </c>
      <c r="W4" s="3261"/>
      <c r="X4" s="1812"/>
      <c r="Y4" s="3264" t="s">
        <v>2648</v>
      </c>
      <c r="Z4" s="3265"/>
      <c r="AA4" s="3258" t="s">
        <v>2644</v>
      </c>
      <c r="AB4" s="3259" t="s">
        <v>2645</v>
      </c>
      <c r="AC4" s="3258" t="s">
        <v>2646</v>
      </c>
    </row>
    <row r="5" spans="1:29" ht="15">
      <c r="A5" s="403"/>
      <c r="B5" s="404"/>
      <c r="C5" s="3270" t="s">
        <v>2539</v>
      </c>
      <c r="D5" s="3271"/>
      <c r="E5" s="3331" t="s">
        <v>2540</v>
      </c>
      <c r="F5" s="3269"/>
      <c r="G5" s="3270" t="s">
        <v>2541</v>
      </c>
      <c r="H5" s="3271"/>
      <c r="I5" s="3270" t="s">
        <v>2542</v>
      </c>
      <c r="J5" s="3271"/>
      <c r="K5" s="609"/>
      <c r="L5" s="1129"/>
      <c r="M5" s="1130"/>
      <c r="N5" s="1130"/>
      <c r="O5" s="1130"/>
      <c r="P5" s="3284"/>
      <c r="Q5" s="3285"/>
      <c r="R5" s="3266"/>
      <c r="S5" s="3267"/>
      <c r="T5" s="3266"/>
      <c r="U5" s="3267"/>
      <c r="V5" s="3261"/>
      <c r="W5" s="3261"/>
      <c r="X5" s="1812"/>
      <c r="Y5" s="3266"/>
      <c r="Z5" s="3267"/>
      <c r="AA5" s="3259"/>
      <c r="AB5" s="3259"/>
      <c r="AC5" s="3259"/>
    </row>
    <row r="6" spans="1:29" ht="15.75" thickBot="1">
      <c r="A6" s="405"/>
      <c r="B6" s="406"/>
      <c r="C6" s="3352" t="s">
        <v>2793</v>
      </c>
      <c r="D6" s="3353"/>
      <c r="E6" s="3354" t="s">
        <v>2793</v>
      </c>
      <c r="F6" s="3355"/>
      <c r="G6" s="3352" t="s">
        <v>2793</v>
      </c>
      <c r="H6" s="3353"/>
      <c r="I6" s="3352" t="s">
        <v>2793</v>
      </c>
      <c r="J6" s="3353"/>
      <c r="K6" s="609" t="s">
        <v>2544</v>
      </c>
      <c r="L6" s="1129"/>
      <c r="M6" s="1130"/>
      <c r="N6" s="1130"/>
      <c r="O6" s="1130"/>
      <c r="P6" s="3286"/>
      <c r="Q6" s="3287"/>
      <c r="R6" s="3266"/>
      <c r="S6" s="3267"/>
      <c r="T6" s="3288"/>
      <c r="U6" s="3289"/>
      <c r="V6" s="3261"/>
      <c r="W6" s="3261"/>
      <c r="X6" s="1812"/>
      <c r="Y6" s="3288"/>
      <c r="Z6" s="3289"/>
      <c r="AA6" s="3260"/>
      <c r="AB6" s="3260"/>
      <c r="AC6" s="3260"/>
    </row>
    <row r="7" spans="1:29" s="116" customFormat="1" ht="15.75" thickBot="1">
      <c r="A7" s="407" t="s">
        <v>2545</v>
      </c>
      <c r="B7" s="408"/>
      <c r="C7" s="409">
        <f>'数据-取费表'!B2</f>
        <v>43634</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62" t="s">
        <v>2546</v>
      </c>
      <c r="Q7" s="3290"/>
      <c r="R7" s="769" t="s">
        <v>17</v>
      </c>
      <c r="S7" s="770">
        <f t="shared" ref="S7:S15" si="0">F7</f>
        <v>0</v>
      </c>
      <c r="T7" s="769" t="s">
        <v>17</v>
      </c>
      <c r="U7" s="770">
        <f t="shared" ref="U7:U15" si="1">H7</f>
        <v>0</v>
      </c>
      <c r="V7" s="769" t="s">
        <v>17</v>
      </c>
      <c r="W7" s="770">
        <f t="shared" ref="W7:W15" si="2">J7</f>
        <v>0</v>
      </c>
      <c r="X7" s="771"/>
      <c r="Y7" s="3262" t="s">
        <v>2546</v>
      </c>
      <c r="Z7" s="3263"/>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62" t="s">
        <v>2549</v>
      </c>
      <c r="Q8" s="3263"/>
      <c r="R8" s="769" t="s">
        <v>17</v>
      </c>
      <c r="S8" s="770">
        <f t="shared" si="0"/>
        <v>0</v>
      </c>
      <c r="T8" s="769" t="s">
        <v>17</v>
      </c>
      <c r="U8" s="770">
        <f t="shared" si="1"/>
        <v>0</v>
      </c>
      <c r="V8" s="769" t="s">
        <v>17</v>
      </c>
      <c r="W8" s="770">
        <f t="shared" si="2"/>
        <v>0</v>
      </c>
      <c r="X8" s="771"/>
      <c r="Y8" s="3262" t="s">
        <v>2549</v>
      </c>
      <c r="Z8" s="3263"/>
      <c r="AA8" s="772" t="e">
        <f t="shared" ref="AA8:AA40" si="3">D8/F8</f>
        <v>#DIV/0!</v>
      </c>
      <c r="AB8" s="772" t="e">
        <f t="shared" ref="AB8:AB40" si="4">D8/H8</f>
        <v>#DIV/0!</v>
      </c>
      <c r="AC8" s="772" t="e">
        <f t="shared" ref="AC8:AC40" si="5">D8/J8</f>
        <v>#DIV/0!</v>
      </c>
    </row>
    <row r="9" spans="1:29" s="116" customFormat="1">
      <c r="A9" s="414" t="s">
        <v>2550</v>
      </c>
      <c r="B9" s="71" t="s">
        <v>2551</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300" t="s">
        <v>2552</v>
      </c>
      <c r="Q9" s="1794" t="str">
        <f t="shared" ref="Q9:Q15" si="6">B9</f>
        <v>用途</v>
      </c>
      <c r="R9" s="769" t="s">
        <v>17</v>
      </c>
      <c r="S9" s="770">
        <f t="shared" si="0"/>
        <v>100</v>
      </c>
      <c r="T9" s="769" t="s">
        <v>17</v>
      </c>
      <c r="U9" s="770">
        <f t="shared" si="1"/>
        <v>100</v>
      </c>
      <c r="V9" s="769" t="s">
        <v>17</v>
      </c>
      <c r="W9" s="770">
        <f t="shared" si="2"/>
        <v>100</v>
      </c>
      <c r="X9" s="771"/>
      <c r="Y9" s="3130"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117</v>
      </c>
      <c r="G10" s="431"/>
      <c r="H10" s="135">
        <f>ROUND(100/'数据-取费表'!G16,0)</f>
        <v>117</v>
      </c>
      <c r="I10" s="431"/>
      <c r="J10" s="135">
        <f>ROUND(100/'数据-取费表'!G16,0)</f>
        <v>117</v>
      </c>
      <c r="K10" s="671"/>
      <c r="L10" s="1134"/>
      <c r="M10" s="1135"/>
      <c r="N10" s="1135"/>
      <c r="O10" s="1136"/>
      <c r="P10" s="3300"/>
      <c r="Q10" s="1794" t="str">
        <f t="shared" si="6"/>
        <v>土地使用年限（年）</v>
      </c>
      <c r="R10" s="769" t="s">
        <v>17</v>
      </c>
      <c r="S10" s="770">
        <f t="shared" si="0"/>
        <v>117</v>
      </c>
      <c r="T10" s="769" t="s">
        <v>17</v>
      </c>
      <c r="U10" s="770">
        <f t="shared" si="1"/>
        <v>117</v>
      </c>
      <c r="V10" s="769" t="s">
        <v>17</v>
      </c>
      <c r="W10" s="770">
        <f t="shared" si="2"/>
        <v>117</v>
      </c>
      <c r="X10" s="771"/>
      <c r="Y10" s="3130"/>
      <c r="Z10" s="55" t="str">
        <f t="shared" si="7"/>
        <v>土地使用年限（年）</v>
      </c>
      <c r="AA10" s="772">
        <f t="shared" si="3"/>
        <v>0.85470085470085466</v>
      </c>
      <c r="AB10" s="772">
        <f t="shared" si="4"/>
        <v>0.85470085470085466</v>
      </c>
      <c r="AC10" s="772">
        <f t="shared" si="5"/>
        <v>0.85470085470085466</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300"/>
      <c r="Q11" s="1794" t="str">
        <f t="shared" si="6"/>
        <v>容积率</v>
      </c>
      <c r="R11" s="769" t="s">
        <v>17</v>
      </c>
      <c r="S11" s="770" t="e">
        <f t="shared" si="0"/>
        <v>#N/A</v>
      </c>
      <c r="T11" s="769" t="s">
        <v>17</v>
      </c>
      <c r="U11" s="770" t="e">
        <f t="shared" si="1"/>
        <v>#N/A</v>
      </c>
      <c r="V11" s="769" t="s">
        <v>17</v>
      </c>
      <c r="W11" s="770" t="e">
        <f t="shared" si="2"/>
        <v>#N/A</v>
      </c>
      <c r="X11" s="771"/>
      <c r="Y11" s="3130"/>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300"/>
      <c r="Q12" s="1794">
        <f t="shared" si="6"/>
        <v>111</v>
      </c>
      <c r="R12" s="769" t="s">
        <v>17</v>
      </c>
      <c r="S12" s="770">
        <f t="shared" si="0"/>
        <v>100</v>
      </c>
      <c r="T12" s="769" t="s">
        <v>17</v>
      </c>
      <c r="U12" s="770">
        <f t="shared" si="1"/>
        <v>100</v>
      </c>
      <c r="V12" s="769" t="s">
        <v>17</v>
      </c>
      <c r="W12" s="770">
        <f t="shared" si="2"/>
        <v>100</v>
      </c>
      <c r="X12" s="771"/>
      <c r="Y12" s="3130"/>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300"/>
      <c r="Q13" s="1794">
        <f t="shared" si="6"/>
        <v>111</v>
      </c>
      <c r="R13" s="769" t="s">
        <v>17</v>
      </c>
      <c r="S13" s="770">
        <f t="shared" si="0"/>
        <v>100</v>
      </c>
      <c r="T13" s="769" t="s">
        <v>17</v>
      </c>
      <c r="U13" s="770">
        <f t="shared" si="1"/>
        <v>100</v>
      </c>
      <c r="V13" s="769" t="s">
        <v>17</v>
      </c>
      <c r="W13" s="770">
        <f t="shared" si="2"/>
        <v>100</v>
      </c>
      <c r="X13" s="771"/>
      <c r="Y13" s="3130"/>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300"/>
      <c r="Q14" s="1794">
        <f t="shared" si="6"/>
        <v>111</v>
      </c>
      <c r="R14" s="769" t="s">
        <v>17</v>
      </c>
      <c r="S14" s="770">
        <f t="shared" si="0"/>
        <v>100</v>
      </c>
      <c r="T14" s="769" t="s">
        <v>17</v>
      </c>
      <c r="U14" s="770">
        <f t="shared" si="1"/>
        <v>100</v>
      </c>
      <c r="V14" s="769" t="s">
        <v>17</v>
      </c>
      <c r="W14" s="770">
        <f t="shared" si="2"/>
        <v>100</v>
      </c>
      <c r="X14" s="771"/>
      <c r="Y14" s="3130"/>
      <c r="Z14" s="55">
        <f t="shared" si="7"/>
        <v>111</v>
      </c>
      <c r="AA14" s="772">
        <f t="shared" si="3"/>
        <v>1</v>
      </c>
      <c r="AB14" s="772">
        <f t="shared" si="4"/>
        <v>1</v>
      </c>
      <c r="AC14" s="772">
        <f t="shared" si="5"/>
        <v>1</v>
      </c>
    </row>
    <row r="15" spans="1:29" ht="57">
      <c r="A15" s="439" t="s">
        <v>2556</v>
      </c>
      <c r="B15" s="628" t="s">
        <v>2794</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93" t="s">
        <v>2557</v>
      </c>
      <c r="Q15" s="1809" t="str">
        <f t="shared" si="6"/>
        <v>产业集聚程度</v>
      </c>
      <c r="R15" s="773" t="s">
        <v>17</v>
      </c>
      <c r="S15" s="774">
        <f t="shared" si="0"/>
        <v>100</v>
      </c>
      <c r="T15" s="773" t="s">
        <v>17</v>
      </c>
      <c r="U15" s="774">
        <f t="shared" si="1"/>
        <v>100</v>
      </c>
      <c r="V15" s="773" t="s">
        <v>17</v>
      </c>
      <c r="W15" s="774">
        <f t="shared" si="2"/>
        <v>100</v>
      </c>
      <c r="X15" s="1812"/>
      <c r="Y15" s="3293" t="s">
        <v>2557</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94"/>
      <c r="Q16" s="1809"/>
      <c r="R16" s="773"/>
      <c r="S16" s="774"/>
      <c r="T16" s="773"/>
      <c r="U16" s="774"/>
      <c r="V16" s="773"/>
      <c r="W16" s="774"/>
      <c r="X16" s="1812"/>
      <c r="Y16" s="3294"/>
      <c r="Z16" s="1813"/>
      <c r="AA16" s="1810">
        <v>1</v>
      </c>
      <c r="AB16" s="1810">
        <v>1</v>
      </c>
      <c r="AC16" s="1810">
        <v>1</v>
      </c>
    </row>
    <row r="17" spans="1:29" ht="85.5">
      <c r="A17" s="427"/>
      <c r="B17" s="630" t="s">
        <v>2706</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94"/>
      <c r="Q17" s="1809" t="str">
        <f>B17</f>
        <v>交通便捷度</v>
      </c>
      <c r="R17" s="773" t="s">
        <v>17</v>
      </c>
      <c r="S17" s="774">
        <f>F17</f>
        <v>100</v>
      </c>
      <c r="T17" s="773" t="s">
        <v>17</v>
      </c>
      <c r="U17" s="774">
        <f>H17</f>
        <v>100</v>
      </c>
      <c r="V17" s="773" t="s">
        <v>17</v>
      </c>
      <c r="W17" s="774">
        <f>J17</f>
        <v>100</v>
      </c>
      <c r="X17" s="1812"/>
      <c r="Y17" s="3294"/>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94"/>
      <c r="Q18" s="1809"/>
      <c r="R18" s="773"/>
      <c r="S18" s="774"/>
      <c r="T18" s="773"/>
      <c r="U18" s="774"/>
      <c r="V18" s="773"/>
      <c r="W18" s="774"/>
      <c r="X18" s="1812"/>
      <c r="Y18" s="3294"/>
      <c r="Z18" s="1813"/>
      <c r="AA18" s="1810">
        <v>1</v>
      </c>
      <c r="AB18" s="1810">
        <v>1</v>
      </c>
      <c r="AC18" s="1810">
        <v>1</v>
      </c>
    </row>
    <row r="19" spans="1:29" ht="15">
      <c r="A19" s="427"/>
      <c r="B19" s="630" t="s">
        <v>2744</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94"/>
      <c r="Q19" s="1809" t="str">
        <f t="shared" ref="Q19:Q33" si="8">B19</f>
        <v>区域土地利用方向</v>
      </c>
      <c r="R19" s="773" t="s">
        <v>17</v>
      </c>
      <c r="S19" s="774">
        <f>F19</f>
        <v>100</v>
      </c>
      <c r="T19" s="773" t="s">
        <v>17</v>
      </c>
      <c r="U19" s="774">
        <f>H19</f>
        <v>100</v>
      </c>
      <c r="V19" s="773" t="s">
        <v>17</v>
      </c>
      <c r="W19" s="774">
        <f>J19</f>
        <v>100</v>
      </c>
      <c r="X19" s="1812"/>
      <c r="Y19" s="3294"/>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94"/>
      <c r="Q20" s="1809"/>
      <c r="R20" s="773"/>
      <c r="S20" s="774"/>
      <c r="T20" s="773"/>
      <c r="U20" s="774"/>
      <c r="V20" s="773"/>
      <c r="W20" s="774"/>
      <c r="X20" s="1812"/>
      <c r="Y20" s="3294"/>
      <c r="Z20" s="1813"/>
      <c r="AA20" s="1810"/>
      <c r="AB20" s="1810"/>
      <c r="AC20" s="1810"/>
    </row>
    <row r="21" spans="1:29" ht="71.25">
      <c r="A21" s="403"/>
      <c r="B21" s="630" t="s">
        <v>2795</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94"/>
      <c r="Q21" s="1809" t="str">
        <f t="shared" si="8"/>
        <v>环境状况</v>
      </c>
      <c r="R21" s="773" t="s">
        <v>17</v>
      </c>
      <c r="S21" s="774">
        <f>F21</f>
        <v>100</v>
      </c>
      <c r="T21" s="773" t="s">
        <v>17</v>
      </c>
      <c r="U21" s="774">
        <f>H21</f>
        <v>100</v>
      </c>
      <c r="V21" s="773" t="s">
        <v>17</v>
      </c>
      <c r="W21" s="774">
        <f>J21</f>
        <v>100</v>
      </c>
      <c r="X21" s="1812"/>
      <c r="Y21" s="3294"/>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94"/>
      <c r="Q22" s="1809"/>
      <c r="R22" s="773"/>
      <c r="S22" s="774"/>
      <c r="T22" s="773"/>
      <c r="U22" s="774"/>
      <c r="V22" s="773"/>
      <c r="W22" s="774"/>
      <c r="X22" s="1812"/>
      <c r="Y22" s="3294"/>
      <c r="Z22" s="1813"/>
      <c r="AA22" s="1810">
        <v>1</v>
      </c>
      <c r="AB22" s="1810">
        <v>1</v>
      </c>
      <c r="AC22" s="1810">
        <v>1</v>
      </c>
    </row>
    <row r="23" spans="1:29" s="116" customFormat="1" ht="42.75">
      <c r="A23" s="648"/>
      <c r="B23" s="632" t="s">
        <v>2651</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94"/>
      <c r="Q23" s="1794" t="str">
        <f t="shared" si="8"/>
        <v>公共配套设施</v>
      </c>
      <c r="R23" s="769" t="s">
        <v>17</v>
      </c>
      <c r="S23" s="770">
        <f>F23</f>
        <v>100</v>
      </c>
      <c r="T23" s="769" t="s">
        <v>17</v>
      </c>
      <c r="U23" s="770">
        <f>H23</f>
        <v>100</v>
      </c>
      <c r="V23" s="769" t="s">
        <v>17</v>
      </c>
      <c r="W23" s="770">
        <f>J23</f>
        <v>100</v>
      </c>
      <c r="X23" s="771"/>
      <c r="Y23" s="3294"/>
      <c r="Z23" s="55"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1"/>
      <c r="M24" s="1132"/>
      <c r="N24" s="1132"/>
      <c r="O24" s="1133"/>
      <c r="P24" s="3294"/>
      <c r="Q24" s="1794"/>
      <c r="R24" s="769"/>
      <c r="S24" s="770"/>
      <c r="T24" s="769"/>
      <c r="U24" s="770"/>
      <c r="V24" s="769"/>
      <c r="W24" s="770"/>
      <c r="X24" s="771"/>
      <c r="Y24" s="3294"/>
      <c r="Z24" s="55"/>
      <c r="AA24" s="772">
        <v>1</v>
      </c>
      <c r="AB24" s="772">
        <v>1</v>
      </c>
      <c r="AC24" s="772">
        <v>1</v>
      </c>
    </row>
    <row r="25" spans="1:29" s="116" customFormat="1" ht="28.5">
      <c r="A25" s="648"/>
      <c r="B25" s="632" t="s">
        <v>2652</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94"/>
      <c r="Q25" s="1794" t="str">
        <f t="shared" ref="Q25" si="9">B25</f>
        <v>基础设施水平</v>
      </c>
      <c r="R25" s="769" t="s">
        <v>17</v>
      </c>
      <c r="S25" s="770">
        <f>F25</f>
        <v>100</v>
      </c>
      <c r="T25" s="769" t="s">
        <v>17</v>
      </c>
      <c r="U25" s="770">
        <f>H25</f>
        <v>100</v>
      </c>
      <c r="V25" s="769" t="s">
        <v>17</v>
      </c>
      <c r="W25" s="770">
        <f>J25</f>
        <v>100</v>
      </c>
      <c r="X25" s="771"/>
      <c r="Y25" s="3294"/>
      <c r="Z25" s="55"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1"/>
      <c r="M26" s="1132"/>
      <c r="N26" s="1132"/>
      <c r="O26" s="1133"/>
      <c r="P26" s="3294"/>
      <c r="Q26" s="1794"/>
      <c r="R26" s="769"/>
      <c r="S26" s="770"/>
      <c r="T26" s="769"/>
      <c r="U26" s="770"/>
      <c r="V26" s="769"/>
      <c r="W26" s="770"/>
      <c r="X26" s="771"/>
      <c r="Y26" s="3294"/>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94"/>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94"/>
      <c r="Z27" s="1813" t="str">
        <f t="shared" ref="Z27:Z40" si="13">Q27</f>
        <v>临街状况</v>
      </c>
      <c r="AA27" s="1810">
        <f t="shared" si="3"/>
        <v>1</v>
      </c>
      <c r="AB27" s="1810">
        <f t="shared" si="4"/>
        <v>1</v>
      </c>
      <c r="AC27" s="1810">
        <f t="shared" si="5"/>
        <v>1</v>
      </c>
    </row>
    <row r="28" spans="1:29" ht="27">
      <c r="A28" s="427"/>
      <c r="B28" s="632" t="s">
        <v>2688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94"/>
      <c r="Q28" s="1809" t="str">
        <f t="shared" si="8"/>
        <v>毗邻道路的类型与等级</v>
      </c>
      <c r="R28" s="773" t="s">
        <v>17</v>
      </c>
      <c r="S28" s="774">
        <f t="shared" si="10"/>
        <v>100</v>
      </c>
      <c r="T28" s="773" t="s">
        <v>17</v>
      </c>
      <c r="U28" s="774">
        <f t="shared" si="11"/>
        <v>100</v>
      </c>
      <c r="V28" s="773" t="s">
        <v>17</v>
      </c>
      <c r="W28" s="774">
        <f t="shared" si="12"/>
        <v>100</v>
      </c>
      <c r="X28" s="1812"/>
      <c r="Y28" s="3294"/>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94"/>
      <c r="Q29" s="1809"/>
      <c r="R29" s="773"/>
      <c r="S29" s="774"/>
      <c r="T29" s="773"/>
      <c r="U29" s="774"/>
      <c r="V29" s="773"/>
      <c r="W29" s="774"/>
      <c r="X29" s="1812"/>
      <c r="Y29" s="3294"/>
      <c r="Z29" s="1813"/>
      <c r="AA29" s="1810">
        <v>1</v>
      </c>
      <c r="AB29" s="1810">
        <v>1</v>
      </c>
      <c r="AC29" s="1810">
        <v>1</v>
      </c>
    </row>
    <row r="30" spans="1:29" ht="15">
      <c r="A30" s="427"/>
      <c r="B30" s="653" t="s">
        <v>2746</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94"/>
      <c r="Q30" s="1809" t="str">
        <f t="shared" si="8"/>
        <v>土地级别</v>
      </c>
      <c r="R30" s="773" t="s">
        <v>17</v>
      </c>
      <c r="S30" s="774">
        <f t="shared" si="10"/>
        <v>100</v>
      </c>
      <c r="T30" s="773" t="s">
        <v>17</v>
      </c>
      <c r="U30" s="774">
        <f t="shared" si="11"/>
        <v>100</v>
      </c>
      <c r="V30" s="773" t="s">
        <v>17</v>
      </c>
      <c r="W30" s="774">
        <f t="shared" si="12"/>
        <v>100</v>
      </c>
      <c r="X30" s="1812"/>
      <c r="Y30" s="3294"/>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94"/>
      <c r="Q31" s="1809">
        <f t="shared" si="8"/>
        <v>111</v>
      </c>
      <c r="R31" s="773" t="s">
        <v>17</v>
      </c>
      <c r="S31" s="774">
        <f t="shared" si="10"/>
        <v>100</v>
      </c>
      <c r="T31" s="773" t="s">
        <v>17</v>
      </c>
      <c r="U31" s="774">
        <f t="shared" si="11"/>
        <v>100</v>
      </c>
      <c r="V31" s="773" t="s">
        <v>17</v>
      </c>
      <c r="W31" s="774">
        <f t="shared" si="12"/>
        <v>100</v>
      </c>
      <c r="X31" s="1812"/>
      <c r="Y31" s="3294"/>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47" t="s">
        <v>2562</v>
      </c>
      <c r="Q32" s="1809">
        <f t="shared" si="8"/>
        <v>111</v>
      </c>
      <c r="R32" s="773" t="s">
        <v>17</v>
      </c>
      <c r="S32" s="774">
        <f t="shared" si="10"/>
        <v>100</v>
      </c>
      <c r="T32" s="773" t="s">
        <v>17</v>
      </c>
      <c r="U32" s="774">
        <f t="shared" si="11"/>
        <v>100</v>
      </c>
      <c r="V32" s="773" t="s">
        <v>17</v>
      </c>
      <c r="W32" s="774">
        <f t="shared" si="12"/>
        <v>100</v>
      </c>
      <c r="X32" s="1812"/>
      <c r="Y32" s="3298" t="s">
        <v>2562</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98"/>
      <c r="Q33" s="1809">
        <f t="shared" si="8"/>
        <v>111</v>
      </c>
      <c r="R33" s="776" t="s">
        <v>17</v>
      </c>
      <c r="S33" s="777">
        <f t="shared" si="10"/>
        <v>100</v>
      </c>
      <c r="T33" s="776" t="s">
        <v>17</v>
      </c>
      <c r="U33" s="777">
        <f t="shared" si="11"/>
        <v>100</v>
      </c>
      <c r="V33" s="776" t="s">
        <v>17</v>
      </c>
      <c r="W33" s="777">
        <f t="shared" si="12"/>
        <v>100</v>
      </c>
      <c r="X33" s="778"/>
      <c r="Y33" s="3298"/>
      <c r="Z33" s="779">
        <f t="shared" si="13"/>
        <v>111</v>
      </c>
      <c r="AA33" s="1810">
        <f t="shared" si="3"/>
        <v>1</v>
      </c>
      <c r="AB33" s="1810">
        <f t="shared" si="4"/>
        <v>1</v>
      </c>
      <c r="AC33" s="1810">
        <f t="shared" si="5"/>
        <v>1</v>
      </c>
    </row>
    <row r="34" spans="1:29" ht="15">
      <c r="A34" s="439" t="s">
        <v>2560</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98"/>
      <c r="Q34" s="1809" t="str">
        <f>B34</f>
        <v>宗地面积</v>
      </c>
      <c r="R34" s="773" t="s">
        <v>17</v>
      </c>
      <c r="S34" s="774" t="e">
        <f t="shared" si="10"/>
        <v>#N/A</v>
      </c>
      <c r="T34" s="773" t="s">
        <v>17</v>
      </c>
      <c r="U34" s="774" t="e">
        <f t="shared" si="11"/>
        <v>#N/A</v>
      </c>
      <c r="V34" s="773" t="s">
        <v>17</v>
      </c>
      <c r="W34" s="774" t="e">
        <f t="shared" si="12"/>
        <v>#N/A</v>
      </c>
      <c r="X34" s="1812"/>
      <c r="Y34" s="3298"/>
      <c r="Z34" s="1813" t="str">
        <f t="shared" si="13"/>
        <v>宗地面积</v>
      </c>
      <c r="AA34" s="1810" t="e">
        <f t="shared" si="3"/>
        <v>#N/A</v>
      </c>
      <c r="AB34" s="1810" t="e">
        <f t="shared" si="4"/>
        <v>#N/A</v>
      </c>
      <c r="AC34" s="1810" t="e">
        <f t="shared" si="5"/>
        <v>#N/A</v>
      </c>
    </row>
    <row r="35" spans="1:29" ht="15">
      <c r="A35" s="471"/>
      <c r="B35" s="421" t="s">
        <v>2748</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98"/>
      <c r="Q35" s="1809" t="str">
        <f t="shared" ref="Q35:Q40" si="14">B35</f>
        <v>宗地形状</v>
      </c>
      <c r="R35" s="773" t="s">
        <v>17</v>
      </c>
      <c r="S35" s="774">
        <f t="shared" si="10"/>
        <v>100</v>
      </c>
      <c r="T35" s="773" t="s">
        <v>17</v>
      </c>
      <c r="U35" s="774">
        <f t="shared" si="11"/>
        <v>100</v>
      </c>
      <c r="V35" s="773" t="s">
        <v>17</v>
      </c>
      <c r="W35" s="774">
        <f t="shared" si="12"/>
        <v>100</v>
      </c>
      <c r="X35" s="1812"/>
      <c r="Y35" s="3298"/>
      <c r="Z35" s="1813" t="str">
        <f t="shared" si="13"/>
        <v>宗地形状</v>
      </c>
      <c r="AA35" s="1810">
        <f t="shared" si="3"/>
        <v>1</v>
      </c>
      <c r="AB35" s="1810">
        <f t="shared" si="4"/>
        <v>1</v>
      </c>
      <c r="AC35" s="1810">
        <f t="shared" si="5"/>
        <v>1</v>
      </c>
    </row>
    <row r="36" spans="1:29" s="116" customFormat="1" ht="15">
      <c r="A36" s="472"/>
      <c r="B36" s="421" t="s">
        <v>2750</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98"/>
      <c r="Q36" s="1809" t="str">
        <f t="shared" si="14"/>
        <v>宗地开发程度</v>
      </c>
      <c r="R36" s="769" t="s">
        <v>17</v>
      </c>
      <c r="S36" s="770">
        <f t="shared" si="10"/>
        <v>100</v>
      </c>
      <c r="T36" s="769" t="s">
        <v>17</v>
      </c>
      <c r="U36" s="770">
        <f t="shared" si="11"/>
        <v>100</v>
      </c>
      <c r="V36" s="769" t="s">
        <v>17</v>
      </c>
      <c r="W36" s="770">
        <f t="shared" si="12"/>
        <v>100</v>
      </c>
      <c r="X36" s="771"/>
      <c r="Y36" s="3298"/>
      <c r="Z36" s="55" t="str">
        <f t="shared" si="13"/>
        <v>宗地开发程度</v>
      </c>
      <c r="AA36" s="772">
        <f t="shared" si="3"/>
        <v>1</v>
      </c>
      <c r="AB36" s="772">
        <f t="shared" si="4"/>
        <v>1</v>
      </c>
      <c r="AC36" s="772">
        <f t="shared" si="5"/>
        <v>1</v>
      </c>
    </row>
    <row r="37" spans="1:29" ht="15">
      <c r="A37" s="471"/>
      <c r="B37" s="421" t="s">
        <v>2751</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98" t="s">
        <v>2562</v>
      </c>
      <c r="Q37" s="1809" t="str">
        <f t="shared" si="14"/>
        <v>工程地质条件</v>
      </c>
      <c r="R37" s="773" t="s">
        <v>17</v>
      </c>
      <c r="S37" s="774">
        <f t="shared" si="10"/>
        <v>100</v>
      </c>
      <c r="T37" s="773" t="s">
        <v>17</v>
      </c>
      <c r="U37" s="774">
        <f t="shared" si="11"/>
        <v>100</v>
      </c>
      <c r="V37" s="773" t="s">
        <v>17</v>
      </c>
      <c r="W37" s="774">
        <f t="shared" si="12"/>
        <v>100</v>
      </c>
      <c r="X37" s="1812"/>
      <c r="Y37" s="3298" t="s">
        <v>2562</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98"/>
      <c r="Q38" s="1809">
        <f t="shared" si="14"/>
        <v>111</v>
      </c>
      <c r="R38" s="773" t="s">
        <v>17</v>
      </c>
      <c r="S38" s="774">
        <f t="shared" si="10"/>
        <v>100</v>
      </c>
      <c r="T38" s="773" t="s">
        <v>17</v>
      </c>
      <c r="U38" s="774">
        <f t="shared" si="11"/>
        <v>100</v>
      </c>
      <c r="V38" s="773" t="s">
        <v>17</v>
      </c>
      <c r="W38" s="774">
        <f t="shared" si="12"/>
        <v>100</v>
      </c>
      <c r="X38" s="1812"/>
      <c r="Y38" s="3298"/>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98"/>
      <c r="Q39" s="1809">
        <f t="shared" si="14"/>
        <v>111</v>
      </c>
      <c r="R39" s="773" t="s">
        <v>17</v>
      </c>
      <c r="S39" s="774">
        <f t="shared" si="10"/>
        <v>100</v>
      </c>
      <c r="T39" s="773" t="s">
        <v>17</v>
      </c>
      <c r="U39" s="774">
        <f t="shared" si="11"/>
        <v>100</v>
      </c>
      <c r="V39" s="773" t="s">
        <v>17</v>
      </c>
      <c r="W39" s="774">
        <f t="shared" si="12"/>
        <v>100</v>
      </c>
      <c r="X39" s="1812"/>
      <c r="Y39" s="3298"/>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98"/>
      <c r="Q40" s="1809">
        <f t="shared" si="14"/>
        <v>111</v>
      </c>
      <c r="R40" s="776" t="s">
        <v>17</v>
      </c>
      <c r="S40" s="777">
        <f t="shared" si="10"/>
        <v>100</v>
      </c>
      <c r="T40" s="776" t="s">
        <v>17</v>
      </c>
      <c r="U40" s="777">
        <f t="shared" si="11"/>
        <v>100</v>
      </c>
      <c r="V40" s="776" t="s">
        <v>17</v>
      </c>
      <c r="W40" s="777">
        <f t="shared" si="12"/>
        <v>100</v>
      </c>
      <c r="X40" s="778"/>
      <c r="Y40" s="3298"/>
      <c r="Z40" s="779">
        <f t="shared" si="13"/>
        <v>111</v>
      </c>
      <c r="AA40" s="1810">
        <f t="shared" si="3"/>
        <v>1</v>
      </c>
      <c r="AB40" s="1810">
        <f t="shared" si="4"/>
        <v>1</v>
      </c>
      <c r="AC40" s="1810">
        <f t="shared" si="5"/>
        <v>1</v>
      </c>
    </row>
    <row r="41" spans="1:29" ht="15">
      <c r="A41" s="478" t="s">
        <v>2717</v>
      </c>
      <c r="B41" s="2704" t="s">
        <v>2796</v>
      </c>
      <c r="C41" s="681" t="s">
        <v>1</v>
      </c>
      <c r="D41" s="480"/>
      <c r="E41" s="481"/>
      <c r="F41" s="482"/>
      <c r="G41" s="483"/>
      <c r="H41" s="484"/>
      <c r="I41" s="481"/>
      <c r="J41" s="484"/>
      <c r="K41" s="782"/>
      <c r="L41" s="1142"/>
      <c r="M41" s="1130"/>
      <c r="N41" s="1130"/>
      <c r="O41" s="1143"/>
      <c r="P41" s="3300" t="str">
        <f>A41</f>
        <v>成交单价</v>
      </c>
      <c r="Q41" s="3300"/>
      <c r="R41" s="3261">
        <f>E41</f>
        <v>0</v>
      </c>
      <c r="S41" s="3261"/>
      <c r="T41" s="3261">
        <f>G41</f>
        <v>0</v>
      </c>
      <c r="U41" s="3261"/>
      <c r="V41" s="3261">
        <f>I41</f>
        <v>0</v>
      </c>
      <c r="W41" s="3261"/>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300" t="str">
        <f>A42</f>
        <v>比较价值（元/平方米）</v>
      </c>
      <c r="Q42" s="3300"/>
      <c r="R42" s="3348" t="e">
        <f>ROUND(PRODUCT(R41,AA7:AA40),0)</f>
        <v>#DIV/0!</v>
      </c>
      <c r="S42" s="3348"/>
      <c r="T42" s="3348" t="e">
        <f>ROUND(PRODUCT(T41,AB7:AB40),0)</f>
        <v>#DIV/0!</v>
      </c>
      <c r="U42" s="3348"/>
      <c r="V42" s="3348" t="e">
        <f>ROUND(PRODUCT(V41,AC7:AC40),0)</f>
        <v>#DIV/0!</v>
      </c>
      <c r="W42" s="3348"/>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2"/>
      <c r="M43" s="1130"/>
      <c r="N43" s="1130"/>
      <c r="O43" s="1143"/>
      <c r="P43" s="3302" t="str">
        <f>A43</f>
        <v>估价对象XX用房的比较价值（楼面单价，元/平方米）</v>
      </c>
      <c r="Q43" s="3303"/>
      <c r="R43" s="3349" t="e">
        <f>ROUND(AVERAGE(R42:V42),0)</f>
        <v>#DIV/0!</v>
      </c>
      <c r="S43" s="3349"/>
      <c r="T43" s="3349"/>
      <c r="U43" s="3349"/>
      <c r="V43" s="3349"/>
      <c r="W43" s="334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2754</v>
      </c>
      <c r="B50" s="684" t="s">
        <v>2755</v>
      </c>
      <c r="C50" s="2705" t="s">
        <v>2756</v>
      </c>
      <c r="D50" s="2706" t="s">
        <v>2757</v>
      </c>
      <c r="E50" s="685" t="s">
        <v>2758</v>
      </c>
      <c r="F50" s="686" t="s">
        <v>2759</v>
      </c>
      <c r="G50" s="3278" t="s">
        <v>2760</v>
      </c>
      <c r="H50" s="3350"/>
      <c r="I50" s="1813" t="s">
        <v>2797</v>
      </c>
      <c r="J50" s="1813">
        <f>项目基本情况!F35</f>
        <v>0</v>
      </c>
      <c r="K50" s="2708" t="s">
        <v>2762</v>
      </c>
      <c r="L50" s="1105"/>
      <c r="M50" s="1143"/>
      <c r="N50" s="1143"/>
      <c r="O50" s="1143"/>
    </row>
    <row r="51" spans="1:17" s="691" customFormat="1">
      <c r="A51" s="687" t="s">
        <v>2763</v>
      </c>
      <c r="B51" s="688" t="e">
        <f>C43</f>
        <v>#DIV/0!</v>
      </c>
      <c r="C51" s="689">
        <v>1</v>
      </c>
      <c r="D51" s="1162">
        <v>1</v>
      </c>
      <c r="E51" s="689">
        <f>'数据-汇总表'!E8+'数据-汇总表'!E9</f>
        <v>31181.27</v>
      </c>
      <c r="F51" s="690" t="e">
        <f t="shared" ref="F51:F60" si="15">ROUND(B51*E51/10000,0)</f>
        <v>#DIV/0!</v>
      </c>
      <c r="G51" s="3277"/>
      <c r="H51" s="3300"/>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351"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351"/>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351"/>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351"/>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v>
      </c>
      <c r="D56" s="1163">
        <v>0.25</v>
      </c>
      <c r="E56" s="260">
        <f>'数据-汇总表'!E11</f>
        <v>0</v>
      </c>
      <c r="F56" s="690" t="e">
        <f t="shared" si="15"/>
        <v>#DIV/0!</v>
      </c>
      <c r="G56" s="2709" t="s">
        <v>2770</v>
      </c>
      <c r="H56" s="1103">
        <f>项目基本情况!C37</f>
        <v>0</v>
      </c>
      <c r="I56" s="941">
        <f>SUMIF(修正!A45:A56,H56,修正!F45:F56)</f>
        <v>0</v>
      </c>
      <c r="J56" s="942"/>
      <c r="K56" s="1143"/>
      <c r="L56" s="940"/>
      <c r="M56" s="940"/>
      <c r="N56" s="940"/>
      <c r="O56" s="940"/>
    </row>
    <row r="57" spans="1:17" s="691" customFormat="1">
      <c r="A57" s="692" t="s">
        <v>2771</v>
      </c>
      <c r="B57" s="261" t="e">
        <f t="shared" si="17"/>
        <v>#DIV/0!</v>
      </c>
      <c r="C57" s="199">
        <f t="shared" si="16"/>
        <v>0</v>
      </c>
      <c r="D57" s="1163">
        <v>0.25</v>
      </c>
      <c r="E57" s="260">
        <f>'数据-汇总表'!E12</f>
        <v>0</v>
      </c>
      <c r="F57" s="690"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2773</v>
      </c>
      <c r="B58" s="261" t="e">
        <f t="shared" si="17"/>
        <v>#DIV/0!</v>
      </c>
      <c r="C58" s="199">
        <f t="shared" si="16"/>
        <v>0</v>
      </c>
      <c r="D58" s="1163">
        <v>0.25</v>
      </c>
      <c r="E58" s="260">
        <f>'数据-汇总表'!E13</f>
        <v>3559.58</v>
      </c>
      <c r="F58" s="690"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9" t="s">
        <v>2765</v>
      </c>
      <c r="H59" s="1103">
        <f>项目基本情况!B37</f>
        <v>0</v>
      </c>
      <c r="I59" s="941">
        <f>SUMIF(修正!A45:A56,H59,修正!H45:H56)</f>
        <v>0</v>
      </c>
      <c r="J59" s="942"/>
      <c r="K59" s="1144"/>
      <c r="L59" s="940"/>
      <c r="M59" s="940"/>
      <c r="N59" s="940"/>
      <c r="O59" s="940"/>
    </row>
    <row r="60" spans="1:17" s="691" customFormat="1" ht="15" thickBot="1">
      <c r="A60" s="692" t="s">
        <v>2776</v>
      </c>
      <c r="B60" s="261" t="e">
        <f t="shared" si="17"/>
        <v>#DIV/0!</v>
      </c>
      <c r="C60" s="199">
        <f t="shared" si="16"/>
        <v>0</v>
      </c>
      <c r="D60" s="1163">
        <v>0.25</v>
      </c>
      <c r="E60" s="260">
        <f>'数据-汇总表'!E15</f>
        <v>0</v>
      </c>
      <c r="F60" s="690" t="e">
        <f t="shared" si="15"/>
        <v>#DIV/0!</v>
      </c>
      <c r="G60" s="2710" t="s">
        <v>2770</v>
      </c>
      <c r="H60" s="1113">
        <f>项目基本情况!C37</f>
        <v>0</v>
      </c>
      <c r="I60" s="941">
        <f>SUMIF(修正!A45:A56,H60,修正!H45:H56)</f>
        <v>0</v>
      </c>
      <c r="J60" s="942"/>
      <c r="K60" s="1143"/>
      <c r="L60" s="940"/>
      <c r="M60" s="940"/>
      <c r="N60" s="940"/>
      <c r="O60" s="940"/>
    </row>
    <row r="61" spans="1:17" s="691" customFormat="1" ht="15" thickBot="1">
      <c r="A61" s="694" t="s">
        <v>2777</v>
      </c>
      <c r="B61" s="695" t="s">
        <v>28</v>
      </c>
      <c r="C61" s="695" t="s">
        <v>29</v>
      </c>
      <c r="D61" s="695" t="s">
        <v>1026</v>
      </c>
      <c r="E61" s="695">
        <f>IF(B41="楼面地价",SUM(E51:E60),'数据-汇总表'!D3)</f>
        <v>10186.06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2671</v>
      </c>
      <c r="B64" s="758"/>
      <c r="C64" s="763"/>
      <c r="D64" s="763"/>
      <c r="E64" s="763"/>
      <c r="F64" s="764"/>
      <c r="G64" s="764"/>
      <c r="H64" s="763"/>
      <c r="I64" s="763"/>
      <c r="J64" s="763"/>
      <c r="K64" s="765"/>
      <c r="L64" s="766"/>
      <c r="M64" s="763"/>
      <c r="N64" s="763"/>
      <c r="O64" s="1158"/>
      <c r="P64" s="502"/>
      <c r="Q64" s="503"/>
    </row>
    <row r="65" spans="1:17" s="507" customFormat="1" ht="15">
      <c r="A65" s="2711" t="s">
        <v>2778</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6" customFormat="1" ht="30.75" customHeight="1">
      <c r="A66" s="2716" t="s">
        <v>2798</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2781</v>
      </c>
      <c r="C87" s="572" t="s">
        <v>2594</v>
      </c>
      <c r="D87" s="572" t="s">
        <v>2595</v>
      </c>
      <c r="E87" s="572" t="s">
        <v>2596</v>
      </c>
      <c r="F87" s="572" t="s">
        <v>2597</v>
      </c>
      <c r="G87" s="572" t="s">
        <v>2598</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2782</v>
      </c>
      <c r="C89" s="572" t="s">
        <v>2594</v>
      </c>
      <c r="D89" s="572" t="s">
        <v>2595</v>
      </c>
      <c r="E89" s="572" t="s">
        <v>2596</v>
      </c>
      <c r="F89" s="572" t="s">
        <v>2597</v>
      </c>
      <c r="G89" s="572" t="s">
        <v>2598</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2799</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2788</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2790</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2791</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3" sqref="L3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2800</v>
      </c>
      <c r="B1" s="240"/>
      <c r="C1" s="244" t="s">
        <v>2801</v>
      </c>
      <c r="D1" s="387">
        <f>SUM(D29:D30,D33:D39)</f>
        <v>0</v>
      </c>
      <c r="E1" s="2717"/>
      <c r="F1" s="2717"/>
      <c r="G1" s="2717"/>
      <c r="H1" s="2717"/>
      <c r="I1" s="2717"/>
      <c r="J1" s="2717"/>
      <c r="K1" s="1369"/>
      <c r="L1" s="2718" t="s">
        <v>2802</v>
      </c>
      <c r="M1" s="1079">
        <f>SUMPRODUCT((区片价!B5:B9=I2)*(区片价!C3:F3=E2)*(区片价!C5:F9))</f>
        <v>0</v>
      </c>
      <c r="N1" s="1082">
        <f>SUMPRODUCT((因素修正幅度!B5:B9=I2)*(因素修正幅度!C3:F3=E2)*(因素修正幅度!C5:F9))</f>
        <v>0</v>
      </c>
      <c r="O1" s="2719"/>
      <c r="P1" s="2719"/>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4" t="s">
        <v>2808</v>
      </c>
      <c r="B2" s="247" t="e">
        <f>C26</f>
        <v>#DIV/0!</v>
      </c>
      <c r="C2" s="2721" t="s">
        <v>2809</v>
      </c>
      <c r="D2" s="2722" t="s">
        <v>2810</v>
      </c>
      <c r="E2" s="2723"/>
      <c r="F2" s="2722" t="s">
        <v>2811</v>
      </c>
      <c r="G2" s="2724">
        <f>IF(E2="商业",项目基本情况!B37,IF(E2="办公",项目基本情况!C37,IF(E2="住宅",项目基本情况!D37,项目基本情况!E37)))</f>
        <v>0</v>
      </c>
      <c r="H2" s="2722" t="s">
        <v>2812</v>
      </c>
      <c r="I2" s="2724">
        <f>IF(E2="商业",项目基本情况!B38,IF(E2="办公",项目基本情况!C38,IF(E2="住宅",项目基本情况!D38,项目基本情况!E38)))</f>
        <v>0</v>
      </c>
      <c r="J2" s="2725"/>
      <c r="K2" s="1369"/>
      <c r="L2" s="2726"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2814</v>
      </c>
      <c r="B3" s="247" t="e">
        <f>ROUND(B2*10000/D1,0)</f>
        <v>#DIV/0!</v>
      </c>
      <c r="C3" s="2721" t="s">
        <v>2815</v>
      </c>
      <c r="D3" s="2722" t="s">
        <v>2816</v>
      </c>
      <c r="E3" s="2727"/>
      <c r="F3" s="2728" t="s">
        <v>2817</v>
      </c>
      <c r="G3" s="915">
        <f>IF(F3="宗地容积率",'数据-汇总表'!I4,IF(F3="估价对象容积率",'数据-汇总表'!I6,'数据-汇总表'!I7))</f>
        <v>3.06</v>
      </c>
      <c r="H3" s="197" t="s">
        <v>2818</v>
      </c>
      <c r="I3" s="943"/>
      <c r="J3" s="2725" t="s">
        <v>2819</v>
      </c>
      <c r="K3" s="1369"/>
      <c r="L3" s="2726"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72"/>
      <c r="B4" s="3373"/>
      <c r="C4" s="3373"/>
      <c r="D4" s="3374"/>
      <c r="E4" s="3374"/>
      <c r="F4" s="3374"/>
      <c r="G4" s="3374"/>
      <c r="H4" s="3374"/>
      <c r="I4" s="3374"/>
      <c r="J4" s="3375"/>
      <c r="K4" s="1369"/>
      <c r="L4" s="2726"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2822</v>
      </c>
      <c r="C5" s="916" t="e">
        <f>ROUND(IF(E2="商业",C6*C7+C16,(IF(E2="住宅",C6*C12+C16,C6+C16))),0)</f>
        <v>#DIV/0!</v>
      </c>
      <c r="D5" s="1786" t="e">
        <f>ROUND(IF(F17="增加",C6+C16,C6-C16),0)</f>
        <v>#DIV/0!</v>
      </c>
      <c r="E5" s="1786"/>
      <c r="F5" s="2731"/>
      <c r="G5" s="2732"/>
      <c r="H5" s="2732"/>
      <c r="I5" s="2732"/>
      <c r="J5" s="2733"/>
      <c r="K5" s="2734"/>
      <c r="L5" s="2726"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2824</v>
      </c>
      <c r="B6" s="2740" t="s">
        <v>2825</v>
      </c>
      <c r="C6" s="917">
        <f>SUMIF(L1:L12,G2,M1:M12)</f>
        <v>0</v>
      </c>
      <c r="D6" s="2741" t="s">
        <v>2826</v>
      </c>
      <c r="E6" s="2742"/>
      <c r="F6" s="2742"/>
      <c r="G6" s="2743"/>
      <c r="H6" s="2743"/>
      <c r="I6" s="2743"/>
      <c r="J6" s="2744"/>
      <c r="K6" s="1841"/>
      <c r="L6" s="2726" t="s">
        <v>2827</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56" t="str">
        <f>IF(E2="商业",IF(C8="不临58条商业街","",2),"")</f>
        <v/>
      </c>
      <c r="B7" s="2745" t="s">
        <v>2828</v>
      </c>
      <c r="C7" s="918" t="e">
        <f>IF(C8="不临58条商业街",1,ROUND(1+(1.6*E8+1.2*E9+0.8*E10+0.4*E11)*C9,4))</f>
        <v>#DIV/0!</v>
      </c>
      <c r="D7" s="2746" t="s">
        <v>2829</v>
      </c>
      <c r="E7" s="944"/>
      <c r="F7" s="2747"/>
      <c r="G7" s="2748"/>
      <c r="H7" s="2748"/>
      <c r="I7" s="2748"/>
      <c r="J7" s="2749"/>
      <c r="K7" s="1841"/>
      <c r="L7" s="2726"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3.06</v>
      </c>
      <c r="AA7" s="1605"/>
      <c r="AB7" s="1605"/>
      <c r="AC7" s="1606"/>
      <c r="AD7" s="1607"/>
      <c r="AE7" s="1607"/>
      <c r="AF7" s="1607"/>
      <c r="AG7" s="1607"/>
      <c r="AH7" s="1607"/>
      <c r="AI7" s="1607"/>
      <c r="AJ7" s="1608"/>
    </row>
    <row r="8" spans="1:36" ht="15">
      <c r="A8" s="3376"/>
      <c r="B8" s="197" t="s">
        <v>2833</v>
      </c>
      <c r="C8" s="2750"/>
      <c r="D8" s="919" t="s">
        <v>139</v>
      </c>
      <c r="E8" s="920" t="e">
        <f>ROUND(C11/E7,4)</f>
        <v>#DIV/0!</v>
      </c>
      <c r="F8" s="2751" t="s">
        <v>2834</v>
      </c>
      <c r="G8" s="2752"/>
      <c r="H8" s="2752"/>
      <c r="I8" s="2752"/>
      <c r="J8" s="2753"/>
      <c r="K8" s="1369"/>
      <c r="L8" s="2726"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69" t="s">
        <v>2836</v>
      </c>
      <c r="X8" s="3370"/>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76"/>
      <c r="B9" s="197" t="s">
        <v>2849</v>
      </c>
      <c r="C9" s="921">
        <f>SUMIF(修正!C59:C119,C8,修正!E59:E119)</f>
        <v>0</v>
      </c>
      <c r="D9" s="199" t="s">
        <v>140</v>
      </c>
      <c r="E9" s="199" t="e">
        <f>ROUND(C11/E7,4)</f>
        <v>#DIV/0!</v>
      </c>
      <c r="F9" s="2751" t="s">
        <v>2850</v>
      </c>
      <c r="G9" s="2752"/>
      <c r="H9" s="2752"/>
      <c r="I9" s="2752"/>
      <c r="J9" s="2753"/>
      <c r="K9" s="1369"/>
      <c r="L9" s="2726"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71"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76"/>
      <c r="B10" s="197" t="s">
        <v>2854</v>
      </c>
      <c r="C10" s="199">
        <f>SUMIF(修正!C59:C119,C8,修正!F59:F119)</f>
        <v>0</v>
      </c>
      <c r="D10" s="199" t="s">
        <v>141</v>
      </c>
      <c r="E10" s="199" t="e">
        <f>ROUND(C11/E7,4)</f>
        <v>#DIV/0!</v>
      </c>
      <c r="F10" s="2751" t="s">
        <v>2855</v>
      </c>
      <c r="G10" s="2752"/>
      <c r="H10" s="2752"/>
      <c r="I10" s="2752"/>
      <c r="J10" s="2753"/>
      <c r="K10" s="1369"/>
      <c r="L10" s="2726"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7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76"/>
      <c r="B11" s="2754" t="s">
        <v>2857</v>
      </c>
      <c r="C11" s="922">
        <f>C10/4</f>
        <v>0</v>
      </c>
      <c r="D11" s="922" t="s">
        <v>142</v>
      </c>
      <c r="E11" s="922" t="e">
        <f>ROUND(C11/E7,4)</f>
        <v>#DIV/0!</v>
      </c>
      <c r="F11" s="2755" t="s">
        <v>2858</v>
      </c>
      <c r="G11" s="2756"/>
      <c r="H11" s="2756"/>
      <c r="I11" s="2756"/>
      <c r="J11" s="2757"/>
      <c r="K11" s="1369"/>
      <c r="L11" s="2726"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71" t="s">
        <v>2860</v>
      </c>
      <c r="X11" s="1613" t="s">
        <v>2861</v>
      </c>
      <c r="Y11" s="1614">
        <f>$G$3</f>
        <v>3.06</v>
      </c>
      <c r="Z11" s="1614">
        <f t="shared" ref="Z11:AJ11" si="3">$G$3</f>
        <v>3.06</v>
      </c>
      <c r="AA11" s="1614">
        <f t="shared" si="3"/>
        <v>3.06</v>
      </c>
      <c r="AB11" s="1614">
        <f t="shared" si="3"/>
        <v>3.06</v>
      </c>
      <c r="AC11" s="1614">
        <f t="shared" si="3"/>
        <v>3.06</v>
      </c>
      <c r="AD11" s="1614">
        <f t="shared" si="3"/>
        <v>3.06</v>
      </c>
      <c r="AE11" s="1614">
        <f t="shared" si="3"/>
        <v>3.06</v>
      </c>
      <c r="AF11" s="1614">
        <f t="shared" si="3"/>
        <v>3.06</v>
      </c>
      <c r="AG11" s="1614">
        <f t="shared" si="3"/>
        <v>3.06</v>
      </c>
      <c r="AH11" s="1614">
        <f t="shared" si="3"/>
        <v>3.06</v>
      </c>
      <c r="AI11" s="1614">
        <f t="shared" si="3"/>
        <v>3.06</v>
      </c>
      <c r="AJ11" s="1614">
        <f t="shared" si="3"/>
        <v>3.06</v>
      </c>
    </row>
    <row r="12" spans="1:36" ht="25.5" thickBot="1">
      <c r="A12" s="3356" t="s">
        <v>2862</v>
      </c>
      <c r="B12" s="2758" t="s">
        <v>2863</v>
      </c>
      <c r="C12" s="918">
        <f>ROUND(C15*D15*E15*F15*G15*H15*I15*J15,4)</f>
        <v>1</v>
      </c>
      <c r="D12" s="2759" t="s">
        <v>2864</v>
      </c>
      <c r="E12" s="2760"/>
      <c r="F12" s="2760"/>
      <c r="G12" s="2761"/>
      <c r="H12" s="2761"/>
      <c r="I12" s="2761"/>
      <c r="J12" s="2762"/>
      <c r="K12" s="1369"/>
      <c r="L12" s="2763"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71"/>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77"/>
      <c r="B13" s="2764" t="s">
        <v>2867</v>
      </c>
      <c r="C13" s="2765" t="s">
        <v>2868</v>
      </c>
      <c r="D13" s="1807" t="s">
        <v>2869</v>
      </c>
      <c r="E13" s="1807" t="s">
        <v>2870</v>
      </c>
      <c r="F13" s="30" t="s">
        <v>2871</v>
      </c>
      <c r="G13" s="2766" t="s">
        <v>2872</v>
      </c>
      <c r="H13" s="2766" t="s">
        <v>2872</v>
      </c>
      <c r="I13" s="2766" t="s">
        <v>2872</v>
      </c>
      <c r="J13" s="2767" t="s">
        <v>2872</v>
      </c>
      <c r="K13" s="1369"/>
      <c r="L13" s="1369"/>
      <c r="M13" s="1369"/>
      <c r="N13" s="1369"/>
      <c r="O13" s="1369"/>
      <c r="P13" s="1369"/>
      <c r="Q13" s="1369"/>
      <c r="R13" s="1601">
        <v>12</v>
      </c>
      <c r="S13" s="1602"/>
      <c r="T13" s="1601" t="e">
        <f t="shared" si="0"/>
        <v>#DIV/0!</v>
      </c>
      <c r="U13" s="1602"/>
      <c r="V13" s="1601" t="e">
        <f t="shared" si="1"/>
        <v>#DIV/0!</v>
      </c>
      <c r="W13" s="3371"/>
      <c r="X13" s="1615"/>
      <c r="Y13" s="1612">
        <f>(-0.163*(Y12^2)-0.59*Y12+7617)*(10^(-4))/Y11</f>
        <v>0.24892156862745099</v>
      </c>
      <c r="Z13" s="1612">
        <f t="shared" ref="Z13:AJ13" si="5">(-0.163*(Z12^2)-0.59*Z12+7617)*(10^(-4))/Z11</f>
        <v>0.24892156862745099</v>
      </c>
      <c r="AA13" s="1612">
        <f t="shared" si="5"/>
        <v>0.24892156862745099</v>
      </c>
      <c r="AB13" s="1612">
        <f t="shared" si="5"/>
        <v>0.24892156862745099</v>
      </c>
      <c r="AC13" s="1612">
        <f t="shared" si="5"/>
        <v>0.24892156862745099</v>
      </c>
      <c r="AD13" s="1612">
        <f t="shared" si="5"/>
        <v>0.24892156862745099</v>
      </c>
      <c r="AE13" s="1612">
        <f t="shared" si="5"/>
        <v>0.24892156862745099</v>
      </c>
      <c r="AF13" s="1612">
        <f t="shared" si="5"/>
        <v>0.24892156862745099</v>
      </c>
      <c r="AG13" s="1612">
        <f t="shared" si="5"/>
        <v>0.24892156862745099</v>
      </c>
      <c r="AH13" s="1612">
        <f t="shared" si="5"/>
        <v>0.24892156862745099</v>
      </c>
      <c r="AI13" s="1612">
        <f t="shared" si="5"/>
        <v>0.24892156862745099</v>
      </c>
      <c r="AJ13" s="1612">
        <f t="shared" si="5"/>
        <v>0.24892156862745099</v>
      </c>
    </row>
    <row r="14" spans="1:36" ht="15">
      <c r="A14" s="3377"/>
      <c r="B14" s="2768"/>
      <c r="C14" s="2769"/>
      <c r="D14" s="2770"/>
      <c r="E14" s="2770"/>
      <c r="F14" s="2771"/>
      <c r="G14" s="2772" t="s">
        <v>2873</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8"/>
      <c r="B15" s="2776" t="s">
        <v>2874</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6" t="s">
        <v>2879</v>
      </c>
      <c r="B16" s="2745" t="s">
        <v>2880</v>
      </c>
      <c r="C16" s="2935" t="e">
        <f>ROUND(IF(F17="与级别开发程度一致",0,(G17-E17)/C17),0)</f>
        <v>#DIV/0!</v>
      </c>
      <c r="D16" s="3367" t="s">
        <v>2884</v>
      </c>
      <c r="E16" s="3368"/>
      <c r="F16" s="3367" t="s">
        <v>2881</v>
      </c>
      <c r="G16" s="3368"/>
      <c r="H16" s="2779"/>
      <c r="I16" s="2779"/>
      <c r="J16" s="2939"/>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7"/>
      <c r="B17" s="2946" t="s">
        <v>2883</v>
      </c>
      <c r="C17" s="2947">
        <f>SUMPRODUCT((修正!A2:A5=E2)*(修正!B1:M1=G2)*(修正!B2:M5))</f>
        <v>0</v>
      </c>
      <c r="D17" s="228"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2886</v>
      </c>
      <c r="C18" s="2942">
        <f>SUMIF(修正!C18:C39,E3,修正!E18:E39)</f>
        <v>0</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2887</v>
      </c>
      <c r="C19" s="923" t="e">
        <f>ROUND(IF(H19="按公示增长率计算",SUMPRODUCT((地价!A3:A26=YEAR(G19)&amp;"-"&amp;ROUNDUP(MONTH(G19)/3,0))*(地价!X2:AB2=E2)*(地价!X3:AB26)),IF(H19="地价指数",M20/M19,(1+I19)^O19)),4)</f>
        <v>#DIV/0!</v>
      </c>
      <c r="D19" s="2789" t="s">
        <v>2888</v>
      </c>
      <c r="E19" s="924">
        <v>41640</v>
      </c>
      <c r="F19" s="2789" t="s">
        <v>2889</v>
      </c>
      <c r="G19" s="925">
        <f>'数据-取费表'!B2</f>
        <v>43634</v>
      </c>
      <c r="H19" s="2790" t="s">
        <v>2890</v>
      </c>
      <c r="I19" s="926" t="str">
        <f>IF(H19="季度增幅（自定义）",SUMIF(N21:N24,E2,O21:O24),"")</f>
        <v/>
      </c>
      <c r="J19" s="2787"/>
      <c r="K19" s="1376"/>
      <c r="L19" s="2791" t="s">
        <v>2891</v>
      </c>
      <c r="M19" s="1733">
        <f>ROUND(SUMIF(地价!B2:F2,E2,地价!B26:F26),0)</f>
        <v>0</v>
      </c>
      <c r="N19" s="2792" t="s">
        <v>2892</v>
      </c>
      <c r="O19" s="927">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2893</v>
      </c>
      <c r="C20" s="928" t="e">
        <f>ROUND(POWER(1+G20,J20-I20)*(POWER(1+G20,I20)-1)/(POWER(1+G20,J20)-1),4)</f>
        <v>#DIV/0!</v>
      </c>
      <c r="D20" s="2798" t="s">
        <v>2894</v>
      </c>
      <c r="E20" s="1767">
        <f ca="1">存贷款利率!D4/100</f>
        <v>4.3499999999999997E-2</v>
      </c>
      <c r="F20" s="2798" t="s">
        <v>2885</v>
      </c>
      <c r="G20" s="933">
        <f>SUMIF(M26:P26,E2,M28:P28)</f>
        <v>0</v>
      </c>
      <c r="H20" s="2798" t="s">
        <v>2895</v>
      </c>
      <c r="I20" s="934" t="e">
        <f>SUMIF('数据-取费表'!C6:C15,E2,'数据-取费表'!F6:F15)/COUNTIF('数据-取费表'!C6:C15,E2)</f>
        <v>#DIV/0!</v>
      </c>
      <c r="J20" s="935">
        <f>IF(E2="住宅",70,IF(E2="商业",40,50))</f>
        <v>50</v>
      </c>
      <c r="K20" s="1376"/>
      <c r="L20" s="2799" t="s">
        <v>2896</v>
      </c>
      <c r="M20" s="1734">
        <f>ROUND(SUMPRODUCT((地价!A4:A26=YEAR(G19)&amp;"-"&amp;ROUNDUP(MONTH(G19)/3,0))*(地价!B2:F2=E2)*(地价!B4:F26)),0)</f>
        <v>0</v>
      </c>
      <c r="N20" s="2800" t="s">
        <v>2897</v>
      </c>
      <c r="O20" s="2801" t="s">
        <v>2898</v>
      </c>
      <c r="P20" s="2802" t="s">
        <v>2899</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2900</v>
      </c>
      <c r="C21" s="936">
        <f>IF(B21="容积率修正",IF(G3&lt;=10,D22,J22),C23)</f>
        <v>0</v>
      </c>
      <c r="D21" s="2805"/>
      <c r="E21" s="2805"/>
      <c r="F21" s="2805"/>
      <c r="G21" s="2805"/>
      <c r="H21" s="2805"/>
      <c r="I21" s="2805"/>
      <c r="J21" s="2806"/>
      <c r="K21" s="1376"/>
      <c r="N21" s="2807" t="s">
        <v>2901</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2902</v>
      </c>
      <c r="B22" s="2808" t="s">
        <v>2903</v>
      </c>
      <c r="C22" s="1809" t="s">
        <v>2904</v>
      </c>
      <c r="D22" s="1809">
        <f>IF(E22=G22,F22,IF(G3&lt;=10,ROUND(F22+(H22-F22)*(G3-E22)/(G22-E22),4),"——"))</f>
        <v>0</v>
      </c>
      <c r="E22" s="915">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2905</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2906</v>
      </c>
      <c r="B23" s="2809" t="s">
        <v>2907</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2908</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2909</v>
      </c>
      <c r="C24" s="923">
        <f>SUMIF(A45:A88,E2,B45:B88)</f>
        <v>0</v>
      </c>
      <c r="D24" s="2786"/>
      <c r="E24" s="2815"/>
      <c r="F24" s="2815"/>
      <c r="G24" s="2815"/>
      <c r="H24" s="2815"/>
      <c r="I24" s="2815"/>
      <c r="J24" s="2816"/>
      <c r="K24" s="1376"/>
      <c r="N24" s="2817" t="s">
        <v>2910</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2911</v>
      </c>
      <c r="C25" s="929"/>
      <c r="D25" s="2748"/>
      <c r="E25" s="2748"/>
      <c r="F25" s="2819"/>
      <c r="G25" s="2748"/>
      <c r="H25" s="2748"/>
      <c r="I25" s="2748"/>
      <c r="J25" s="2749"/>
      <c r="K25" s="1369"/>
      <c r="N25" s="2820" t="s">
        <v>2912</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2913</v>
      </c>
      <c r="C26" s="205" t="e">
        <f>E29+SUM(E33:E39)</f>
        <v>#DIV/0!</v>
      </c>
      <c r="D26" s="2822"/>
      <c r="E26" s="2773"/>
      <c r="F26" s="2823"/>
      <c r="G26" s="2773"/>
      <c r="H26" s="2773"/>
      <c r="I26" s="2773"/>
      <c r="J26" s="2824"/>
      <c r="K26" s="1369"/>
      <c r="L26" s="2777" t="s">
        <v>2810</v>
      </c>
      <c r="M26" s="919" t="s">
        <v>2875</v>
      </c>
      <c r="N26" s="919" t="s">
        <v>2876</v>
      </c>
      <c r="O26" s="919" t="s">
        <v>2877</v>
      </c>
      <c r="P26" s="2778" t="s">
        <v>2878</v>
      </c>
      <c r="R26" s="1375"/>
      <c r="S26" s="1375"/>
      <c r="T26" s="1370"/>
      <c r="U26" s="1370"/>
      <c r="V26" s="1370"/>
      <c r="W26" s="1369"/>
      <c r="X26" s="1369"/>
      <c r="Y26" s="1369"/>
      <c r="Z26" s="1376"/>
      <c r="AA26" s="1377"/>
      <c r="AB26" s="1377"/>
      <c r="AC26" s="1377"/>
      <c r="AD26" s="1377"/>
    </row>
    <row r="27" spans="1:37" ht="15.75" thickBot="1">
      <c r="A27" s="2821"/>
      <c r="B27" s="2825" t="s">
        <v>2914</v>
      </c>
      <c r="C27" s="930" t="e">
        <f>E30+SUM(I33:I39)</f>
        <v>#DIV/0!</v>
      </c>
      <c r="D27" s="2826"/>
      <c r="E27" s="2827"/>
      <c r="F27" s="2828"/>
      <c r="G27" s="2827"/>
      <c r="H27" s="2827"/>
      <c r="I27" s="2827"/>
      <c r="J27" s="2829"/>
      <c r="K27" s="1369"/>
      <c r="L27" s="2781" t="s">
        <v>2882</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2915</v>
      </c>
      <c r="C28" s="2832" t="s">
        <v>2916</v>
      </c>
      <c r="D28" s="2832" t="s">
        <v>2917</v>
      </c>
      <c r="E28" s="2833" t="s">
        <v>2918</v>
      </c>
      <c r="F28" s="2834"/>
      <c r="G28" s="2761"/>
      <c r="H28" s="2761"/>
      <c r="I28" s="2761"/>
      <c r="J28" s="2762"/>
      <c r="K28" s="1369"/>
      <c r="L28" s="2782" t="s">
        <v>2885</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2919</v>
      </c>
      <c r="C29" s="205" t="e">
        <f>ROUND(C5*C18*C19*C20*C21*C24,0)</f>
        <v>#DIV/0!</v>
      </c>
      <c r="D29" s="2837"/>
      <c r="E29" s="941" t="e">
        <f>ROUND(C29*D29/10000,0)</f>
        <v>#DIV/0!</v>
      </c>
      <c r="F29" s="2838" t="s">
        <v>2920</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2921</v>
      </c>
      <c r="C30" s="228" t="e">
        <f>ROUND(IF(E2="工业",C29*M39,C29*M38),0)</f>
        <v>#DIV/0!</v>
      </c>
      <c r="D30" s="2843"/>
      <c r="E30" s="941" t="e">
        <f>ROUND(C30*D30/10000,0)</f>
        <v>#DIV/0!</v>
      </c>
      <c r="F30" s="2844" t="s">
        <v>2922</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2916</v>
      </c>
      <c r="D32" s="497" t="s">
        <v>2917</v>
      </c>
      <c r="E32" s="497" t="s">
        <v>2918</v>
      </c>
      <c r="F32" s="387" t="s">
        <v>2926</v>
      </c>
      <c r="G32" s="2852" t="s">
        <v>2916</v>
      </c>
      <c r="H32" s="2852" t="s">
        <v>2917</v>
      </c>
      <c r="I32" s="2852"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64" t="s">
        <v>2927</v>
      </c>
      <c r="B33" s="2853" t="s">
        <v>2928</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65"/>
      <c r="B34" s="2765" t="s">
        <v>2929</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65"/>
      <c r="B35" s="2765" t="s">
        <v>2930</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66"/>
      <c r="B36" s="2765" t="s">
        <v>2931</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2932</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2933</v>
      </c>
      <c r="M37" s="2857"/>
      <c r="N37" s="1369"/>
      <c r="O37" s="1369"/>
      <c r="P37" s="1369"/>
      <c r="Q37" s="1369"/>
      <c r="R37" s="1369"/>
      <c r="S37" s="1369"/>
      <c r="T37" s="1369"/>
      <c r="U37" s="1369"/>
      <c r="V37" s="1369"/>
      <c r="W37" s="1369"/>
      <c r="X37" s="1369"/>
      <c r="Y37" s="1369"/>
      <c r="Z37" s="1370"/>
    </row>
    <row r="38" spans="1:37">
      <c r="A38" s="2855"/>
      <c r="B38" s="2765" t="s">
        <v>2934</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2935</v>
      </c>
      <c r="M38" s="2858">
        <v>0.25</v>
      </c>
      <c r="N38" s="1369"/>
      <c r="O38" s="1369"/>
      <c r="P38" s="1369"/>
      <c r="Q38" s="1369"/>
      <c r="R38" s="1369"/>
      <c r="S38" s="1369"/>
      <c r="T38" s="1369"/>
      <c r="U38" s="1369"/>
      <c r="V38" s="1369"/>
      <c r="W38" s="1369"/>
      <c r="X38" s="1369"/>
      <c r="Y38" s="1369"/>
      <c r="Z38" s="1370"/>
    </row>
    <row r="39" spans="1:37" ht="13.5" thickBot="1">
      <c r="A39" s="2841"/>
      <c r="B39" s="2859" t="s">
        <v>2936</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2878</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7" t="e">
        <f>ROUND(POWER(1+E41,H41-G41)*(POWER(1+E41,G41)-1)/(POWER(1+E41,H41)-1),4)</f>
        <v>#DIV/0!</v>
      </c>
      <c r="D41" s="199" t="s">
        <v>2885</v>
      </c>
      <c r="E41" s="2929">
        <f>G20</f>
        <v>0</v>
      </c>
      <c r="F41" s="199" t="s">
        <v>2895</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2937</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2938</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2939</v>
      </c>
      <c r="B47" s="1808" t="s">
        <v>2940</v>
      </c>
      <c r="C47" s="1808" t="s">
        <v>2941</v>
      </c>
      <c r="D47" s="1808" t="s">
        <v>2942</v>
      </c>
      <c r="E47" s="818" t="s">
        <v>2943</v>
      </c>
      <c r="F47" s="2871" t="s">
        <v>2944</v>
      </c>
      <c r="G47" s="1808" t="s">
        <v>754</v>
      </c>
      <c r="H47" s="2872" t="s">
        <v>2945</v>
      </c>
      <c r="I47" s="1808" t="s">
        <v>2946</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24.75">
      <c r="A48" s="2870" t="s">
        <v>2947</v>
      </c>
      <c r="B48" s="2873" t="str">
        <f>估价对象房地状况!C4</f>
        <v>较好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0" t="s">
        <v>2948</v>
      </c>
      <c r="B49" s="2874" t="str">
        <f>估价对象房地状况!C18</f>
        <v>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2949</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2950</v>
      </c>
      <c r="B51" s="2875" t="s">
        <v>2951</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2952</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2953</v>
      </c>
      <c r="B53" s="2876" t="s">
        <v>2954</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7" t="s">
        <v>2955</v>
      </c>
      <c r="B54" s="1724" t="str">
        <f>估价对象房地状况!C21</f>
        <v>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7" t="s">
        <v>2956</v>
      </c>
      <c r="B55" s="2874" t="str">
        <f>估价对象房地状况!C22</f>
        <v>七通</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8" t="s">
        <v>2957</v>
      </c>
      <c r="B56" s="2879" t="str">
        <f>估价对象房地状况!C20</f>
        <v>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2958</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2939</v>
      </c>
      <c r="B58" s="1808"/>
      <c r="C58" s="1808" t="s">
        <v>2941</v>
      </c>
      <c r="D58" s="1808" t="s">
        <v>2942</v>
      </c>
      <c r="E58" s="818" t="s">
        <v>2943</v>
      </c>
      <c r="F58" s="2871" t="s">
        <v>2959</v>
      </c>
      <c r="G58" s="1808" t="s">
        <v>754</v>
      </c>
      <c r="H58" s="2872" t="s">
        <v>2945</v>
      </c>
      <c r="I58" s="1808" t="s">
        <v>2946</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24">
      <c r="A59" s="2870" t="s">
        <v>2960</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0" t="s">
        <v>2948</v>
      </c>
      <c r="B60" s="2874" t="str">
        <f>估价对象房地状况!C18</f>
        <v>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2949</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2950</v>
      </c>
      <c r="B62" s="2875" t="s">
        <v>2951</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2952</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2953</v>
      </c>
      <c r="B64" s="2876" t="s">
        <v>2954</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0" t="s">
        <v>2955</v>
      </c>
      <c r="B65" s="1724" t="str">
        <f>估价对象房地状况!C21</f>
        <v>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0" t="s">
        <v>2956</v>
      </c>
      <c r="B66" s="1724" t="str">
        <f>估价对象房地状况!C22</f>
        <v>七通</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78" t="s">
        <v>2957</v>
      </c>
      <c r="B67" s="2880" t="str">
        <f>估价对象房地状况!C20</f>
        <v>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2961</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2939</v>
      </c>
      <c r="B69" s="1808"/>
      <c r="C69" s="1808" t="s">
        <v>2941</v>
      </c>
      <c r="D69" s="1808" t="s">
        <v>2942</v>
      </c>
      <c r="E69" s="818" t="s">
        <v>2943</v>
      </c>
      <c r="F69" s="2871" t="s">
        <v>2959</v>
      </c>
      <c r="G69" s="1808" t="s">
        <v>754</v>
      </c>
      <c r="H69" s="2872" t="s">
        <v>2945</v>
      </c>
      <c r="I69" s="1808" t="s">
        <v>2946</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24">
      <c r="A70" s="2870" t="s">
        <v>2962</v>
      </c>
      <c r="B70" s="2873">
        <f>估价对象房地状况!C15</f>
        <v>0</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0" t="s">
        <v>2948</v>
      </c>
      <c r="B71" s="2874" t="str">
        <f>估价对象房地状况!C18</f>
        <v>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2949</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2963</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0" t="s">
        <v>2955</v>
      </c>
      <c r="B74" s="1724" t="str">
        <f>估价对象房地状况!C21</f>
        <v>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0" t="s">
        <v>2956</v>
      </c>
      <c r="B75" s="1724" t="str">
        <f>估价对象房地状况!C22</f>
        <v>七通</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2953</v>
      </c>
      <c r="B76" s="2876" t="s">
        <v>2954</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24">
      <c r="A77" s="2870" t="s">
        <v>2957</v>
      </c>
      <c r="B77" s="2873" t="str">
        <f>估价对象房地状况!C20</f>
        <v>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2964</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2965</v>
      </c>
      <c r="B79" s="2867">
        <f>1+E81</f>
        <v>1</v>
      </c>
      <c r="C79" s="813"/>
      <c r="D79" s="813"/>
      <c r="E79" s="814"/>
      <c r="F79" s="2869"/>
      <c r="G79" s="6"/>
      <c r="H79" s="6"/>
      <c r="I79" s="6"/>
      <c r="J79" s="7"/>
      <c r="K79" s="7"/>
      <c r="L79" s="7"/>
      <c r="M79" s="7"/>
      <c r="N79" s="7"/>
      <c r="Z79" s="2720"/>
      <c r="AA79" s="2788"/>
      <c r="AG79" s="1371"/>
      <c r="AK79" s="2788"/>
    </row>
    <row r="80" spans="1:37" ht="24.75">
      <c r="A80" s="2870" t="s">
        <v>2939</v>
      </c>
      <c r="B80" s="1808"/>
      <c r="C80" s="1808" t="s">
        <v>2941</v>
      </c>
      <c r="D80" s="1808" t="s">
        <v>2942</v>
      </c>
      <c r="E80" s="818" t="s">
        <v>2943</v>
      </c>
      <c r="F80" s="2871" t="s">
        <v>2959</v>
      </c>
      <c r="G80" s="1808" t="s">
        <v>754</v>
      </c>
      <c r="H80" s="2872" t="s">
        <v>2945</v>
      </c>
      <c r="I80" s="1808" t="s">
        <v>2946</v>
      </c>
      <c r="J80" s="602" t="s">
        <v>2594</v>
      </c>
      <c r="K80" s="602" t="s">
        <v>2595</v>
      </c>
      <c r="L80" s="602" t="s">
        <v>2596</v>
      </c>
      <c r="M80" s="602" t="s">
        <v>2597</v>
      </c>
      <c r="N80" s="602" t="s">
        <v>2598</v>
      </c>
      <c r="Z80" s="2720"/>
      <c r="AA80" s="2788"/>
      <c r="AG80" s="1371"/>
      <c r="AK80" s="2788"/>
    </row>
    <row r="81" spans="1:37" ht="38.25">
      <c r="A81" s="2870" t="s">
        <v>2966</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2948</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2949</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2963</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2955</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2956</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2953</v>
      </c>
      <c r="B87" s="2876" t="s">
        <v>2967</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2968</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58" t="s">
        <v>2969</v>
      </c>
      <c r="B90" s="3358"/>
      <c r="C90" s="3358"/>
      <c r="D90" s="3358"/>
      <c r="E90" s="3358"/>
      <c r="F90" s="3358"/>
      <c r="G90" s="3358"/>
      <c r="H90" s="3358"/>
      <c r="I90" s="3358"/>
      <c r="J90" s="3358"/>
      <c r="K90" s="2884"/>
      <c r="L90" s="2884"/>
      <c r="M90" s="2884"/>
      <c r="N90" s="2884"/>
    </row>
    <row r="91" spans="1:37">
      <c r="A91" s="3360" t="s">
        <v>2970</v>
      </c>
      <c r="B91" s="3360" t="s">
        <v>2971</v>
      </c>
      <c r="C91" s="2838" t="s">
        <v>2972</v>
      </c>
      <c r="D91" s="2839"/>
      <c r="E91" s="2839"/>
      <c r="F91" s="2839"/>
      <c r="G91" s="2839"/>
      <c r="H91" s="2839"/>
      <c r="I91" s="2839"/>
      <c r="J91" s="2885"/>
      <c r="K91" s="2886"/>
      <c r="L91" s="2886"/>
      <c r="M91" s="2886"/>
      <c r="N91" s="2886"/>
    </row>
    <row r="92" spans="1:37">
      <c r="A92" s="3360"/>
      <c r="B92" s="3360"/>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61"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6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6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6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6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6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62"/>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6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61" t="s">
        <v>2974</v>
      </c>
      <c r="B101" s="2891" t="s">
        <v>2975</v>
      </c>
      <c r="C101" s="2892">
        <f>$G$3</f>
        <v>3.06</v>
      </c>
      <c r="D101" s="2892">
        <f t="shared" ref="D101:N101" si="31">$G$3</f>
        <v>3.06</v>
      </c>
      <c r="E101" s="2892">
        <f t="shared" si="31"/>
        <v>3.06</v>
      </c>
      <c r="F101" s="2892">
        <f t="shared" si="31"/>
        <v>3.06</v>
      </c>
      <c r="G101" s="2892">
        <f t="shared" si="31"/>
        <v>3.06</v>
      </c>
      <c r="H101" s="2892">
        <f t="shared" si="31"/>
        <v>3.06</v>
      </c>
      <c r="I101" s="2892">
        <f t="shared" si="31"/>
        <v>3.06</v>
      </c>
      <c r="J101" s="2892">
        <f t="shared" si="31"/>
        <v>3.06</v>
      </c>
      <c r="K101" s="2892">
        <f t="shared" si="31"/>
        <v>3.06</v>
      </c>
      <c r="L101" s="2892">
        <f t="shared" si="31"/>
        <v>3.06</v>
      </c>
      <c r="M101" s="2892">
        <f t="shared" si="31"/>
        <v>3.06</v>
      </c>
      <c r="N101" s="2892">
        <f t="shared" si="31"/>
        <v>3.06</v>
      </c>
    </row>
    <row r="102" spans="1:14">
      <c r="A102" s="3362"/>
      <c r="B102" s="2887">
        <v>1</v>
      </c>
      <c r="C102" s="2888">
        <f>1.9362/C101</f>
        <v>0.63274509803921564</v>
      </c>
      <c r="D102" s="2888">
        <f>1.9362/D101</f>
        <v>0.63274509803921564</v>
      </c>
      <c r="E102" s="2888">
        <f>1.8629/E101</f>
        <v>0.60879084967320263</v>
      </c>
      <c r="F102" s="2888">
        <f>1.8629/F101</f>
        <v>0.60879084967320263</v>
      </c>
      <c r="G102" s="2888">
        <f>1.8629/G101</f>
        <v>0.60879084967320263</v>
      </c>
      <c r="H102" s="2888">
        <f>1.8629/H101</f>
        <v>0.60879084967320263</v>
      </c>
      <c r="I102" s="2888">
        <f>1.8629/I101</f>
        <v>0.60879084967320263</v>
      </c>
      <c r="J102" s="2888">
        <f>1.942/J101</f>
        <v>0.63464052287581696</v>
      </c>
      <c r="K102" s="2888">
        <f>1.942/K101</f>
        <v>0.63464052287581696</v>
      </c>
      <c r="L102" s="2888">
        <f>1.942/L101</f>
        <v>0.63464052287581696</v>
      </c>
      <c r="M102" s="2888">
        <f>1.942/M101</f>
        <v>0.63464052287581696</v>
      </c>
      <c r="N102" s="2888">
        <f>1.942/N101</f>
        <v>0.63464052287581696</v>
      </c>
    </row>
    <row r="103" spans="1:14">
      <c r="A103" s="3362"/>
      <c r="B103" s="2887">
        <v>2</v>
      </c>
      <c r="C103" s="2888">
        <f>1.4198/C101</f>
        <v>0.46398692810457515</v>
      </c>
      <c r="D103" s="2888">
        <f>1.4198/D101</f>
        <v>0.46398692810457515</v>
      </c>
      <c r="E103" s="2888">
        <f>1.3372/E101</f>
        <v>0.43699346405228756</v>
      </c>
      <c r="F103" s="2888">
        <f>1.3372/F101</f>
        <v>0.43699346405228756</v>
      </c>
      <c r="G103" s="2888">
        <f>1.3372/G101</f>
        <v>0.43699346405228756</v>
      </c>
      <c r="H103" s="2888">
        <f>1.3372/H101</f>
        <v>0.43699346405228756</v>
      </c>
      <c r="I103" s="2888">
        <f>1.3372/I101</f>
        <v>0.43699346405228756</v>
      </c>
      <c r="J103" s="2888">
        <f>1.2799/J101</f>
        <v>0.41826797385620917</v>
      </c>
      <c r="K103" s="2888">
        <f>1.2799/K101</f>
        <v>0.41826797385620917</v>
      </c>
      <c r="L103" s="2888">
        <f>1.2799/L101</f>
        <v>0.41826797385620917</v>
      </c>
      <c r="M103" s="2888">
        <f>1.2799/M101</f>
        <v>0.41826797385620917</v>
      </c>
      <c r="N103" s="2888">
        <f>1.2799/N101</f>
        <v>0.41826797385620917</v>
      </c>
    </row>
    <row r="104" spans="1:14">
      <c r="A104" s="3362"/>
      <c r="B104" s="2887">
        <v>3</v>
      </c>
      <c r="C104" s="2888">
        <f>1.1594/C101</f>
        <v>0.37888888888888889</v>
      </c>
      <c r="D104" s="2888">
        <f>1.1594/D101</f>
        <v>0.37888888888888889</v>
      </c>
      <c r="E104" s="2888">
        <f>1.0788/E101</f>
        <v>0.35254901960784313</v>
      </c>
      <c r="F104" s="2888">
        <f>1.0788/F101</f>
        <v>0.35254901960784313</v>
      </c>
      <c r="G104" s="2888">
        <f>1.0788/G101</f>
        <v>0.35254901960784313</v>
      </c>
      <c r="H104" s="2888">
        <f>1.0788/H101</f>
        <v>0.35254901960784313</v>
      </c>
      <c r="I104" s="2888">
        <f>1.0788/I101</f>
        <v>0.35254901960784313</v>
      </c>
      <c r="J104" s="2888">
        <f>1.0072/J101</f>
        <v>0.32915032679738565</v>
      </c>
      <c r="K104" s="2888">
        <f>1.0072/K101</f>
        <v>0.32915032679738565</v>
      </c>
      <c r="L104" s="2888">
        <f>1.0072/L101</f>
        <v>0.32915032679738565</v>
      </c>
      <c r="M104" s="2888">
        <f>1.0072/M101</f>
        <v>0.32915032679738565</v>
      </c>
      <c r="N104" s="2888">
        <f>1.0072/N101</f>
        <v>0.32915032679738565</v>
      </c>
    </row>
    <row r="105" spans="1:14">
      <c r="A105" s="3362"/>
      <c r="B105" s="2887">
        <v>4</v>
      </c>
      <c r="C105" s="2888">
        <f>0.9622/C101</f>
        <v>0.31444444444444447</v>
      </c>
      <c r="D105" s="2888">
        <f>0.9622/D101</f>
        <v>0.31444444444444447</v>
      </c>
      <c r="E105" s="2888">
        <f>0.8656/E101</f>
        <v>0.28287581699346404</v>
      </c>
      <c r="F105" s="2888">
        <f>0.8656/F101</f>
        <v>0.28287581699346404</v>
      </c>
      <c r="G105" s="2888">
        <f>0.8656/G101</f>
        <v>0.28287581699346404</v>
      </c>
      <c r="H105" s="2888">
        <f>0.8656/H101</f>
        <v>0.28287581699346404</v>
      </c>
      <c r="I105" s="2888">
        <f>0.8656/I101</f>
        <v>0.28287581699346404</v>
      </c>
      <c r="J105" s="2888">
        <f>0.7525/J101</f>
        <v>0.24591503267973855</v>
      </c>
      <c r="K105" s="2888">
        <f>0.7525/K101</f>
        <v>0.24591503267973855</v>
      </c>
      <c r="L105" s="2888">
        <f>0.7525/L101</f>
        <v>0.24591503267973855</v>
      </c>
      <c r="M105" s="2888">
        <f>0.7525/M101</f>
        <v>0.24591503267973855</v>
      </c>
      <c r="N105" s="2888">
        <f>0.7525/N101</f>
        <v>0.24591503267973855</v>
      </c>
    </row>
    <row r="106" spans="1:14">
      <c r="A106" s="3362"/>
      <c r="B106" s="2887">
        <v>5</v>
      </c>
      <c r="C106" s="2888">
        <f>0.8417/C101</f>
        <v>0.27506535947712418</v>
      </c>
      <c r="D106" s="2888">
        <f>0.8417/D101</f>
        <v>0.27506535947712418</v>
      </c>
      <c r="E106" s="2888">
        <f>0.7371/E101</f>
        <v>0.24088235294117646</v>
      </c>
      <c r="F106" s="2888">
        <f>0.7371/F101</f>
        <v>0.24088235294117646</v>
      </c>
      <c r="G106" s="2888">
        <f>0.7371/G101</f>
        <v>0.24088235294117646</v>
      </c>
      <c r="H106" s="2888">
        <f>0.7371/H101</f>
        <v>0.24088235294117646</v>
      </c>
      <c r="I106" s="2888">
        <f>0.7371/I101</f>
        <v>0.24088235294117646</v>
      </c>
      <c r="J106" s="2888">
        <f>0.5659/J101</f>
        <v>0.18493464052287581</v>
      </c>
      <c r="K106" s="2888">
        <f>0.5659/K101</f>
        <v>0.18493464052287581</v>
      </c>
      <c r="L106" s="2888">
        <f>0.5659/L101</f>
        <v>0.18493464052287581</v>
      </c>
      <c r="M106" s="2888">
        <f>0.5659/M101</f>
        <v>0.18493464052287581</v>
      </c>
      <c r="N106" s="2888">
        <f>0.5659/N101</f>
        <v>0.18493464052287581</v>
      </c>
    </row>
    <row r="107" spans="1:14">
      <c r="A107" s="3362"/>
      <c r="B107" s="2887">
        <v>6</v>
      </c>
      <c r="C107" s="2888">
        <f>0.7608/C101</f>
        <v>0.24862745098039216</v>
      </c>
      <c r="D107" s="2888">
        <f>0.7608/D101</f>
        <v>0.24862745098039216</v>
      </c>
      <c r="E107" s="2888">
        <f>0.6482/E101</f>
        <v>0.21183006535947713</v>
      </c>
      <c r="F107" s="2888">
        <f>0.6482/F101</f>
        <v>0.21183006535947713</v>
      </c>
      <c r="G107" s="2888">
        <f>0.6482/G101</f>
        <v>0.21183006535947713</v>
      </c>
      <c r="H107" s="2888">
        <f>0.6482/H101</f>
        <v>0.21183006535947713</v>
      </c>
      <c r="I107" s="2888">
        <f>0.6482/I101</f>
        <v>0.21183006535947713</v>
      </c>
      <c r="J107" s="2888">
        <f>0.4525/J101</f>
        <v>0.14787581699346405</v>
      </c>
      <c r="K107" s="2888">
        <f>0.4525/K101</f>
        <v>0.14787581699346405</v>
      </c>
      <c r="L107" s="2888">
        <f>0.4525/L101</f>
        <v>0.14787581699346405</v>
      </c>
      <c r="M107" s="2888">
        <f>0.4525/M101</f>
        <v>0.14787581699346405</v>
      </c>
      <c r="N107" s="2888">
        <f>0.4525/N101</f>
        <v>0.14787581699346405</v>
      </c>
    </row>
    <row r="108" spans="1:14">
      <c r="A108" s="3362"/>
      <c r="B108" s="3184"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63"/>
      <c r="B109" s="3185"/>
      <c r="C109" s="2890">
        <f>(-0.163*(C108^2)-0.59*C108+7617)*(10^(-4))/C101</f>
        <v>0.24892156862745099</v>
      </c>
      <c r="D109" s="2890">
        <f>(-0.163*(D108^2)-0.59*D108+7617)*(10^(-4))/D101</f>
        <v>0.24892156862745099</v>
      </c>
      <c r="E109" s="2890">
        <f>(-0.161*(E108^2)-7.509*E108+6533)*(10^(-4))/E101</f>
        <v>0.21349673202614378</v>
      </c>
      <c r="F109" s="2890">
        <f>(-0.161*(F108^2)-7.509*F108+6533)*(10^(-4))/F101</f>
        <v>0.21349673202614378</v>
      </c>
      <c r="G109" s="2890">
        <f>(-0.161*(G108^2)-7.509*G108+6533)*(10^(-4))/G101</f>
        <v>0.21349673202614378</v>
      </c>
      <c r="H109" s="2890">
        <f>(-0.161*(H108^2)-7.509*H108+6533)*(10^(-4))/H101</f>
        <v>0.21349673202614378</v>
      </c>
      <c r="I109" s="2890">
        <f>(-0.161*(I108^2)-7.509*I108+6533)*(10^(-4))/I101</f>
        <v>0.21349673202614378</v>
      </c>
      <c r="J109" s="2890">
        <f>(-0.214*(J108^2)-21.991*J108+4665)*(10^(-4))/J101</f>
        <v>0.15245098039215688</v>
      </c>
      <c r="K109" s="2890">
        <f>(-0.214*(K108^2)-21.991*K108+4665)*(10^(-4))/K101</f>
        <v>0.15245098039215688</v>
      </c>
      <c r="L109" s="2890">
        <f>(-0.214*(L108^2)-21.991*L108+4665)*(10^(-4))/L101</f>
        <v>0.15245098039215688</v>
      </c>
      <c r="M109" s="2890">
        <f>(-0.214*(M108^2)-21.991*M108+4665)*(10^(-4))/M101</f>
        <v>0.15245098039215688</v>
      </c>
      <c r="N109" s="2890">
        <f>(-0.214*(N108^2)-21.991*N108+4665)*(10^(-4))/N101</f>
        <v>0.15245098039215688</v>
      </c>
    </row>
    <row r="110" spans="1:14">
      <c r="A110" s="3359" t="s">
        <v>2977</v>
      </c>
      <c r="B110" s="3359"/>
      <c r="C110" s="3359"/>
      <c r="D110" s="3359"/>
      <c r="E110" s="3359"/>
      <c r="F110" s="3359"/>
      <c r="G110" s="3359"/>
      <c r="H110" s="3359"/>
      <c r="I110" s="3359"/>
      <c r="J110" s="3359"/>
      <c r="K110" s="2893"/>
      <c r="L110" s="2893"/>
      <c r="M110" s="2893"/>
      <c r="N110" s="2893"/>
    </row>
    <row r="112" spans="1:14" ht="13.5" thickBot="1"/>
    <row r="113" spans="1:13" ht="25.5" thickBot="1">
      <c r="A113" s="902" t="s">
        <v>2978</v>
      </c>
      <c r="B113" s="1286">
        <f>G3</f>
        <v>3.06</v>
      </c>
      <c r="C113" s="903" t="s">
        <v>2979</v>
      </c>
      <c r="D113" s="904">
        <f>SUMPRODUCT((A115:A118=F113)*(B114:M114=H113)*B115:M118)</f>
        <v>0</v>
      </c>
      <c r="E113" s="2724" t="s">
        <v>2810</v>
      </c>
      <c r="F113" s="2895">
        <f>E2</f>
        <v>0</v>
      </c>
      <c r="G113" s="2724" t="s">
        <v>2811</v>
      </c>
      <c r="H113" s="2895">
        <f>G2</f>
        <v>0</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2875</v>
      </c>
      <c r="B115" s="909">
        <f>ROUND(0.9335-0.0094*B113,4)</f>
        <v>0.90469999999999995</v>
      </c>
      <c r="C115" s="909">
        <f>B115</f>
        <v>0.90469999999999995</v>
      </c>
      <c r="D115" s="909">
        <f>ROUND(0.8331-0.0109*B113,4)</f>
        <v>0.79969999999999997</v>
      </c>
      <c r="E115" s="909">
        <f>D115</f>
        <v>0.79969999999999997</v>
      </c>
      <c r="F115" s="909">
        <f>E115</f>
        <v>0.79969999999999997</v>
      </c>
      <c r="G115" s="909">
        <f>F115</f>
        <v>0.79969999999999997</v>
      </c>
      <c r="H115" s="909">
        <f>G115</f>
        <v>0.79969999999999997</v>
      </c>
      <c r="I115" s="909">
        <f>ROUND(0.689-0.0155*B113,4)</f>
        <v>0.64159999999999995</v>
      </c>
      <c r="J115" s="909">
        <f t="shared" ref="J115:M118" si="33">I115</f>
        <v>0.64159999999999995</v>
      </c>
      <c r="K115" s="909">
        <f t="shared" si="33"/>
        <v>0.64159999999999995</v>
      </c>
      <c r="L115" s="909">
        <f t="shared" si="33"/>
        <v>0.64159999999999995</v>
      </c>
      <c r="M115" s="910">
        <f t="shared" si="33"/>
        <v>0.64159999999999995</v>
      </c>
    </row>
    <row r="116" spans="1:13">
      <c r="A116" s="908" t="s">
        <v>2876</v>
      </c>
      <c r="B116" s="909">
        <f>ROUND(0.949-0.012*B113,4)</f>
        <v>0.9123</v>
      </c>
      <c r="C116" s="909">
        <f>B116</f>
        <v>0.9123</v>
      </c>
      <c r="D116" s="909">
        <f>ROUND(0.8567-0.013*B113,4)</f>
        <v>0.81689999999999996</v>
      </c>
      <c r="E116" s="909">
        <f t="shared" ref="E116:H117" si="34">D116</f>
        <v>0.81689999999999996</v>
      </c>
      <c r="F116" s="909">
        <f t="shared" si="34"/>
        <v>0.81689999999999996</v>
      </c>
      <c r="G116" s="909">
        <f t="shared" si="34"/>
        <v>0.81689999999999996</v>
      </c>
      <c r="H116" s="909">
        <f t="shared" si="34"/>
        <v>0.81689999999999996</v>
      </c>
      <c r="I116" s="909">
        <f>ROUND(0.7694-0.014*B113,4)</f>
        <v>0.72660000000000002</v>
      </c>
      <c r="J116" s="909">
        <f t="shared" si="33"/>
        <v>0.72660000000000002</v>
      </c>
      <c r="K116" s="909">
        <f t="shared" si="33"/>
        <v>0.72660000000000002</v>
      </c>
      <c r="L116" s="909">
        <f t="shared" si="33"/>
        <v>0.72660000000000002</v>
      </c>
      <c r="M116" s="910">
        <f t="shared" si="33"/>
        <v>0.72660000000000002</v>
      </c>
    </row>
    <row r="117" spans="1:13">
      <c r="A117" s="908" t="s">
        <v>2877</v>
      </c>
      <c r="B117" s="909">
        <f>ROUND(0.8808-0.006*B113,4)</f>
        <v>0.86240000000000006</v>
      </c>
      <c r="C117" s="909">
        <f>B117</f>
        <v>0.86240000000000006</v>
      </c>
      <c r="D117" s="909">
        <f>ROUND(0.8748-0.008*B113,4)</f>
        <v>0.85029999999999994</v>
      </c>
      <c r="E117" s="909">
        <f t="shared" si="34"/>
        <v>0.85029999999999994</v>
      </c>
      <c r="F117" s="909">
        <f t="shared" si="34"/>
        <v>0.85029999999999994</v>
      </c>
      <c r="G117" s="909">
        <f t="shared" si="34"/>
        <v>0.85029999999999994</v>
      </c>
      <c r="H117" s="909">
        <f t="shared" si="34"/>
        <v>0.85029999999999994</v>
      </c>
      <c r="I117" s="909">
        <f>ROUND(0.7412-0.0095*B113,4)</f>
        <v>0.71209999999999996</v>
      </c>
      <c r="J117" s="909">
        <f t="shared" si="33"/>
        <v>0.71209999999999996</v>
      </c>
      <c r="K117" s="909">
        <f t="shared" si="33"/>
        <v>0.71209999999999996</v>
      </c>
      <c r="L117" s="909">
        <f t="shared" si="33"/>
        <v>0.71209999999999996</v>
      </c>
      <c r="M117" s="910">
        <f t="shared" si="33"/>
        <v>0.71209999999999996</v>
      </c>
    </row>
    <row r="118" spans="1:13" ht="13.5" thickBot="1">
      <c r="A118" s="713" t="s">
        <v>2878</v>
      </c>
      <c r="B118" s="911">
        <f>ROUND(0.7275-0.01*B113,4)</f>
        <v>0.69689999999999996</v>
      </c>
      <c r="C118" s="911">
        <f>B118</f>
        <v>0.69689999999999996</v>
      </c>
      <c r="D118" s="911">
        <f>ROUND(0.7043-0.012*B113,4)</f>
        <v>0.66759999999999997</v>
      </c>
      <c r="E118" s="911">
        <f>D118</f>
        <v>0.66759999999999997</v>
      </c>
      <c r="F118" s="911">
        <f>E118</f>
        <v>0.66759999999999997</v>
      </c>
      <c r="G118" s="911">
        <f>ROUND(0.6299-0.0122*B113,4)</f>
        <v>0.59260000000000002</v>
      </c>
      <c r="H118" s="911">
        <f>G118</f>
        <v>0.59260000000000002</v>
      </c>
      <c r="I118" s="911">
        <f>ROUND(0.5667-0.0136*B113,4)</f>
        <v>0.52510000000000001</v>
      </c>
      <c r="J118" s="911">
        <f t="shared" si="33"/>
        <v>0.52510000000000001</v>
      </c>
      <c r="K118" s="911">
        <f t="shared" si="33"/>
        <v>0.52510000000000001</v>
      </c>
      <c r="L118" s="911">
        <f t="shared" si="33"/>
        <v>0.52510000000000001</v>
      </c>
      <c r="M118" s="912">
        <f t="shared" si="33"/>
        <v>0.52510000000000001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7" priority="5" stopIfTrue="1" operator="notEqual">
      <formula>"——"</formula>
    </cfRule>
  </conditionalFormatting>
  <conditionalFormatting sqref="F59">
    <cfRule type="cellIs" dxfId="16" priority="4" stopIfTrue="1" operator="notEqual">
      <formula>"——"</formula>
    </cfRule>
  </conditionalFormatting>
  <conditionalFormatting sqref="F70">
    <cfRule type="cellIs" dxfId="15"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79" t="s">
        <v>183</v>
      </c>
      <c r="B18" s="881" t="s">
        <v>560</v>
      </c>
      <c r="C18" s="882" t="s">
        <v>561</v>
      </c>
      <c r="D18" s="883"/>
      <c r="E18" s="881">
        <v>1</v>
      </c>
      <c r="F18" s="884" t="s">
        <v>562</v>
      </c>
      <c r="G18" s="885"/>
      <c r="H18" s="877"/>
      <c r="I18" s="877"/>
    </row>
    <row r="19" spans="1:9" s="886" customFormat="1" ht="19.5" customHeight="1">
      <c r="A19" s="3379"/>
      <c r="B19" s="3379" t="s">
        <v>563</v>
      </c>
      <c r="C19" s="882" t="s">
        <v>564</v>
      </c>
      <c r="D19" s="883"/>
      <c r="E19" s="881">
        <v>0.9</v>
      </c>
      <c r="F19" s="884" t="s">
        <v>565</v>
      </c>
      <c r="G19" s="885"/>
      <c r="H19" s="877"/>
      <c r="I19" s="877"/>
    </row>
    <row r="20" spans="1:9" s="886" customFormat="1" ht="19.5" customHeight="1">
      <c r="A20" s="3379"/>
      <c r="B20" s="3379"/>
      <c r="C20" s="882" t="s">
        <v>566</v>
      </c>
      <c r="D20" s="883"/>
      <c r="E20" s="881">
        <v>1.1000000000000001</v>
      </c>
      <c r="F20" s="884" t="s">
        <v>567</v>
      </c>
      <c r="G20" s="885"/>
      <c r="H20" s="877"/>
      <c r="I20" s="877"/>
    </row>
    <row r="21" spans="1:9" s="886" customFormat="1" ht="19.5" customHeight="1">
      <c r="A21" s="3379"/>
      <c r="B21" s="3379"/>
      <c r="C21" s="882" t="s">
        <v>568</v>
      </c>
      <c r="D21" s="883"/>
      <c r="E21" s="881">
        <v>0.8</v>
      </c>
      <c r="F21" s="884" t="s">
        <v>569</v>
      </c>
      <c r="G21" s="885"/>
      <c r="H21" s="877"/>
      <c r="I21" s="877"/>
    </row>
    <row r="22" spans="1:9" s="886" customFormat="1" ht="19.5" customHeight="1">
      <c r="A22" s="3379"/>
      <c r="B22" s="3379"/>
      <c r="C22" s="882" t="s">
        <v>570</v>
      </c>
      <c r="D22" s="883"/>
      <c r="E22" s="881">
        <v>0.5</v>
      </c>
      <c r="F22" s="884"/>
      <c r="G22" s="885"/>
      <c r="H22" s="877"/>
      <c r="I22" s="877"/>
    </row>
    <row r="23" spans="1:9" s="886" customFormat="1" ht="19.5" customHeight="1">
      <c r="A23" s="3379" t="s">
        <v>184</v>
      </c>
      <c r="B23" s="881" t="s">
        <v>560</v>
      </c>
      <c r="C23" s="882" t="s">
        <v>571</v>
      </c>
      <c r="D23" s="883"/>
      <c r="E23" s="881">
        <v>1</v>
      </c>
      <c r="F23" s="884" t="s">
        <v>572</v>
      </c>
      <c r="G23" s="885"/>
      <c r="H23" s="877"/>
      <c r="I23" s="877"/>
    </row>
    <row r="24" spans="1:9" s="886" customFormat="1" ht="19.5" customHeight="1">
      <c r="A24" s="3379"/>
      <c r="B24" s="3379" t="s">
        <v>563</v>
      </c>
      <c r="C24" s="882" t="s">
        <v>573</v>
      </c>
      <c r="D24" s="883"/>
      <c r="E24" s="881">
        <v>0.5</v>
      </c>
      <c r="F24" s="884"/>
      <c r="G24" s="885"/>
      <c r="H24" s="877"/>
      <c r="I24" s="877"/>
    </row>
    <row r="25" spans="1:9" s="886" customFormat="1" ht="19.5" customHeight="1">
      <c r="A25" s="3379"/>
      <c r="B25" s="3379"/>
      <c r="C25" s="882" t="s">
        <v>574</v>
      </c>
      <c r="D25" s="883"/>
      <c r="E25" s="881">
        <v>1.1000000000000001</v>
      </c>
      <c r="F25" s="884"/>
      <c r="G25" s="885"/>
      <c r="H25" s="877"/>
      <c r="I25" s="877"/>
    </row>
    <row r="26" spans="1:9" s="886" customFormat="1" ht="19.5" customHeight="1">
      <c r="A26" s="3379"/>
      <c r="B26" s="3379"/>
      <c r="C26" s="882" t="s">
        <v>575</v>
      </c>
      <c r="D26" s="883"/>
      <c r="E26" s="881">
        <v>1.1000000000000001</v>
      </c>
      <c r="F26" s="884"/>
      <c r="G26" s="885"/>
      <c r="H26" s="877"/>
      <c r="I26" s="877"/>
    </row>
    <row r="27" spans="1:9" s="886" customFormat="1" ht="19.5" customHeight="1">
      <c r="A27" s="3379"/>
      <c r="B27" s="3379"/>
      <c r="C27" s="882" t="s">
        <v>576</v>
      </c>
      <c r="D27" s="883"/>
      <c r="E27" s="881">
        <v>0.9</v>
      </c>
      <c r="F27" s="884" t="s">
        <v>577</v>
      </c>
      <c r="G27" s="885"/>
      <c r="H27" s="877"/>
      <c r="I27" s="877"/>
    </row>
    <row r="28" spans="1:9" s="886" customFormat="1" ht="19.5" customHeight="1">
      <c r="A28" s="3379"/>
      <c r="B28" s="3379"/>
      <c r="C28" s="882" t="s">
        <v>578</v>
      </c>
      <c r="D28" s="883"/>
      <c r="E28" s="881">
        <v>0.9</v>
      </c>
      <c r="F28" s="884" t="s">
        <v>579</v>
      </c>
      <c r="G28" s="885"/>
      <c r="H28" s="877"/>
      <c r="I28" s="877"/>
    </row>
    <row r="29" spans="1:9" s="886" customFormat="1" ht="19.5" customHeight="1">
      <c r="A29" s="3379"/>
      <c r="B29" s="3379"/>
      <c r="C29" s="882" t="s">
        <v>580</v>
      </c>
      <c r="D29" s="883"/>
      <c r="E29" s="881">
        <v>0.9</v>
      </c>
      <c r="F29" s="884" t="s">
        <v>581</v>
      </c>
      <c r="G29" s="885"/>
      <c r="H29" s="877"/>
      <c r="I29" s="877"/>
    </row>
    <row r="30" spans="1:9" s="886" customFormat="1" ht="19.5" customHeight="1">
      <c r="A30" s="3379"/>
      <c r="B30" s="3379"/>
      <c r="C30" s="882" t="s">
        <v>582</v>
      </c>
      <c r="D30" s="883"/>
      <c r="E30" s="881">
        <v>0.9</v>
      </c>
      <c r="F30" s="884" t="s">
        <v>583</v>
      </c>
      <c r="G30" s="885"/>
      <c r="H30" s="877"/>
      <c r="I30" s="877"/>
    </row>
    <row r="31" spans="1:9" s="886" customFormat="1" ht="19.5" customHeight="1">
      <c r="A31" s="3379"/>
      <c r="B31" s="3379"/>
      <c r="C31" s="882" t="s">
        <v>584</v>
      </c>
      <c r="D31" s="883"/>
      <c r="E31" s="881">
        <v>0.8</v>
      </c>
      <c r="F31" s="884" t="s">
        <v>585</v>
      </c>
      <c r="G31" s="885"/>
      <c r="H31" s="877"/>
      <c r="I31" s="877"/>
    </row>
    <row r="32" spans="1:9" s="886" customFormat="1" ht="19.5" customHeight="1">
      <c r="A32" s="3379"/>
      <c r="B32" s="3379"/>
      <c r="C32" s="882" t="s">
        <v>586</v>
      </c>
      <c r="D32" s="883"/>
      <c r="E32" s="881">
        <v>0.8</v>
      </c>
      <c r="F32" s="884" t="s">
        <v>587</v>
      </c>
      <c r="G32" s="885"/>
      <c r="H32" s="877"/>
      <c r="I32" s="877"/>
    </row>
    <row r="33" spans="1:9" s="886" customFormat="1" ht="19.5" customHeight="1">
      <c r="A33" s="3379" t="s">
        <v>185</v>
      </c>
      <c r="B33" s="881" t="s">
        <v>560</v>
      </c>
      <c r="C33" s="882" t="s">
        <v>588</v>
      </c>
      <c r="D33" s="883"/>
      <c r="E33" s="881">
        <v>1</v>
      </c>
      <c r="F33" s="884" t="s">
        <v>589</v>
      </c>
      <c r="G33" s="885"/>
      <c r="H33" s="877"/>
      <c r="I33" s="877"/>
    </row>
    <row r="34" spans="1:9" s="886" customFormat="1" ht="19.5" customHeight="1">
      <c r="A34" s="3379"/>
      <c r="B34" s="881" t="s">
        <v>563</v>
      </c>
      <c r="C34" s="882" t="s">
        <v>590</v>
      </c>
      <c r="D34" s="883"/>
      <c r="E34" s="881">
        <v>1.5</v>
      </c>
      <c r="F34" s="884" t="s">
        <v>591</v>
      </c>
      <c r="G34" s="885"/>
      <c r="H34" s="877"/>
      <c r="I34" s="877"/>
    </row>
    <row r="35" spans="1:9" s="886" customFormat="1" ht="19.5" customHeight="1">
      <c r="A35" s="3379" t="s">
        <v>186</v>
      </c>
      <c r="B35" s="881" t="s">
        <v>560</v>
      </c>
      <c r="C35" s="882" t="s">
        <v>592</v>
      </c>
      <c r="D35" s="883"/>
      <c r="E35" s="881">
        <v>1</v>
      </c>
      <c r="F35" s="884" t="s">
        <v>593</v>
      </c>
      <c r="G35" s="885"/>
      <c r="H35" s="877"/>
      <c r="I35" s="877"/>
    </row>
    <row r="36" spans="1:9" s="886" customFormat="1" ht="19.5" customHeight="1">
      <c r="A36" s="3379"/>
      <c r="B36" s="3379" t="s">
        <v>563</v>
      </c>
      <c r="C36" s="882" t="s">
        <v>594</v>
      </c>
      <c r="D36" s="883"/>
      <c r="E36" s="881">
        <v>1</v>
      </c>
      <c r="F36" s="884" t="s">
        <v>595</v>
      </c>
      <c r="G36" s="885"/>
      <c r="H36" s="877"/>
      <c r="I36" s="877"/>
    </row>
    <row r="37" spans="1:9" s="886" customFormat="1" ht="19.5" customHeight="1">
      <c r="A37" s="3379"/>
      <c r="B37" s="3379"/>
      <c r="C37" s="882" t="s">
        <v>596</v>
      </c>
      <c r="D37" s="883"/>
      <c r="E37" s="881">
        <v>1.5</v>
      </c>
      <c r="F37" s="884" t="s">
        <v>597</v>
      </c>
      <c r="G37" s="885"/>
      <c r="H37" s="877"/>
      <c r="I37" s="877"/>
    </row>
    <row r="38" spans="1:9" s="886" customFormat="1" ht="19.5" customHeight="1">
      <c r="A38" s="3379"/>
      <c r="B38" s="3379"/>
      <c r="C38" s="882" t="s">
        <v>598</v>
      </c>
      <c r="D38" s="883"/>
      <c r="E38" s="881">
        <v>1</v>
      </c>
      <c r="F38" s="884" t="s">
        <v>599</v>
      </c>
      <c r="G38" s="885"/>
      <c r="H38" s="877"/>
      <c r="I38" s="877"/>
    </row>
    <row r="39" spans="1:9" s="886" customFormat="1" ht="19.5" customHeight="1">
      <c r="A39" s="3379"/>
      <c r="B39" s="33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79" t="s">
        <v>614</v>
      </c>
      <c r="C61" s="817" t="s">
        <v>615</v>
      </c>
      <c r="D61" s="817" t="s">
        <v>616</v>
      </c>
      <c r="E61" s="894">
        <v>0.5</v>
      </c>
      <c r="F61" s="881">
        <v>80</v>
      </c>
    </row>
    <row r="62" spans="1:8" s="877" customFormat="1" ht="24">
      <c r="A62" s="881">
        <v>2</v>
      </c>
      <c r="B62" s="3379"/>
      <c r="C62" s="817" t="s">
        <v>617</v>
      </c>
      <c r="D62" s="817" t="s">
        <v>618</v>
      </c>
      <c r="E62" s="894">
        <v>0.5</v>
      </c>
      <c r="F62" s="881">
        <v>80</v>
      </c>
    </row>
    <row r="63" spans="1:8" s="877" customFormat="1" ht="36">
      <c r="A63" s="881">
        <v>3</v>
      </c>
      <c r="B63" s="3379"/>
      <c r="C63" s="817" t="s">
        <v>619</v>
      </c>
      <c r="D63" s="817" t="s">
        <v>620</v>
      </c>
      <c r="E63" s="894">
        <v>0.5</v>
      </c>
      <c r="F63" s="881">
        <v>80</v>
      </c>
    </row>
    <row r="64" spans="1:8" s="877" customFormat="1" ht="36">
      <c r="A64" s="881">
        <v>4</v>
      </c>
      <c r="B64" s="3379"/>
      <c r="C64" s="817" t="s">
        <v>621</v>
      </c>
      <c r="D64" s="817" t="s">
        <v>622</v>
      </c>
      <c r="E64" s="894">
        <v>0.4</v>
      </c>
      <c r="F64" s="881">
        <v>60</v>
      </c>
    </row>
    <row r="65" spans="1:6" s="877" customFormat="1" ht="36">
      <c r="A65" s="881">
        <v>5</v>
      </c>
      <c r="B65" s="3379"/>
      <c r="C65" s="817" t="s">
        <v>623</v>
      </c>
      <c r="D65" s="817" t="s">
        <v>624</v>
      </c>
      <c r="E65" s="894">
        <v>0.2</v>
      </c>
      <c r="F65" s="881">
        <v>30</v>
      </c>
    </row>
    <row r="66" spans="1:6" s="877" customFormat="1" ht="36">
      <c r="A66" s="881">
        <v>6</v>
      </c>
      <c r="B66" s="3379"/>
      <c r="C66" s="817" t="s">
        <v>625</v>
      </c>
      <c r="D66" s="817" t="s">
        <v>626</v>
      </c>
      <c r="E66" s="894">
        <v>0.3</v>
      </c>
      <c r="F66" s="881">
        <v>50</v>
      </c>
    </row>
    <row r="67" spans="1:6" s="877" customFormat="1" ht="36">
      <c r="A67" s="881">
        <v>7</v>
      </c>
      <c r="B67" s="3379"/>
      <c r="C67" s="817" t="s">
        <v>627</v>
      </c>
      <c r="D67" s="817" t="s">
        <v>628</v>
      </c>
      <c r="E67" s="894">
        <v>0.2</v>
      </c>
      <c r="F67" s="881">
        <v>30</v>
      </c>
    </row>
    <row r="68" spans="1:6" s="877" customFormat="1" ht="36">
      <c r="A68" s="881">
        <v>8</v>
      </c>
      <c r="B68" s="3379"/>
      <c r="C68" s="817" t="s">
        <v>629</v>
      </c>
      <c r="D68" s="817" t="s">
        <v>630</v>
      </c>
      <c r="E68" s="894">
        <v>0.2</v>
      </c>
      <c r="F68" s="881">
        <v>30</v>
      </c>
    </row>
    <row r="69" spans="1:6" s="877" customFormat="1" ht="36">
      <c r="A69" s="881">
        <v>9</v>
      </c>
      <c r="B69" s="3379"/>
      <c r="C69" s="817" t="s">
        <v>631</v>
      </c>
      <c r="D69" s="817" t="s">
        <v>632</v>
      </c>
      <c r="E69" s="894">
        <v>0.2</v>
      </c>
      <c r="F69" s="881">
        <v>30</v>
      </c>
    </row>
    <row r="70" spans="1:6" s="877" customFormat="1" ht="48">
      <c r="A70" s="881">
        <v>10</v>
      </c>
      <c r="B70" s="3379"/>
      <c r="C70" s="817" t="s">
        <v>633</v>
      </c>
      <c r="D70" s="817" t="s">
        <v>634</v>
      </c>
      <c r="E70" s="894">
        <v>0.2</v>
      </c>
      <c r="F70" s="881">
        <v>30</v>
      </c>
    </row>
    <row r="71" spans="1:6" s="877" customFormat="1" ht="48">
      <c r="A71" s="881">
        <v>11</v>
      </c>
      <c r="B71" s="3379"/>
      <c r="C71" s="817" t="s">
        <v>635</v>
      </c>
      <c r="D71" s="817" t="s">
        <v>636</v>
      </c>
      <c r="E71" s="894">
        <v>0.2</v>
      </c>
      <c r="F71" s="881">
        <v>30</v>
      </c>
    </row>
    <row r="72" spans="1:6" s="877" customFormat="1" ht="36">
      <c r="A72" s="881">
        <v>12</v>
      </c>
      <c r="B72" s="3379"/>
      <c r="C72" s="817" t="s">
        <v>637</v>
      </c>
      <c r="D72" s="817" t="s">
        <v>638</v>
      </c>
      <c r="E72" s="894">
        <v>0.5</v>
      </c>
      <c r="F72" s="881">
        <v>80</v>
      </c>
    </row>
    <row r="73" spans="1:6" s="877" customFormat="1" ht="24">
      <c r="A73" s="881">
        <v>13</v>
      </c>
      <c r="B73" s="3379"/>
      <c r="C73" s="817" t="s">
        <v>639</v>
      </c>
      <c r="D73" s="817" t="s">
        <v>640</v>
      </c>
      <c r="E73" s="894">
        <v>0.4</v>
      </c>
      <c r="F73" s="881">
        <v>60</v>
      </c>
    </row>
    <row r="74" spans="1:6" s="877" customFormat="1" ht="24">
      <c r="A74" s="881">
        <v>14</v>
      </c>
      <c r="B74" s="3379"/>
      <c r="C74" s="817" t="s">
        <v>641</v>
      </c>
      <c r="D74" s="817" t="s">
        <v>642</v>
      </c>
      <c r="E74" s="894">
        <v>0.2</v>
      </c>
      <c r="F74" s="881">
        <v>30</v>
      </c>
    </row>
    <row r="75" spans="1:6" s="877" customFormat="1" ht="24">
      <c r="A75" s="881">
        <v>15</v>
      </c>
      <c r="B75" s="3379"/>
      <c r="C75" s="817" t="s">
        <v>643</v>
      </c>
      <c r="D75" s="817" t="s">
        <v>644</v>
      </c>
      <c r="E75" s="894">
        <v>0.2</v>
      </c>
      <c r="F75" s="881">
        <v>30</v>
      </c>
    </row>
    <row r="76" spans="1:6" s="877" customFormat="1" ht="24">
      <c r="A76" s="881">
        <v>16</v>
      </c>
      <c r="B76" s="3379" t="s">
        <v>645</v>
      </c>
      <c r="C76" s="817" t="s">
        <v>646</v>
      </c>
      <c r="D76" s="817" t="s">
        <v>647</v>
      </c>
      <c r="E76" s="894">
        <v>0.5</v>
      </c>
      <c r="F76" s="881">
        <v>80</v>
      </c>
    </row>
    <row r="77" spans="1:6" s="877" customFormat="1" ht="24">
      <c r="A77" s="881">
        <v>17</v>
      </c>
      <c r="B77" s="3379"/>
      <c r="C77" s="817" t="s">
        <v>648</v>
      </c>
      <c r="D77" s="817" t="s">
        <v>649</v>
      </c>
      <c r="E77" s="894">
        <v>0.5</v>
      </c>
      <c r="F77" s="881">
        <v>80</v>
      </c>
    </row>
    <row r="78" spans="1:6" s="877" customFormat="1" ht="24">
      <c r="A78" s="881">
        <v>18</v>
      </c>
      <c r="B78" s="3379"/>
      <c r="C78" s="817" t="s">
        <v>650</v>
      </c>
      <c r="D78" s="817" t="s">
        <v>651</v>
      </c>
      <c r="E78" s="894">
        <v>0.2</v>
      </c>
      <c r="F78" s="881">
        <v>30</v>
      </c>
    </row>
    <row r="79" spans="1:6" s="877" customFormat="1" ht="24">
      <c r="A79" s="881">
        <v>19</v>
      </c>
      <c r="B79" s="3379"/>
      <c r="C79" s="817" t="s">
        <v>652</v>
      </c>
      <c r="D79" s="817" t="s">
        <v>653</v>
      </c>
      <c r="E79" s="894">
        <v>0.5</v>
      </c>
      <c r="F79" s="881">
        <v>80</v>
      </c>
    </row>
    <row r="80" spans="1:6" s="877" customFormat="1" ht="36">
      <c r="A80" s="881">
        <v>20</v>
      </c>
      <c r="B80" s="3379"/>
      <c r="C80" s="817" t="s">
        <v>654</v>
      </c>
      <c r="D80" s="817" t="s">
        <v>655</v>
      </c>
      <c r="E80" s="894">
        <v>0.2</v>
      </c>
      <c r="F80" s="881">
        <v>30</v>
      </c>
    </row>
    <row r="81" spans="1:6" s="877" customFormat="1" ht="36">
      <c r="A81" s="881">
        <v>21</v>
      </c>
      <c r="B81" s="3379"/>
      <c r="C81" s="817" t="s">
        <v>656</v>
      </c>
      <c r="D81" s="817" t="s">
        <v>657</v>
      </c>
      <c r="E81" s="894">
        <v>0.2</v>
      </c>
      <c r="F81" s="881">
        <v>30</v>
      </c>
    </row>
    <row r="82" spans="1:6" s="877" customFormat="1" ht="48">
      <c r="A82" s="881">
        <v>22</v>
      </c>
      <c r="B82" s="3379"/>
      <c r="C82" s="817" t="s">
        <v>658</v>
      </c>
      <c r="D82" s="817" t="s">
        <v>659</v>
      </c>
      <c r="E82" s="894">
        <v>0.2</v>
      </c>
      <c r="F82" s="881">
        <v>30</v>
      </c>
    </row>
    <row r="83" spans="1:6" s="877" customFormat="1" ht="48">
      <c r="A83" s="881">
        <v>23</v>
      </c>
      <c r="B83" s="3379"/>
      <c r="C83" s="817" t="s">
        <v>660</v>
      </c>
      <c r="D83" s="817" t="s">
        <v>661</v>
      </c>
      <c r="E83" s="894">
        <v>0.2</v>
      </c>
      <c r="F83" s="881">
        <v>30</v>
      </c>
    </row>
    <row r="84" spans="1:6" s="877" customFormat="1" ht="36">
      <c r="A84" s="881">
        <v>24</v>
      </c>
      <c r="B84" s="3379"/>
      <c r="C84" s="817" t="s">
        <v>662</v>
      </c>
      <c r="D84" s="817" t="s">
        <v>663</v>
      </c>
      <c r="E84" s="894">
        <v>0.2</v>
      </c>
      <c r="F84" s="881">
        <v>30</v>
      </c>
    </row>
    <row r="85" spans="1:6" s="877" customFormat="1" ht="36">
      <c r="A85" s="881">
        <v>25</v>
      </c>
      <c r="B85" s="3379"/>
      <c r="C85" s="817" t="s">
        <v>664</v>
      </c>
      <c r="D85" s="817" t="s">
        <v>665</v>
      </c>
      <c r="E85" s="894">
        <v>0.5</v>
      </c>
      <c r="F85" s="881">
        <v>80</v>
      </c>
    </row>
    <row r="86" spans="1:6" s="877" customFormat="1" ht="36">
      <c r="A86" s="881">
        <v>26</v>
      </c>
      <c r="B86" s="3379"/>
      <c r="C86" s="817" t="s">
        <v>666</v>
      </c>
      <c r="D86" s="817" t="s">
        <v>667</v>
      </c>
      <c r="E86" s="894">
        <v>0.2</v>
      </c>
      <c r="F86" s="881">
        <v>30</v>
      </c>
    </row>
    <row r="87" spans="1:6" s="877" customFormat="1" ht="36">
      <c r="A87" s="881">
        <v>27</v>
      </c>
      <c r="B87" s="3379"/>
      <c r="C87" s="817" t="s">
        <v>668</v>
      </c>
      <c r="D87" s="817" t="s">
        <v>669</v>
      </c>
      <c r="E87" s="894">
        <v>0.2</v>
      </c>
      <c r="F87" s="881">
        <v>30</v>
      </c>
    </row>
    <row r="88" spans="1:6" s="877" customFormat="1" ht="36">
      <c r="A88" s="881">
        <v>28</v>
      </c>
      <c r="B88" s="3379"/>
      <c r="C88" s="817" t="s">
        <v>670</v>
      </c>
      <c r="D88" s="817" t="s">
        <v>671</v>
      </c>
      <c r="E88" s="894">
        <v>0.2</v>
      </c>
      <c r="F88" s="881">
        <v>30</v>
      </c>
    </row>
    <row r="89" spans="1:6" s="877" customFormat="1" ht="24">
      <c r="A89" s="881">
        <v>29</v>
      </c>
      <c r="B89" s="3379"/>
      <c r="C89" s="817" t="s">
        <v>672</v>
      </c>
      <c r="D89" s="817" t="s">
        <v>673</v>
      </c>
      <c r="E89" s="894">
        <v>0.2</v>
      </c>
      <c r="F89" s="881">
        <v>30</v>
      </c>
    </row>
    <row r="90" spans="1:6" s="877" customFormat="1" ht="24">
      <c r="A90" s="881">
        <v>30</v>
      </c>
      <c r="B90" s="3379"/>
      <c r="C90" s="817" t="s">
        <v>674</v>
      </c>
      <c r="D90" s="817" t="s">
        <v>675</v>
      </c>
      <c r="E90" s="894">
        <v>0.2</v>
      </c>
      <c r="F90" s="881">
        <v>30</v>
      </c>
    </row>
    <row r="91" spans="1:6" s="877" customFormat="1" ht="36">
      <c r="A91" s="881">
        <v>31</v>
      </c>
      <c r="B91" s="3379"/>
      <c r="C91" s="817" t="s">
        <v>676</v>
      </c>
      <c r="D91" s="817" t="s">
        <v>677</v>
      </c>
      <c r="E91" s="894">
        <v>0.2</v>
      </c>
      <c r="F91" s="881">
        <v>30</v>
      </c>
    </row>
    <row r="92" spans="1:6" s="877" customFormat="1" ht="24">
      <c r="A92" s="881">
        <v>32</v>
      </c>
      <c r="B92" s="3379" t="s">
        <v>678</v>
      </c>
      <c r="C92" s="881" t="s">
        <v>679</v>
      </c>
      <c r="D92" s="817" t="s">
        <v>680</v>
      </c>
      <c r="E92" s="894">
        <v>0.2</v>
      </c>
      <c r="F92" s="881">
        <v>30</v>
      </c>
    </row>
    <row r="93" spans="1:6" s="877" customFormat="1" ht="36">
      <c r="A93" s="881">
        <v>33</v>
      </c>
      <c r="B93" s="3379"/>
      <c r="C93" s="881" t="s">
        <v>681</v>
      </c>
      <c r="D93" s="817" t="s">
        <v>682</v>
      </c>
      <c r="E93" s="894">
        <v>0.2</v>
      </c>
      <c r="F93" s="881">
        <v>30</v>
      </c>
    </row>
    <row r="94" spans="1:6" s="877" customFormat="1" ht="48">
      <c r="A94" s="881">
        <v>34</v>
      </c>
      <c r="B94" s="3379"/>
      <c r="C94" s="881" t="s">
        <v>683</v>
      </c>
      <c r="D94" s="817" t="s">
        <v>684</v>
      </c>
      <c r="E94" s="894">
        <v>0.2</v>
      </c>
      <c r="F94" s="881">
        <v>30</v>
      </c>
    </row>
    <row r="95" spans="1:6" s="877" customFormat="1" ht="36">
      <c r="A95" s="881">
        <v>35</v>
      </c>
      <c r="B95" s="3379"/>
      <c r="C95" s="881" t="s">
        <v>685</v>
      </c>
      <c r="D95" s="817" t="s">
        <v>686</v>
      </c>
      <c r="E95" s="894">
        <v>0.2</v>
      </c>
      <c r="F95" s="881">
        <v>30</v>
      </c>
    </row>
    <row r="96" spans="1:6" s="877" customFormat="1" ht="48">
      <c r="A96" s="881">
        <v>36</v>
      </c>
      <c r="B96" s="3379"/>
      <c r="C96" s="817" t="s">
        <v>687</v>
      </c>
      <c r="D96" s="817" t="s">
        <v>688</v>
      </c>
      <c r="E96" s="894">
        <v>0.2</v>
      </c>
      <c r="F96" s="881">
        <v>30</v>
      </c>
    </row>
    <row r="97" spans="1:6" s="877" customFormat="1" ht="36">
      <c r="A97" s="881">
        <v>37</v>
      </c>
      <c r="B97" s="3379"/>
      <c r="C97" s="881" t="s">
        <v>689</v>
      </c>
      <c r="D97" s="817" t="s">
        <v>690</v>
      </c>
      <c r="E97" s="894">
        <v>0.2</v>
      </c>
      <c r="F97" s="881">
        <v>30</v>
      </c>
    </row>
    <row r="98" spans="1:6" s="877" customFormat="1" ht="36">
      <c r="A98" s="881">
        <v>38</v>
      </c>
      <c r="B98" s="3379"/>
      <c r="C98" s="881" t="s">
        <v>691</v>
      </c>
      <c r="D98" s="817" t="s">
        <v>692</v>
      </c>
      <c r="E98" s="894">
        <v>0.2</v>
      </c>
      <c r="F98" s="881">
        <v>30</v>
      </c>
    </row>
    <row r="99" spans="1:6" s="877" customFormat="1" ht="36">
      <c r="A99" s="881">
        <v>39</v>
      </c>
      <c r="B99" s="3379" t="s">
        <v>693</v>
      </c>
      <c r="C99" s="881" t="s">
        <v>694</v>
      </c>
      <c r="D99" s="817" t="s">
        <v>695</v>
      </c>
      <c r="E99" s="894">
        <v>0.3</v>
      </c>
      <c r="F99" s="881">
        <v>50</v>
      </c>
    </row>
    <row r="100" spans="1:6" s="877" customFormat="1" ht="24">
      <c r="A100" s="881">
        <v>40</v>
      </c>
      <c r="B100" s="3379"/>
      <c r="C100" s="881" t="s">
        <v>696</v>
      </c>
      <c r="D100" s="817" t="s">
        <v>697</v>
      </c>
      <c r="E100" s="894">
        <v>0.2</v>
      </c>
      <c r="F100" s="881">
        <v>30</v>
      </c>
    </row>
    <row r="101" spans="1:6" s="877" customFormat="1" ht="36">
      <c r="A101" s="881">
        <v>41</v>
      </c>
      <c r="B101" s="33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9" t="s">
        <v>708</v>
      </c>
      <c r="C105" s="881" t="s">
        <v>709</v>
      </c>
      <c r="D105" s="817" t="s">
        <v>710</v>
      </c>
      <c r="E105" s="894">
        <v>0.2</v>
      </c>
      <c r="F105" s="881">
        <v>30</v>
      </c>
    </row>
    <row r="106" spans="1:6" s="877" customFormat="1" ht="36">
      <c r="A106" s="881">
        <v>46</v>
      </c>
      <c r="B106" s="3379"/>
      <c r="C106" s="881" t="s">
        <v>711</v>
      </c>
      <c r="D106" s="817" t="s">
        <v>712</v>
      </c>
      <c r="E106" s="894">
        <v>0.2</v>
      </c>
      <c r="F106" s="881">
        <v>30</v>
      </c>
    </row>
    <row r="107" spans="1:6" s="877" customFormat="1" ht="36">
      <c r="A107" s="881">
        <v>47</v>
      </c>
      <c r="B107" s="3379" t="s">
        <v>713</v>
      </c>
      <c r="C107" s="881" t="s">
        <v>714</v>
      </c>
      <c r="D107" s="817" t="s">
        <v>715</v>
      </c>
      <c r="E107" s="894">
        <v>0.3</v>
      </c>
      <c r="F107" s="881">
        <v>50</v>
      </c>
    </row>
    <row r="108" spans="1:6" s="877" customFormat="1" ht="36">
      <c r="A108" s="881">
        <v>48</v>
      </c>
      <c r="B108" s="33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9" t="s">
        <v>724</v>
      </c>
      <c r="C111" s="881" t="s">
        <v>725</v>
      </c>
      <c r="D111" s="817" t="s">
        <v>726</v>
      </c>
      <c r="E111" s="894">
        <v>0.2</v>
      </c>
      <c r="F111" s="881">
        <v>30</v>
      </c>
    </row>
    <row r="112" spans="1:6" s="877" customFormat="1" ht="24">
      <c r="A112" s="881">
        <v>52</v>
      </c>
      <c r="B112" s="3379"/>
      <c r="C112" s="881" t="s">
        <v>727</v>
      </c>
      <c r="D112" s="817" t="s">
        <v>728</v>
      </c>
      <c r="E112" s="894">
        <v>0.2</v>
      </c>
      <c r="F112" s="881">
        <v>30</v>
      </c>
    </row>
    <row r="113" spans="1:6" s="877" customFormat="1" ht="24">
      <c r="A113" s="881">
        <v>53</v>
      </c>
      <c r="B113" s="33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9" t="s">
        <v>737</v>
      </c>
      <c r="C116" s="881" t="s">
        <v>738</v>
      </c>
      <c r="D116" s="817" t="s">
        <v>739</v>
      </c>
      <c r="E116" s="894">
        <v>0.2</v>
      </c>
      <c r="F116" s="881">
        <v>30</v>
      </c>
    </row>
    <row r="117" spans="1:6" ht="36">
      <c r="A117" s="881">
        <v>57</v>
      </c>
      <c r="B117" s="33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60"/>
      <c r="B4" s="3068" t="s">
        <v>1626</v>
      </c>
      <c r="C4" s="3068"/>
      <c r="D4" s="3068"/>
      <c r="E4" s="1960"/>
    </row>
    <row r="5" spans="1:5" ht="16.5" thickTop="1">
      <c r="A5" s="1958"/>
      <c r="B5" s="3066" t="s">
        <v>1618</v>
      </c>
      <c r="C5" s="1961" t="s">
        <v>1619</v>
      </c>
      <c r="D5" s="1039">
        <f ca="1">结果表!H101</f>
        <v>93490</v>
      </c>
      <c r="E5" s="1958"/>
    </row>
    <row r="6" spans="1:5" ht="15.75">
      <c r="A6" s="1958"/>
      <c r="B6" s="3066"/>
      <c r="C6" s="1961" t="s">
        <v>1620</v>
      </c>
      <c r="D6" s="1039" t="str">
        <f ca="1">NUMBERSTRING(INT(D5*10000),2)&amp;"元整"</f>
        <v>玖亿叁仟肆佰玖拾万元整</v>
      </c>
      <c r="E6" s="1958"/>
    </row>
    <row r="7" spans="1:5" ht="15.75">
      <c r="A7" s="1958"/>
      <c r="B7" s="3071"/>
      <c r="C7" s="1962" t="s">
        <v>1621</v>
      </c>
      <c r="D7" s="1040">
        <f ca="1">结果表!H102</f>
        <v>29983</v>
      </c>
      <c r="E7" s="1958"/>
    </row>
    <row r="8" spans="1:5" ht="15.75">
      <c r="A8" s="1958"/>
      <c r="B8" s="3072" t="str">
        <f>结果表!E103</f>
        <v>2.估价师知悉的法定优先受偿款</v>
      </c>
      <c r="C8" s="1963" t="s">
        <v>1622</v>
      </c>
      <c r="D8" s="1040">
        <f>结果表!H103</f>
        <v>0</v>
      </c>
      <c r="E8" s="1958"/>
    </row>
    <row r="9" spans="1:5" ht="15.75">
      <c r="A9" s="1958"/>
      <c r="B9" s="3074"/>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3065" t="str">
        <f>结果表!E107</f>
        <v>3.房地产抵押价值</v>
      </c>
      <c r="C13" s="1966" t="s">
        <v>1619</v>
      </c>
      <c r="D13" s="1042">
        <f ca="1">结果表!H107</f>
        <v>93490</v>
      </c>
      <c r="E13" s="1958"/>
    </row>
    <row r="14" spans="1:5" ht="15.75">
      <c r="A14" s="1958"/>
      <c r="B14" s="3066"/>
      <c r="C14" s="1961" t="s">
        <v>1620</v>
      </c>
      <c r="D14" s="1039" t="str">
        <f ca="1">NUMBERSTRING(INT(D13*10000),2)&amp;"元整"</f>
        <v>玖亿叁仟肆佰玖拾万元整</v>
      </c>
      <c r="E14" s="1958"/>
    </row>
    <row r="15" spans="1:5" ht="15">
      <c r="A15" s="1958"/>
      <c r="B15" s="3071"/>
      <c r="C15" s="1962" t="s">
        <v>1630</v>
      </c>
      <c r="D15" s="1051">
        <f ca="1">结果表!H108</f>
        <v>26911</v>
      </c>
      <c r="E15" s="1958"/>
    </row>
    <row r="16" spans="1:5" ht="15">
      <c r="A16" s="1958"/>
      <c r="B16" s="3072" t="str">
        <f>结果表!E109</f>
        <v>——</v>
      </c>
      <c r="C16" s="1966" t="s">
        <v>1631</v>
      </c>
      <c r="D16" s="1967" t="str">
        <f>结果表!H109</f>
        <v>——</v>
      </c>
      <c r="E16" s="1958"/>
    </row>
    <row r="17" spans="1:5" ht="15.75">
      <c r="A17" s="1958"/>
      <c r="B17" s="3073"/>
      <c r="C17" s="1961" t="s">
        <v>1632</v>
      </c>
      <c r="D17" s="1039" t="e">
        <f>NUMBERSTRING(INT(D16*10000),2)&amp;"元整"</f>
        <v>#VALUE!</v>
      </c>
      <c r="E17" s="1958"/>
    </row>
    <row r="18" spans="1:5" ht="15">
      <c r="A18" s="1958"/>
      <c r="B18" s="3074"/>
      <c r="C18" s="1962" t="s">
        <v>1621</v>
      </c>
      <c r="D18" s="1051" t="str">
        <f>结果表!H110</f>
        <v>——</v>
      </c>
      <c r="E18" s="1958"/>
    </row>
    <row r="19" spans="1:5" ht="15.75">
      <c r="A19" s="1958"/>
      <c r="B19" s="3065" t="str">
        <f>结果表!E111</f>
        <v>4.抵押净值</v>
      </c>
      <c r="C19" s="1966" t="s">
        <v>1619</v>
      </c>
      <c r="D19" s="1040">
        <f ca="1">结果表!H111</f>
        <v>40527</v>
      </c>
      <c r="E19" s="1958"/>
    </row>
    <row r="20" spans="1:5" ht="15.75">
      <c r="A20" s="1958"/>
      <c r="B20" s="3066"/>
      <c r="C20" s="1961" t="s">
        <v>1632</v>
      </c>
      <c r="D20" s="1039" t="str">
        <f ca="1">NUMBERSTRING(INT(D19*10000),2)&amp;"元整"</f>
        <v>肆亿零伍佰贰拾柒万元整</v>
      </c>
      <c r="E20" s="1958"/>
    </row>
    <row r="21" spans="1:5" ht="15.75" thickBot="1">
      <c r="A21" s="1958"/>
      <c r="B21" s="3067"/>
      <c r="C21" s="1968" t="s">
        <v>1630</v>
      </c>
      <c r="D21" s="1052">
        <f ca="1">结果表!H112</f>
        <v>11666</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85" t="s">
        <v>1146</v>
      </c>
      <c r="C1" s="3385"/>
      <c r="D1" s="3385"/>
      <c r="E1" s="3385"/>
      <c r="F1" s="3385"/>
      <c r="G1" s="3381" t="s">
        <v>1147</v>
      </c>
      <c r="H1" s="3381"/>
      <c r="I1" s="3381"/>
      <c r="J1" s="3381"/>
      <c r="K1" s="3381"/>
      <c r="L1" s="3381"/>
      <c r="N1" s="3381" t="s">
        <v>1148</v>
      </c>
      <c r="O1" s="3381"/>
      <c r="P1" s="3381"/>
      <c r="Q1" s="3381"/>
      <c r="R1" s="1445"/>
      <c r="S1" s="3381" t="s">
        <v>1149</v>
      </c>
      <c r="T1" s="3381"/>
      <c r="U1" s="3381"/>
      <c r="V1" s="3381"/>
      <c r="X1" s="3380" t="s">
        <v>1150</v>
      </c>
      <c r="Y1" s="3381"/>
      <c r="Z1" s="3381"/>
      <c r="AA1" s="3381"/>
      <c r="AB1" s="3381"/>
      <c r="AD1" s="3380" t="s">
        <v>1151</v>
      </c>
      <c r="AE1" s="3381"/>
      <c r="AF1" s="3381"/>
      <c r="AG1" s="3381"/>
      <c r="AH1" s="338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3034</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3035</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3049</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3047</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83">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3041</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83"/>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3040</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83"/>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3033</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90"/>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3030</v>
      </c>
      <c r="B11" s="1468">
        <v>439</v>
      </c>
      <c r="C11" s="1468">
        <v>327</v>
      </c>
      <c r="D11" s="1468">
        <f>C11</f>
        <v>327</v>
      </c>
      <c r="E11" s="1468">
        <v>627</v>
      </c>
      <c r="F11" s="1469">
        <v>283</v>
      </c>
      <c r="G11" s="3386">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3031</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83"/>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83"/>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90"/>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86">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83"/>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83"/>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84"/>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82">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83"/>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83"/>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84"/>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82">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83"/>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83"/>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84"/>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87">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88"/>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88"/>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89"/>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82">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83"/>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83"/>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84"/>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82">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83">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83">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84">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82">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83">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83">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84">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82">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83">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83">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84">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82">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83">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83">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84">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82">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83">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83">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84">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82">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83">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83">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84">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82">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83">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83">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84">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82">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83">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83">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84">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82">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83">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83">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84">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82">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83">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83">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84">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42541</v>
      </c>
      <c r="C2" s="2" t="s">
        <v>133</v>
      </c>
      <c r="D2" s="242"/>
      <c r="E2" s="242"/>
      <c r="F2" s="242"/>
      <c r="G2" s="242"/>
    </row>
    <row r="3" spans="1:7" s="243" customFormat="1" ht="18" customHeight="1" thickBot="1">
      <c r="A3" s="246" t="s">
        <v>85</v>
      </c>
      <c r="B3" s="247">
        <f ca="1">ROUND(B2*10000/'数据-汇总表'!E3,0)</f>
        <v>12245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695</v>
      </c>
      <c r="D10" s="1031">
        <f>'数据-汇总表'!E6</f>
        <v>34740.85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695</v>
      </c>
      <c r="D19" s="1035">
        <f>'数据-汇总表'!E3</f>
        <v>34740.85</v>
      </c>
      <c r="E19" s="254">
        <f>'数据-取费表'!B31</f>
        <v>200</v>
      </c>
      <c r="F19" s="274"/>
      <c r="G19" s="1" t="s">
        <v>1071</v>
      </c>
    </row>
    <row r="20" spans="1:7" s="257" customFormat="1" ht="13.5" customHeight="1">
      <c r="A20" s="947" t="s">
        <v>1054</v>
      </c>
      <c r="B20" s="253" t="s">
        <v>104</v>
      </c>
      <c r="C20" s="275">
        <f>ROUND((C5+C19)*F20,0)</f>
        <v>639</v>
      </c>
      <c r="D20" s="275"/>
      <c r="E20" s="275"/>
      <c r="F20" s="276">
        <f>'数据-取费表'!B37</f>
        <v>0.03</v>
      </c>
      <c r="G20" s="1288"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2102</v>
      </c>
      <c r="D22" s="278">
        <f ca="1">C26</f>
        <v>1.4E-3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68</v>
      </c>
      <c r="D24" s="281"/>
      <c r="E24" s="281"/>
      <c r="F24" s="282"/>
      <c r="G24" s="283" t="s">
        <v>109</v>
      </c>
    </row>
    <row r="25" spans="1:7" s="257" customFormat="1" ht="24">
      <c r="A25" s="950" t="s">
        <v>793</v>
      </c>
      <c r="B25" s="258" t="s">
        <v>1055</v>
      </c>
      <c r="C25" s="1354">
        <f ca="1">ROUND(IF('数据-取费表'!B22&lt;=1,C20*F22*'数据-取费表'!B23/2,C20*(POWER((1+F22),'数据-取费表'!B23/2)-1)),0)</f>
        <v>30</v>
      </c>
      <c r="D25" s="281"/>
      <c r="E25" s="284"/>
      <c r="F25" s="282"/>
      <c r="G25" s="285" t="s">
        <v>110</v>
      </c>
    </row>
    <row r="26" spans="1:7" s="257" customFormat="1">
      <c r="A26" s="950" t="s">
        <v>795</v>
      </c>
      <c r="B26" s="258" t="s">
        <v>1057</v>
      </c>
      <c r="C26" s="281">
        <f ca="1">ROUND(IF('数据-取费表'!B22&lt;=1,F21*F22*'数据-取费表'!B23/2,F21*(POWER((1+F22),'数据-取费表'!B23/2)-1)),4)</f>
        <v>1.4E-3</v>
      </c>
      <c r="D26" s="281"/>
      <c r="E26" s="284"/>
      <c r="F26" s="282"/>
      <c r="G26" s="286"/>
    </row>
    <row r="27" spans="1:7" s="257" customFormat="1" ht="24.75">
      <c r="A27" s="947" t="s">
        <v>787</v>
      </c>
      <c r="B27" s="287" t="s">
        <v>112</v>
      </c>
      <c r="C27" s="288">
        <f>C28</f>
        <v>3072</v>
      </c>
      <c r="D27" s="278">
        <f>C29</f>
        <v>4.1999999999999997E-3</v>
      </c>
      <c r="E27" s="279" t="s">
        <v>126</v>
      </c>
      <c r="F27" s="289">
        <f>'数据-取费表'!Q16</f>
        <v>0.14000000000000001</v>
      </c>
      <c r="G27" s="290" t="s">
        <v>1066</v>
      </c>
    </row>
    <row r="28" spans="1:7" s="257" customFormat="1" ht="13.5" customHeight="1">
      <c r="A28" s="950" t="s">
        <v>794</v>
      </c>
      <c r="B28" s="291" t="s">
        <v>1059</v>
      </c>
      <c r="C28" s="292">
        <f>ROUND((C5+C19+C20)*F27*'数据-取费表'!B21/'数据-取费表'!B20,0)</f>
        <v>3072</v>
      </c>
      <c r="D28" s="278"/>
      <c r="E28" s="279"/>
      <c r="F28" s="289"/>
      <c r="G28" s="290"/>
    </row>
    <row r="29" spans="1:7" s="257" customFormat="1" ht="13.5" customHeight="1">
      <c r="A29" s="950" t="s">
        <v>792</v>
      </c>
      <c r="B29" s="291" t="s">
        <v>1060</v>
      </c>
      <c r="C29" s="281">
        <f>ROUND(C21*F27*'数据-取费表'!B21/'数据-取费表'!B20,4)</f>
        <v>4.1999999999999997E-3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29765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11605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10244</v>
      </c>
      <c r="D34" s="260"/>
      <c r="E34" s="263"/>
      <c r="F34" s="300">
        <f>IF('数据-取费表'!B24=0,1,'数据-取费表'!N16)</f>
        <v>1</v>
      </c>
      <c r="G34" s="262" t="s">
        <v>116</v>
      </c>
    </row>
    <row r="35" spans="1:7" ht="13.5" customHeight="1">
      <c r="A35" s="950" t="s">
        <v>796</v>
      </c>
      <c r="B35" s="258" t="s">
        <v>60</v>
      </c>
      <c r="C35" s="263">
        <f>ROUND(C34*F35,0)</f>
        <v>512</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695</v>
      </c>
      <c r="D37" s="260">
        <f>'数据-汇总表'!E3</f>
        <v>34740.85</v>
      </c>
      <c r="E37" s="292">
        <f>'数据-取费表'!B35</f>
        <v>200</v>
      </c>
      <c r="F37" s="302"/>
      <c r="G37" s="304" t="s">
        <v>119</v>
      </c>
    </row>
    <row r="38" spans="1:7" ht="13.5" customHeight="1">
      <c r="A38" s="950" t="s">
        <v>799</v>
      </c>
      <c r="B38" s="258" t="s">
        <v>63</v>
      </c>
      <c r="C38" s="263">
        <f>ROUND(C34*F38,0)</f>
        <v>154</v>
      </c>
      <c r="D38" s="263"/>
      <c r="E38" s="263"/>
      <c r="F38" s="302">
        <f>'数据-取费表'!B36</f>
        <v>1.4999999999999999E-2</v>
      </c>
      <c r="G38" s="262" t="s">
        <v>117</v>
      </c>
    </row>
    <row r="39" spans="1:7" s="257" customFormat="1" ht="13.5" customHeight="1">
      <c r="A39" s="947" t="s">
        <v>783</v>
      </c>
      <c r="B39" s="253" t="s">
        <v>104</v>
      </c>
      <c r="C39" s="275">
        <f>ROUND(C33*F20,0)</f>
        <v>348</v>
      </c>
      <c r="D39" s="275"/>
      <c r="E39" s="275"/>
      <c r="F39" s="276"/>
      <c r="G39" s="1288"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568</v>
      </c>
      <c r="D41" s="278">
        <f ca="1">C44</f>
        <v>1.4E-3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551</v>
      </c>
      <c r="D42" s="281"/>
      <c r="E42" s="281"/>
      <c r="F42" s="282"/>
      <c r="G42" s="3250" t="s">
        <v>121</v>
      </c>
    </row>
    <row r="43" spans="1:7" ht="13.5" customHeight="1">
      <c r="A43" s="950" t="s">
        <v>792</v>
      </c>
      <c r="B43" s="258" t="s">
        <v>1061</v>
      </c>
      <c r="C43" s="281">
        <f ca="1">ROUND(IF('数据-取费表'!B22&lt;=1,C39*F22*'数据-取费表'!B21/2,C39*(POWER((1+F22),'数据-取费表'!B21/2)-1)),0)</f>
        <v>17</v>
      </c>
      <c r="D43" s="281"/>
      <c r="E43" s="281"/>
      <c r="F43" s="282"/>
      <c r="G43" s="3251"/>
    </row>
    <row r="44" spans="1:7" ht="13.5" customHeight="1">
      <c r="A44" s="950" t="s">
        <v>793</v>
      </c>
      <c r="B44" s="258" t="s">
        <v>1063</v>
      </c>
      <c r="C44" s="281">
        <f ca="1">ROUND(IF('数据-取费表'!B22&lt;=1,C40*F22*'数据-取费表'!B21/2,C40*(POWER((1+F22),'数据-取费表'!B21/2)-1)),4)</f>
        <v>1.4E-3</v>
      </c>
      <c r="D44" s="281"/>
      <c r="E44" s="281"/>
      <c r="F44" s="282"/>
      <c r="G44" s="3252"/>
    </row>
    <row r="45" spans="1:7" s="257" customFormat="1" ht="13.5" customHeight="1">
      <c r="A45" s="947" t="s">
        <v>786</v>
      </c>
      <c r="B45" s="287" t="s">
        <v>112</v>
      </c>
      <c r="C45" s="288">
        <f>C46</f>
        <v>1673</v>
      </c>
      <c r="D45" s="278">
        <f>C47</f>
        <v>4.1999999999999997E-3</v>
      </c>
      <c r="E45" s="279" t="s">
        <v>129</v>
      </c>
      <c r="F45" s="289"/>
      <c r="G45" s="290" t="s">
        <v>1069</v>
      </c>
    </row>
    <row r="46" spans="1:7" s="257" customFormat="1" ht="13.5" customHeight="1">
      <c r="A46" s="950" t="s">
        <v>794</v>
      </c>
      <c r="B46" s="291" t="s">
        <v>1062</v>
      </c>
      <c r="C46" s="292">
        <f>ROUND((C33+C39)*F27,0)</f>
        <v>1673</v>
      </c>
      <c r="D46" s="306"/>
      <c r="E46" s="279"/>
      <c r="F46" s="289"/>
      <c r="G46" s="290"/>
    </row>
    <row r="47" spans="1:7" s="257" customFormat="1" ht="13.5" customHeight="1">
      <c r="A47" s="950" t="s">
        <v>792</v>
      </c>
      <c r="B47" s="291" t="s">
        <v>1064</v>
      </c>
      <c r="C47" s="281">
        <f>ROUND(C40*F27,4)</f>
        <v>4.1999999999999997E-3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15580</v>
      </c>
      <c r="D49" s="275"/>
      <c r="E49" s="275"/>
      <c r="F49" s="307"/>
      <c r="G49" s="277" t="s">
        <v>1070</v>
      </c>
    </row>
    <row r="50" spans="1:7" s="301" customFormat="1" ht="24">
      <c r="A50" s="947" t="s">
        <v>789</v>
      </c>
      <c r="B50" s="253" t="s">
        <v>124</v>
      </c>
      <c r="C50" s="275"/>
      <c r="D50" s="275"/>
      <c r="E50" s="275"/>
      <c r="F50" s="307">
        <f>IF('数据-取费表'!B24=0,'数据-取费表'!N16,1)</f>
        <v>0.82</v>
      </c>
      <c r="G50" s="290" t="s">
        <v>125</v>
      </c>
    </row>
    <row r="51" spans="1:7" ht="16.5" customHeight="1">
      <c r="A51" s="947" t="s">
        <v>790</v>
      </c>
      <c r="B51" s="253" t="s">
        <v>132</v>
      </c>
      <c r="C51" s="275">
        <f ca="1">ROUND(C49*F50,0)</f>
        <v>12776</v>
      </c>
      <c r="D51" s="275"/>
      <c r="E51" s="275"/>
      <c r="F51" s="307"/>
      <c r="G51" s="277" t="s">
        <v>64</v>
      </c>
    </row>
    <row r="52" spans="1:7" s="251" customFormat="1" ht="16.5" thickBot="1">
      <c r="A52" s="308" t="s">
        <v>65</v>
      </c>
      <c r="B52" s="309"/>
      <c r="C52" s="310">
        <f ca="1">C31+C51</f>
        <v>42541</v>
      </c>
      <c r="D52" s="309"/>
      <c r="E52" s="309"/>
      <c r="F52" s="309"/>
      <c r="G52" s="311"/>
    </row>
    <row r="55" spans="1:7" ht="15">
      <c r="B55" s="313" t="s">
        <v>66</v>
      </c>
      <c r="C55" s="314"/>
    </row>
    <row r="56" spans="1:7">
      <c r="B56" s="316" t="s">
        <v>67</v>
      </c>
      <c r="C56" s="317">
        <f ca="1">ROUND(C51/C52,3)</f>
        <v>0.3</v>
      </c>
    </row>
    <row r="57" spans="1:7">
      <c r="B57" s="316" t="s">
        <v>68</v>
      </c>
      <c r="C57" s="318">
        <f ca="1">1-C56</f>
        <v>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91" t="s">
        <v>156</v>
      </c>
      <c r="B1" s="3391"/>
      <c r="C1" s="3391"/>
      <c r="D1" s="3391"/>
      <c r="E1" s="3391"/>
      <c r="F1" s="339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2" t="s">
        <v>169</v>
      </c>
      <c r="B2" s="3392"/>
      <c r="C2" s="3392"/>
      <c r="D2" s="3392"/>
      <c r="E2" s="3392"/>
      <c r="F2" s="339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1" t="s">
        <v>868</v>
      </c>
      <c r="B1" s="339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65" sqref="R6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306" t="s">
        <v>3003</v>
      </c>
      <c r="D1" s="3307"/>
      <c r="E1" s="3307"/>
      <c r="F1" s="3307"/>
      <c r="G1" s="3307"/>
      <c r="H1" s="3307"/>
      <c r="I1" s="3307"/>
      <c r="J1" s="3307"/>
      <c r="K1" s="3307"/>
      <c r="L1" s="3307"/>
      <c r="M1" s="3307"/>
      <c r="N1" s="3307"/>
      <c r="O1" s="3307"/>
      <c r="P1" s="3307"/>
      <c r="Q1" s="3307"/>
      <c r="R1" s="3307"/>
      <c r="S1" s="3308"/>
      <c r="T1" s="1203" t="s">
        <v>3004</v>
      </c>
    </row>
    <row r="2" spans="1:45" s="706" customFormat="1" ht="25.5">
      <c r="A2" s="1204"/>
      <c r="B2" s="702" t="s">
        <v>3005</v>
      </c>
      <c r="C2" s="703" t="str">
        <f t="shared" ref="C2:R2" si="0">C3&amp;"(含)"&amp;"-"&amp;D3</f>
        <v>0(含)-20</v>
      </c>
      <c r="D2" s="704" t="str">
        <f t="shared" si="0"/>
        <v>20(含)-30</v>
      </c>
      <c r="E2" s="704" t="str">
        <f t="shared" si="0"/>
        <v>30(含)-40</v>
      </c>
      <c r="F2" s="704" t="str">
        <f t="shared" si="0"/>
        <v>40(含)-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20</v>
      </c>
      <c r="E3" s="709">
        <v>30</v>
      </c>
      <c r="F3" s="1703">
        <v>40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101</v>
      </c>
      <c r="E4" s="1210">
        <v>102</v>
      </c>
      <c r="F4" s="1707">
        <v>103</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1">D6-$T5</f>
        <v>100</v>
      </c>
      <c r="F6" s="1714">
        <f t="shared" si="1"/>
        <v>100</v>
      </c>
      <c r="G6" s="1714">
        <f t="shared" si="1"/>
        <v>100</v>
      </c>
      <c r="H6" s="1714">
        <f t="shared" si="1"/>
        <v>100</v>
      </c>
      <c r="I6" s="1714">
        <f t="shared" si="1"/>
        <v>100</v>
      </c>
      <c r="J6" s="1714">
        <f t="shared" si="1"/>
        <v>100</v>
      </c>
      <c r="K6" s="1714">
        <f t="shared" si="1"/>
        <v>100</v>
      </c>
      <c r="L6" s="1714">
        <f t="shared" si="1"/>
        <v>100</v>
      </c>
      <c r="M6" s="1714">
        <f t="shared" si="1"/>
        <v>100</v>
      </c>
      <c r="N6" s="1714">
        <f t="shared" si="1"/>
        <v>100</v>
      </c>
      <c r="O6" s="1714">
        <f t="shared" si="1"/>
        <v>100</v>
      </c>
      <c r="P6" s="1714">
        <f t="shared" si="1"/>
        <v>100</v>
      </c>
      <c r="Q6" s="1714">
        <f t="shared" si="1"/>
        <v>100</v>
      </c>
      <c r="R6" s="1714">
        <f t="shared" si="1"/>
        <v>100</v>
      </c>
      <c r="S6" s="1714">
        <f t="shared" si="1"/>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2">D8-$T7</f>
        <v>100</v>
      </c>
      <c r="F8" s="1714">
        <f t="shared" si="2"/>
        <v>100</v>
      </c>
      <c r="G8" s="1714">
        <f t="shared" si="2"/>
        <v>100</v>
      </c>
      <c r="H8" s="1714">
        <f t="shared" si="2"/>
        <v>100</v>
      </c>
      <c r="I8" s="1714">
        <f t="shared" si="2"/>
        <v>100</v>
      </c>
      <c r="J8" s="1714">
        <f t="shared" si="2"/>
        <v>100</v>
      </c>
      <c r="K8" s="1714">
        <f t="shared" si="2"/>
        <v>100</v>
      </c>
      <c r="L8" s="1714">
        <f t="shared" si="2"/>
        <v>100</v>
      </c>
      <c r="M8" s="1714">
        <f t="shared" si="2"/>
        <v>100</v>
      </c>
      <c r="N8" s="1714">
        <f t="shared" si="2"/>
        <v>100</v>
      </c>
      <c r="O8" s="1714">
        <f t="shared" si="2"/>
        <v>100</v>
      </c>
      <c r="P8" s="1714">
        <f t="shared" si="2"/>
        <v>100</v>
      </c>
      <c r="Q8" s="1714">
        <f t="shared" si="2"/>
        <v>100</v>
      </c>
      <c r="R8" s="1714">
        <f t="shared" si="2"/>
        <v>100</v>
      </c>
      <c r="S8" s="1714">
        <f t="shared" si="2"/>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3">D10-$T9</f>
        <v>100</v>
      </c>
      <c r="F10" s="1724">
        <f t="shared" si="3"/>
        <v>100</v>
      </c>
      <c r="G10" s="1724">
        <f t="shared" si="3"/>
        <v>100</v>
      </c>
      <c r="H10" s="1724">
        <f t="shared" si="3"/>
        <v>100</v>
      </c>
      <c r="I10" s="1724">
        <f t="shared" si="3"/>
        <v>100</v>
      </c>
      <c r="J10" s="1724">
        <f t="shared" si="3"/>
        <v>100</v>
      </c>
      <c r="K10" s="1724">
        <f t="shared" si="3"/>
        <v>100</v>
      </c>
      <c r="L10" s="1724">
        <f t="shared" si="3"/>
        <v>100</v>
      </c>
      <c r="M10" s="1724">
        <f t="shared" si="3"/>
        <v>100</v>
      </c>
      <c r="N10" s="1724">
        <f t="shared" si="3"/>
        <v>100</v>
      </c>
      <c r="O10" s="1724">
        <f t="shared" si="3"/>
        <v>100</v>
      </c>
      <c r="P10" s="1724">
        <f t="shared" si="3"/>
        <v>100</v>
      </c>
      <c r="Q10" s="1724">
        <f t="shared" si="3"/>
        <v>100</v>
      </c>
      <c r="R10" s="1724">
        <f t="shared" si="3"/>
        <v>100</v>
      </c>
      <c r="S10" s="1724">
        <f t="shared" si="3"/>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4">D12-$T11</f>
        <v>100</v>
      </c>
      <c r="F12" s="1118">
        <f t="shared" si="4"/>
        <v>100</v>
      </c>
      <c r="G12" s="1118">
        <f t="shared" si="4"/>
        <v>100</v>
      </c>
      <c r="H12" s="1118">
        <f t="shared" si="4"/>
        <v>100</v>
      </c>
      <c r="I12" s="1118">
        <f t="shared" si="4"/>
        <v>100</v>
      </c>
      <c r="J12" s="1118">
        <f t="shared" si="4"/>
        <v>100</v>
      </c>
      <c r="K12" s="1118">
        <f t="shared" si="4"/>
        <v>100</v>
      </c>
      <c r="L12" s="1118">
        <f t="shared" si="4"/>
        <v>100</v>
      </c>
      <c r="M12" s="1118">
        <f t="shared" si="4"/>
        <v>100</v>
      </c>
      <c r="N12" s="1118">
        <f t="shared" si="4"/>
        <v>100</v>
      </c>
      <c r="O12" s="1118">
        <f t="shared" si="4"/>
        <v>100</v>
      </c>
      <c r="P12" s="1118">
        <f t="shared" si="4"/>
        <v>100</v>
      </c>
      <c r="Q12" s="1118">
        <f t="shared" si="4"/>
        <v>100</v>
      </c>
      <c r="R12" s="1118">
        <f>Q12-$T11</f>
        <v>100</v>
      </c>
      <c r="S12" s="1118">
        <f t="shared" si="4"/>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3012</v>
      </c>
      <c r="B17" s="2909"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3014</v>
      </c>
      <c r="E19" s="1791"/>
      <c r="F19" s="1791"/>
      <c r="G19" s="1791"/>
      <c r="H19" s="1279"/>
      <c r="I19" s="167"/>
      <c r="J19" s="167"/>
      <c r="K19" s="167"/>
      <c r="L19" s="167"/>
      <c r="M19" s="167"/>
      <c r="N19" s="167"/>
      <c r="O19" s="167"/>
      <c r="P19" s="167"/>
      <c r="Q19" s="167"/>
      <c r="R19" s="787"/>
      <c r="S19" s="137"/>
    </row>
    <row r="20" spans="1:45" ht="16.5" thickBot="1">
      <c r="A20" s="714" t="s">
        <v>3015</v>
      </c>
      <c r="B20" s="337">
        <f>IF(D20="——",S22,S22-F20)</f>
        <v>3327</v>
      </c>
      <c r="C20" s="167"/>
      <c r="D20" s="2911" t="s">
        <v>70</v>
      </c>
      <c r="E20" s="1792"/>
      <c r="F20" s="1203" t="e">
        <f ca="1">SUMIF(INDIRECT("'"&amp;H20&amp;"'"&amp;"!A:A"),"承租人权益价值",INDIRECT("'"&amp;H20&amp;"'"&amp;"!c:c"))</f>
        <v>#REF!</v>
      </c>
      <c r="G20" s="1203" t="s">
        <v>3016</v>
      </c>
      <c r="H20" s="2912"/>
      <c r="I20" s="167"/>
      <c r="J20" s="167"/>
      <c r="K20" s="167"/>
      <c r="L20" s="167"/>
      <c r="M20" s="167"/>
      <c r="N20" s="167"/>
      <c r="O20" s="167"/>
      <c r="P20" s="167"/>
      <c r="Q20" s="167"/>
      <c r="R20" s="787"/>
      <c r="S20" s="137"/>
    </row>
    <row r="21" spans="1:45" ht="15.75">
      <c r="A21" s="714" t="s">
        <v>3017</v>
      </c>
      <c r="B21" s="337">
        <f>R22</f>
        <v>9347</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3559.5800000000086</v>
      </c>
      <c r="C22" s="3165" t="s">
        <v>33</v>
      </c>
      <c r="D22" s="3166"/>
      <c r="E22" s="3166"/>
      <c r="F22" s="3166"/>
      <c r="G22" s="3166"/>
      <c r="H22" s="3166"/>
      <c r="I22" s="3166"/>
      <c r="J22" s="3166"/>
      <c r="K22" s="3166"/>
      <c r="L22" s="3166"/>
      <c r="M22" s="3166"/>
      <c r="N22" s="3166"/>
      <c r="O22" s="3166"/>
      <c r="P22" s="3166"/>
      <c r="Q22" s="3305"/>
      <c r="R22" s="715">
        <f>ROUND(S22*10000/B22,0)</f>
        <v>9347</v>
      </c>
      <c r="S22" s="24">
        <f>SUM(S24:S10000)</f>
        <v>3327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车库清单!C3</f>
        <v>35.26</v>
      </c>
      <c r="C24" s="718">
        <v>1</v>
      </c>
      <c r="D24" s="719"/>
      <c r="E24" s="718">
        <v>1</v>
      </c>
      <c r="F24" s="719"/>
      <c r="G24" s="718">
        <v>1</v>
      </c>
      <c r="H24" s="719"/>
      <c r="I24" s="718">
        <v>1</v>
      </c>
      <c r="J24" s="719"/>
      <c r="K24" s="718">
        <v>1</v>
      </c>
      <c r="L24" s="719"/>
      <c r="M24" s="718">
        <v>1</v>
      </c>
      <c r="N24" s="719"/>
      <c r="O24" s="718">
        <v>1</v>
      </c>
      <c r="P24" s="719"/>
      <c r="Q24" s="718">
        <v>1</v>
      </c>
      <c r="R24" s="3055">
        <f>ROUND('比较法-车位'!C38/'比较法-车位'!C31,0)</f>
        <v>9310</v>
      </c>
      <c r="S24" s="718">
        <f t="shared" ref="S24:S87" si="5">ROUND(R24*B24/10000,0)</f>
        <v>33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车库清单!C4</f>
        <v>35.26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9310</v>
      </c>
      <c r="S25" s="360">
        <f t="shared" si="5"/>
        <v>33</v>
      </c>
    </row>
    <row r="26" spans="1:45">
      <c r="A26" s="158"/>
      <c r="B26" s="717">
        <f>车库清单!C5</f>
        <v>35.26</v>
      </c>
      <c r="C26" s="24">
        <f t="shared" ref="C26:C89" si="6">IF(B26="",1,(LOOKUP(B26,$3:$3,$4:$4)-LOOKUP($B$24,$3:$3,$4:$4)+100)/100)</f>
        <v>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c r="Q26" s="24">
        <f t="shared" ref="Q26:Q89" si="13">(SUMIF($17:$17,P26,$18:$18)-SUMIF($17:$17,$P$24,$18:$18)+100)/100</f>
        <v>1</v>
      </c>
      <c r="R26" s="715">
        <f t="shared" ref="R26:R89" si="14">IF(B26="",0,ROUND($R$24*C26*E26*G26*I26*K26*M26*O26*Q26,0))</f>
        <v>9310</v>
      </c>
      <c r="S26" s="360">
        <f t="shared" si="5"/>
        <v>33</v>
      </c>
    </row>
    <row r="27" spans="1:45">
      <c r="A27" s="158"/>
      <c r="B27" s="717">
        <f>车库清单!C6</f>
        <v>35.26</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c r="Q27" s="24">
        <f t="shared" si="13"/>
        <v>1</v>
      </c>
      <c r="R27" s="715">
        <f t="shared" si="14"/>
        <v>9310</v>
      </c>
      <c r="S27" s="360">
        <f t="shared" si="5"/>
        <v>33</v>
      </c>
    </row>
    <row r="28" spans="1:45">
      <c r="A28" s="158"/>
      <c r="B28" s="717">
        <f>车库清单!C7</f>
        <v>35.26</v>
      </c>
      <c r="C28" s="24">
        <f t="shared" si="6"/>
        <v>1</v>
      </c>
      <c r="D28" s="719"/>
      <c r="E28" s="24">
        <f t="shared" si="7"/>
        <v>1</v>
      </c>
      <c r="F28" s="719"/>
      <c r="G28" s="24">
        <f t="shared" si="8"/>
        <v>1</v>
      </c>
      <c r="H28" s="719"/>
      <c r="I28" s="24">
        <f t="shared" si="9"/>
        <v>1</v>
      </c>
      <c r="J28" s="719"/>
      <c r="K28" s="24">
        <f t="shared" si="10"/>
        <v>1</v>
      </c>
      <c r="L28" s="719"/>
      <c r="M28" s="24">
        <f t="shared" si="11"/>
        <v>1</v>
      </c>
      <c r="N28" s="719"/>
      <c r="O28" s="24">
        <f t="shared" si="12"/>
        <v>1</v>
      </c>
      <c r="P28" s="719"/>
      <c r="Q28" s="24">
        <f t="shared" si="13"/>
        <v>1</v>
      </c>
      <c r="R28" s="715">
        <f t="shared" si="14"/>
        <v>9310</v>
      </c>
      <c r="S28" s="360">
        <f t="shared" si="5"/>
        <v>33</v>
      </c>
    </row>
    <row r="29" spans="1:45">
      <c r="A29" s="158"/>
      <c r="B29" s="717">
        <f>车库清单!C8</f>
        <v>35.26</v>
      </c>
      <c r="C29" s="24">
        <f t="shared" si="6"/>
        <v>1</v>
      </c>
      <c r="D29" s="719"/>
      <c r="E29" s="24">
        <f t="shared" si="7"/>
        <v>1</v>
      </c>
      <c r="F29" s="719"/>
      <c r="G29" s="24">
        <f t="shared" si="8"/>
        <v>1</v>
      </c>
      <c r="H29" s="719"/>
      <c r="I29" s="24">
        <f t="shared" si="9"/>
        <v>1</v>
      </c>
      <c r="J29" s="719"/>
      <c r="K29" s="24">
        <f t="shared" si="10"/>
        <v>1</v>
      </c>
      <c r="L29" s="719"/>
      <c r="M29" s="24">
        <f t="shared" si="11"/>
        <v>1</v>
      </c>
      <c r="N29" s="719"/>
      <c r="O29" s="24">
        <f t="shared" si="12"/>
        <v>1</v>
      </c>
      <c r="P29" s="719"/>
      <c r="Q29" s="24">
        <f t="shared" si="13"/>
        <v>1</v>
      </c>
      <c r="R29" s="715">
        <f t="shared" si="14"/>
        <v>9310</v>
      </c>
      <c r="S29" s="360">
        <f t="shared" si="5"/>
        <v>33</v>
      </c>
    </row>
    <row r="30" spans="1:45">
      <c r="A30" s="158"/>
      <c r="B30" s="717">
        <f>车库清单!C9</f>
        <v>35.96</v>
      </c>
      <c r="C30" s="24">
        <f t="shared" si="6"/>
        <v>1</v>
      </c>
      <c r="D30" s="719"/>
      <c r="E30" s="24">
        <f t="shared" si="7"/>
        <v>1</v>
      </c>
      <c r="F30" s="719"/>
      <c r="G30" s="24">
        <f t="shared" si="8"/>
        <v>1</v>
      </c>
      <c r="H30" s="719"/>
      <c r="I30" s="24">
        <f t="shared" si="9"/>
        <v>1</v>
      </c>
      <c r="J30" s="719"/>
      <c r="K30" s="24">
        <f t="shared" si="10"/>
        <v>1</v>
      </c>
      <c r="L30" s="719"/>
      <c r="M30" s="24">
        <f t="shared" si="11"/>
        <v>1</v>
      </c>
      <c r="N30" s="719"/>
      <c r="O30" s="24">
        <f t="shared" si="12"/>
        <v>1</v>
      </c>
      <c r="P30" s="719"/>
      <c r="Q30" s="24">
        <f t="shared" si="13"/>
        <v>1</v>
      </c>
      <c r="R30" s="715">
        <f t="shared" si="14"/>
        <v>9310</v>
      </c>
      <c r="S30" s="360">
        <f t="shared" si="5"/>
        <v>33</v>
      </c>
    </row>
    <row r="31" spans="1:45">
      <c r="A31" s="158"/>
      <c r="B31" s="717">
        <f>车库清单!C10</f>
        <v>35.96</v>
      </c>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c r="Q31" s="24">
        <f t="shared" si="13"/>
        <v>1</v>
      </c>
      <c r="R31" s="715">
        <f t="shared" si="14"/>
        <v>9310</v>
      </c>
      <c r="S31" s="360">
        <f t="shared" si="5"/>
        <v>33</v>
      </c>
    </row>
    <row r="32" spans="1:45">
      <c r="A32" s="158"/>
      <c r="B32" s="717">
        <f>车库清单!C11</f>
        <v>35.96</v>
      </c>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c r="Q32" s="24">
        <f t="shared" si="13"/>
        <v>1</v>
      </c>
      <c r="R32" s="715">
        <f t="shared" si="14"/>
        <v>9310</v>
      </c>
      <c r="S32" s="360">
        <f t="shared" si="5"/>
        <v>33</v>
      </c>
    </row>
    <row r="33" spans="1:19">
      <c r="A33" s="158"/>
      <c r="B33" s="717">
        <f>车库清单!C12</f>
        <v>35.26</v>
      </c>
      <c r="C33" s="24">
        <f t="shared" si="6"/>
        <v>1</v>
      </c>
      <c r="D33" s="719"/>
      <c r="E33" s="24">
        <f t="shared" si="7"/>
        <v>1</v>
      </c>
      <c r="F33" s="719"/>
      <c r="G33" s="24">
        <f t="shared" si="8"/>
        <v>1</v>
      </c>
      <c r="H33" s="719"/>
      <c r="I33" s="24">
        <f t="shared" si="9"/>
        <v>1</v>
      </c>
      <c r="J33" s="719"/>
      <c r="K33" s="24">
        <f t="shared" si="10"/>
        <v>1</v>
      </c>
      <c r="L33" s="719"/>
      <c r="M33" s="24">
        <f t="shared" si="11"/>
        <v>1</v>
      </c>
      <c r="N33" s="719"/>
      <c r="O33" s="24">
        <f t="shared" si="12"/>
        <v>1</v>
      </c>
      <c r="P33" s="719"/>
      <c r="Q33" s="24">
        <f t="shared" si="13"/>
        <v>1</v>
      </c>
      <c r="R33" s="715">
        <f t="shared" si="14"/>
        <v>9310</v>
      </c>
      <c r="S33" s="360">
        <f t="shared" si="5"/>
        <v>33</v>
      </c>
    </row>
    <row r="34" spans="1:19">
      <c r="A34" s="158"/>
      <c r="B34" s="717">
        <f>车库清单!C13</f>
        <v>35.26</v>
      </c>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c r="Q34" s="24">
        <f t="shared" si="13"/>
        <v>1</v>
      </c>
      <c r="R34" s="715">
        <f t="shared" si="14"/>
        <v>9310</v>
      </c>
      <c r="S34" s="360">
        <f t="shared" si="5"/>
        <v>33</v>
      </c>
    </row>
    <row r="35" spans="1:19">
      <c r="A35" s="158"/>
      <c r="B35" s="717">
        <f>车库清单!C14</f>
        <v>35.26</v>
      </c>
      <c r="C35" s="24">
        <f t="shared" si="6"/>
        <v>1</v>
      </c>
      <c r="D35" s="719"/>
      <c r="E35" s="24">
        <f t="shared" si="7"/>
        <v>1</v>
      </c>
      <c r="F35" s="719"/>
      <c r="G35" s="24">
        <f t="shared" si="8"/>
        <v>1</v>
      </c>
      <c r="H35" s="719"/>
      <c r="I35" s="24">
        <f t="shared" si="9"/>
        <v>1</v>
      </c>
      <c r="J35" s="719"/>
      <c r="K35" s="24">
        <f t="shared" si="10"/>
        <v>1</v>
      </c>
      <c r="L35" s="719"/>
      <c r="M35" s="24">
        <f t="shared" si="11"/>
        <v>1</v>
      </c>
      <c r="N35" s="719"/>
      <c r="O35" s="24">
        <f t="shared" si="12"/>
        <v>1</v>
      </c>
      <c r="P35" s="719"/>
      <c r="Q35" s="24">
        <f t="shared" si="13"/>
        <v>1</v>
      </c>
      <c r="R35" s="715">
        <f t="shared" si="14"/>
        <v>9310</v>
      </c>
      <c r="S35" s="360">
        <f t="shared" si="5"/>
        <v>33</v>
      </c>
    </row>
    <row r="36" spans="1:19">
      <c r="A36" s="158"/>
      <c r="B36" s="717">
        <f>车库清单!C15</f>
        <v>35.96</v>
      </c>
      <c r="C36" s="24">
        <f t="shared" si="6"/>
        <v>1</v>
      </c>
      <c r="D36" s="719"/>
      <c r="E36" s="24">
        <f t="shared" si="7"/>
        <v>1</v>
      </c>
      <c r="F36" s="719"/>
      <c r="G36" s="24">
        <f t="shared" si="8"/>
        <v>1</v>
      </c>
      <c r="H36" s="719"/>
      <c r="I36" s="24">
        <f t="shared" si="9"/>
        <v>1</v>
      </c>
      <c r="J36" s="719"/>
      <c r="K36" s="24">
        <f t="shared" si="10"/>
        <v>1</v>
      </c>
      <c r="L36" s="719"/>
      <c r="M36" s="24">
        <f t="shared" si="11"/>
        <v>1</v>
      </c>
      <c r="N36" s="719"/>
      <c r="O36" s="24">
        <f t="shared" si="12"/>
        <v>1</v>
      </c>
      <c r="P36" s="719"/>
      <c r="Q36" s="24">
        <f t="shared" si="13"/>
        <v>1</v>
      </c>
      <c r="R36" s="715">
        <f t="shared" si="14"/>
        <v>9310</v>
      </c>
      <c r="S36" s="360">
        <f t="shared" si="5"/>
        <v>33</v>
      </c>
    </row>
    <row r="37" spans="1:19">
      <c r="A37" s="158"/>
      <c r="B37" s="717">
        <f>车库清单!C16</f>
        <v>35.96</v>
      </c>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c r="Q37" s="24">
        <f t="shared" si="13"/>
        <v>1</v>
      </c>
      <c r="R37" s="715">
        <f t="shared" si="14"/>
        <v>9310</v>
      </c>
      <c r="S37" s="360">
        <f t="shared" si="5"/>
        <v>33</v>
      </c>
    </row>
    <row r="38" spans="1:19">
      <c r="A38" s="158"/>
      <c r="B38" s="717">
        <f>车库清单!C17</f>
        <v>35.96</v>
      </c>
      <c r="C38" s="24">
        <f t="shared" si="6"/>
        <v>1</v>
      </c>
      <c r="D38" s="719"/>
      <c r="E38" s="24">
        <f t="shared" si="7"/>
        <v>1</v>
      </c>
      <c r="F38" s="719"/>
      <c r="G38" s="24">
        <f t="shared" si="8"/>
        <v>1</v>
      </c>
      <c r="H38" s="719"/>
      <c r="I38" s="24">
        <f t="shared" si="9"/>
        <v>1</v>
      </c>
      <c r="J38" s="719"/>
      <c r="K38" s="24">
        <f t="shared" si="10"/>
        <v>1</v>
      </c>
      <c r="L38" s="719"/>
      <c r="M38" s="24">
        <f t="shared" si="11"/>
        <v>1</v>
      </c>
      <c r="N38" s="719"/>
      <c r="O38" s="24">
        <f t="shared" si="12"/>
        <v>1</v>
      </c>
      <c r="P38" s="719"/>
      <c r="Q38" s="24">
        <f t="shared" si="13"/>
        <v>1</v>
      </c>
      <c r="R38" s="715">
        <f t="shared" si="14"/>
        <v>9310</v>
      </c>
      <c r="S38" s="360">
        <f t="shared" si="5"/>
        <v>33</v>
      </c>
    </row>
    <row r="39" spans="1:19">
      <c r="A39" s="158"/>
      <c r="B39" s="717">
        <f>车库清单!C18</f>
        <v>35.26</v>
      </c>
      <c r="C39" s="24">
        <f t="shared" si="6"/>
        <v>1</v>
      </c>
      <c r="D39" s="719"/>
      <c r="E39" s="24">
        <f t="shared" si="7"/>
        <v>1</v>
      </c>
      <c r="F39" s="719"/>
      <c r="G39" s="24">
        <f t="shared" si="8"/>
        <v>1</v>
      </c>
      <c r="H39" s="719"/>
      <c r="I39" s="24">
        <f t="shared" si="9"/>
        <v>1</v>
      </c>
      <c r="J39" s="719"/>
      <c r="K39" s="24">
        <f t="shared" si="10"/>
        <v>1</v>
      </c>
      <c r="L39" s="719"/>
      <c r="M39" s="24">
        <f t="shared" si="11"/>
        <v>1</v>
      </c>
      <c r="N39" s="719"/>
      <c r="O39" s="24">
        <f t="shared" si="12"/>
        <v>1</v>
      </c>
      <c r="P39" s="719"/>
      <c r="Q39" s="24">
        <f t="shared" si="13"/>
        <v>1</v>
      </c>
      <c r="R39" s="715">
        <f t="shared" si="14"/>
        <v>9310</v>
      </c>
      <c r="S39" s="360">
        <f t="shared" si="5"/>
        <v>33</v>
      </c>
    </row>
    <row r="40" spans="1:19">
      <c r="A40" s="158"/>
      <c r="B40" s="717">
        <f>车库清单!C19</f>
        <v>35.26</v>
      </c>
      <c r="C40" s="24">
        <f t="shared" si="6"/>
        <v>1</v>
      </c>
      <c r="D40" s="719"/>
      <c r="E40" s="24">
        <f t="shared" si="7"/>
        <v>1</v>
      </c>
      <c r="F40" s="719"/>
      <c r="G40" s="24">
        <f t="shared" si="8"/>
        <v>1</v>
      </c>
      <c r="H40" s="719"/>
      <c r="I40" s="24">
        <f t="shared" si="9"/>
        <v>1</v>
      </c>
      <c r="J40" s="719"/>
      <c r="K40" s="24">
        <f t="shared" si="10"/>
        <v>1</v>
      </c>
      <c r="L40" s="719"/>
      <c r="M40" s="24">
        <f t="shared" si="11"/>
        <v>1</v>
      </c>
      <c r="N40" s="719"/>
      <c r="O40" s="24">
        <f t="shared" si="12"/>
        <v>1</v>
      </c>
      <c r="P40" s="719"/>
      <c r="Q40" s="24">
        <f t="shared" si="13"/>
        <v>1</v>
      </c>
      <c r="R40" s="715">
        <f t="shared" si="14"/>
        <v>9310</v>
      </c>
      <c r="S40" s="360">
        <f t="shared" si="5"/>
        <v>33</v>
      </c>
    </row>
    <row r="41" spans="1:19">
      <c r="A41" s="158"/>
      <c r="B41" s="717">
        <f>车库清单!C20</f>
        <v>35.26</v>
      </c>
      <c r="C41" s="24">
        <f t="shared" si="6"/>
        <v>1</v>
      </c>
      <c r="D41" s="719"/>
      <c r="E41" s="24">
        <f t="shared" si="7"/>
        <v>1</v>
      </c>
      <c r="F41" s="719"/>
      <c r="G41" s="24">
        <f t="shared" si="8"/>
        <v>1</v>
      </c>
      <c r="H41" s="719"/>
      <c r="I41" s="24">
        <f t="shared" si="9"/>
        <v>1</v>
      </c>
      <c r="J41" s="719"/>
      <c r="K41" s="24">
        <f t="shared" si="10"/>
        <v>1</v>
      </c>
      <c r="L41" s="719"/>
      <c r="M41" s="24">
        <f t="shared" si="11"/>
        <v>1</v>
      </c>
      <c r="N41" s="719"/>
      <c r="O41" s="24">
        <f t="shared" si="12"/>
        <v>1</v>
      </c>
      <c r="P41" s="719"/>
      <c r="Q41" s="24">
        <f t="shared" si="13"/>
        <v>1</v>
      </c>
      <c r="R41" s="715">
        <f t="shared" si="14"/>
        <v>9310</v>
      </c>
      <c r="S41" s="360">
        <f t="shared" si="5"/>
        <v>33</v>
      </c>
    </row>
    <row r="42" spans="1:19">
      <c r="A42" s="158"/>
      <c r="B42" s="717">
        <f>车库清单!C21</f>
        <v>35.26</v>
      </c>
      <c r="C42" s="24">
        <f t="shared" si="6"/>
        <v>1</v>
      </c>
      <c r="D42" s="719"/>
      <c r="E42" s="24">
        <f t="shared" si="7"/>
        <v>1</v>
      </c>
      <c r="F42" s="719"/>
      <c r="G42" s="24">
        <f t="shared" si="8"/>
        <v>1</v>
      </c>
      <c r="H42" s="719"/>
      <c r="I42" s="24">
        <f t="shared" si="9"/>
        <v>1</v>
      </c>
      <c r="J42" s="719"/>
      <c r="K42" s="24">
        <f t="shared" si="10"/>
        <v>1</v>
      </c>
      <c r="L42" s="719"/>
      <c r="M42" s="24">
        <f t="shared" si="11"/>
        <v>1</v>
      </c>
      <c r="N42" s="719"/>
      <c r="O42" s="24">
        <f t="shared" si="12"/>
        <v>1</v>
      </c>
      <c r="P42" s="719"/>
      <c r="Q42" s="24">
        <f t="shared" si="13"/>
        <v>1</v>
      </c>
      <c r="R42" s="715">
        <f t="shared" si="14"/>
        <v>9310</v>
      </c>
      <c r="S42" s="360">
        <f t="shared" si="5"/>
        <v>33</v>
      </c>
    </row>
    <row r="43" spans="1:19">
      <c r="A43" s="158"/>
      <c r="B43" s="717">
        <f>车库清单!C22</f>
        <v>35.26</v>
      </c>
      <c r="C43" s="24">
        <f t="shared" si="6"/>
        <v>1</v>
      </c>
      <c r="D43" s="719"/>
      <c r="E43" s="24">
        <f t="shared" si="7"/>
        <v>1</v>
      </c>
      <c r="F43" s="719"/>
      <c r="G43" s="24">
        <f t="shared" si="8"/>
        <v>1</v>
      </c>
      <c r="H43" s="719"/>
      <c r="I43" s="24">
        <f t="shared" si="9"/>
        <v>1</v>
      </c>
      <c r="J43" s="719"/>
      <c r="K43" s="24">
        <f t="shared" si="10"/>
        <v>1</v>
      </c>
      <c r="L43" s="719"/>
      <c r="M43" s="24">
        <f t="shared" si="11"/>
        <v>1</v>
      </c>
      <c r="N43" s="719"/>
      <c r="O43" s="24">
        <f t="shared" si="12"/>
        <v>1</v>
      </c>
      <c r="P43" s="719"/>
      <c r="Q43" s="24">
        <f t="shared" si="13"/>
        <v>1</v>
      </c>
      <c r="R43" s="715">
        <f t="shared" si="14"/>
        <v>9310</v>
      </c>
      <c r="S43" s="360">
        <f t="shared" si="5"/>
        <v>33</v>
      </c>
    </row>
    <row r="44" spans="1:19">
      <c r="A44" s="158"/>
      <c r="B44" s="717">
        <f>车库清单!C23</f>
        <v>35.26</v>
      </c>
      <c r="C44" s="24">
        <f t="shared" si="6"/>
        <v>1</v>
      </c>
      <c r="D44" s="719"/>
      <c r="E44" s="24">
        <f t="shared" si="7"/>
        <v>1</v>
      </c>
      <c r="F44" s="719"/>
      <c r="G44" s="24">
        <f t="shared" si="8"/>
        <v>1</v>
      </c>
      <c r="H44" s="719"/>
      <c r="I44" s="24">
        <f t="shared" si="9"/>
        <v>1</v>
      </c>
      <c r="J44" s="719"/>
      <c r="K44" s="24">
        <f t="shared" si="10"/>
        <v>1</v>
      </c>
      <c r="L44" s="719"/>
      <c r="M44" s="24">
        <f t="shared" si="11"/>
        <v>1</v>
      </c>
      <c r="N44" s="719"/>
      <c r="O44" s="24">
        <f t="shared" si="12"/>
        <v>1</v>
      </c>
      <c r="P44" s="719"/>
      <c r="Q44" s="24">
        <f t="shared" si="13"/>
        <v>1</v>
      </c>
      <c r="R44" s="715">
        <f t="shared" si="14"/>
        <v>9310</v>
      </c>
      <c r="S44" s="360">
        <f t="shared" si="5"/>
        <v>33</v>
      </c>
    </row>
    <row r="45" spans="1:19">
      <c r="A45" s="158"/>
      <c r="B45" s="717">
        <f>车库清单!C24</f>
        <v>35.26</v>
      </c>
      <c r="C45" s="24">
        <f t="shared" si="6"/>
        <v>1</v>
      </c>
      <c r="D45" s="719"/>
      <c r="E45" s="24">
        <f t="shared" si="7"/>
        <v>1</v>
      </c>
      <c r="F45" s="719"/>
      <c r="G45" s="24">
        <f t="shared" si="8"/>
        <v>1</v>
      </c>
      <c r="H45" s="719"/>
      <c r="I45" s="24">
        <f t="shared" si="9"/>
        <v>1</v>
      </c>
      <c r="J45" s="719"/>
      <c r="K45" s="24">
        <f t="shared" si="10"/>
        <v>1</v>
      </c>
      <c r="L45" s="719"/>
      <c r="M45" s="24">
        <f t="shared" si="11"/>
        <v>1</v>
      </c>
      <c r="N45" s="719"/>
      <c r="O45" s="24">
        <f t="shared" si="12"/>
        <v>1</v>
      </c>
      <c r="P45" s="719"/>
      <c r="Q45" s="24">
        <f t="shared" si="13"/>
        <v>1</v>
      </c>
      <c r="R45" s="715">
        <f t="shared" si="14"/>
        <v>9310</v>
      </c>
      <c r="S45" s="360">
        <f t="shared" si="5"/>
        <v>33</v>
      </c>
    </row>
    <row r="46" spans="1:19">
      <c r="A46" s="158"/>
      <c r="B46" s="717">
        <f>车库清单!C25</f>
        <v>35.26</v>
      </c>
      <c r="C46" s="24">
        <f t="shared" si="6"/>
        <v>1</v>
      </c>
      <c r="D46" s="719"/>
      <c r="E46" s="24">
        <f t="shared" si="7"/>
        <v>1</v>
      </c>
      <c r="F46" s="719"/>
      <c r="G46" s="24">
        <f t="shared" si="8"/>
        <v>1</v>
      </c>
      <c r="H46" s="719"/>
      <c r="I46" s="24">
        <f t="shared" si="9"/>
        <v>1</v>
      </c>
      <c r="J46" s="719"/>
      <c r="K46" s="24">
        <f t="shared" si="10"/>
        <v>1</v>
      </c>
      <c r="L46" s="719"/>
      <c r="M46" s="24">
        <f t="shared" si="11"/>
        <v>1</v>
      </c>
      <c r="N46" s="719"/>
      <c r="O46" s="24">
        <f t="shared" si="12"/>
        <v>1</v>
      </c>
      <c r="P46" s="719"/>
      <c r="Q46" s="24">
        <f t="shared" si="13"/>
        <v>1</v>
      </c>
      <c r="R46" s="715">
        <f t="shared" si="14"/>
        <v>9310</v>
      </c>
      <c r="S46" s="360">
        <f t="shared" si="5"/>
        <v>33</v>
      </c>
    </row>
    <row r="47" spans="1:19">
      <c r="A47" s="158"/>
      <c r="B47" s="717">
        <f>车库清单!C26</f>
        <v>35.26</v>
      </c>
      <c r="C47" s="24">
        <f t="shared" si="6"/>
        <v>1</v>
      </c>
      <c r="D47" s="719"/>
      <c r="E47" s="24">
        <f t="shared" si="7"/>
        <v>1</v>
      </c>
      <c r="F47" s="719"/>
      <c r="G47" s="24">
        <f t="shared" si="8"/>
        <v>1</v>
      </c>
      <c r="H47" s="719"/>
      <c r="I47" s="24">
        <f t="shared" si="9"/>
        <v>1</v>
      </c>
      <c r="J47" s="719"/>
      <c r="K47" s="24">
        <f t="shared" si="10"/>
        <v>1</v>
      </c>
      <c r="L47" s="719"/>
      <c r="M47" s="24">
        <f t="shared" si="11"/>
        <v>1</v>
      </c>
      <c r="N47" s="719"/>
      <c r="O47" s="24">
        <f t="shared" si="12"/>
        <v>1</v>
      </c>
      <c r="P47" s="719"/>
      <c r="Q47" s="24">
        <f t="shared" si="13"/>
        <v>1</v>
      </c>
      <c r="R47" s="715">
        <f t="shared" si="14"/>
        <v>9310</v>
      </c>
      <c r="S47" s="360">
        <f t="shared" si="5"/>
        <v>33</v>
      </c>
    </row>
    <row r="48" spans="1:19">
      <c r="A48" s="158"/>
      <c r="B48" s="717">
        <f>车库清单!C27</f>
        <v>35.26</v>
      </c>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c r="Q48" s="24">
        <f t="shared" si="13"/>
        <v>1</v>
      </c>
      <c r="R48" s="715">
        <f t="shared" si="14"/>
        <v>9310</v>
      </c>
      <c r="S48" s="360">
        <f t="shared" si="5"/>
        <v>33</v>
      </c>
    </row>
    <row r="49" spans="1:19">
      <c r="A49" s="158"/>
      <c r="B49" s="717">
        <f>车库清单!C28</f>
        <v>35.26</v>
      </c>
      <c r="C49" s="24">
        <f t="shared" si="6"/>
        <v>1</v>
      </c>
      <c r="D49" s="719"/>
      <c r="E49" s="24">
        <f t="shared" si="7"/>
        <v>1</v>
      </c>
      <c r="F49" s="719"/>
      <c r="G49" s="24">
        <f t="shared" si="8"/>
        <v>1</v>
      </c>
      <c r="H49" s="719"/>
      <c r="I49" s="24">
        <f t="shared" si="9"/>
        <v>1</v>
      </c>
      <c r="J49" s="719"/>
      <c r="K49" s="24">
        <f t="shared" si="10"/>
        <v>1</v>
      </c>
      <c r="L49" s="719"/>
      <c r="M49" s="24">
        <f t="shared" si="11"/>
        <v>1</v>
      </c>
      <c r="N49" s="719"/>
      <c r="O49" s="24">
        <f t="shared" si="12"/>
        <v>1</v>
      </c>
      <c r="P49" s="719"/>
      <c r="Q49" s="24">
        <f t="shared" si="13"/>
        <v>1</v>
      </c>
      <c r="R49" s="715">
        <f t="shared" si="14"/>
        <v>9310</v>
      </c>
      <c r="S49" s="360">
        <f t="shared" si="5"/>
        <v>33</v>
      </c>
    </row>
    <row r="50" spans="1:19">
      <c r="A50" s="158"/>
      <c r="B50" s="717">
        <f>车库清单!C29</f>
        <v>35.26</v>
      </c>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c r="Q50" s="24">
        <f t="shared" si="13"/>
        <v>1</v>
      </c>
      <c r="R50" s="715">
        <f t="shared" si="14"/>
        <v>9310</v>
      </c>
      <c r="S50" s="360">
        <f t="shared" si="5"/>
        <v>33</v>
      </c>
    </row>
    <row r="51" spans="1:19">
      <c r="A51" s="158"/>
      <c r="B51" s="717">
        <f>车库清单!C30</f>
        <v>35.26</v>
      </c>
      <c r="C51" s="24">
        <f t="shared" si="6"/>
        <v>1</v>
      </c>
      <c r="D51" s="719"/>
      <c r="E51" s="24">
        <f t="shared" si="7"/>
        <v>1</v>
      </c>
      <c r="F51" s="719"/>
      <c r="G51" s="24">
        <f t="shared" si="8"/>
        <v>1</v>
      </c>
      <c r="H51" s="719"/>
      <c r="I51" s="24">
        <f t="shared" si="9"/>
        <v>1</v>
      </c>
      <c r="J51" s="719"/>
      <c r="K51" s="24">
        <f t="shared" si="10"/>
        <v>1</v>
      </c>
      <c r="L51" s="719"/>
      <c r="M51" s="24">
        <f t="shared" si="11"/>
        <v>1</v>
      </c>
      <c r="N51" s="719"/>
      <c r="O51" s="24">
        <f t="shared" si="12"/>
        <v>1</v>
      </c>
      <c r="P51" s="719"/>
      <c r="Q51" s="24">
        <f t="shared" si="13"/>
        <v>1</v>
      </c>
      <c r="R51" s="715">
        <f t="shared" si="14"/>
        <v>9310</v>
      </c>
      <c r="S51" s="360">
        <f t="shared" si="5"/>
        <v>33</v>
      </c>
    </row>
    <row r="52" spans="1:19">
      <c r="A52" s="158"/>
      <c r="B52" s="717">
        <f>车库清单!C31</f>
        <v>35.26</v>
      </c>
      <c r="C52" s="24">
        <f t="shared" si="6"/>
        <v>1</v>
      </c>
      <c r="D52" s="719"/>
      <c r="E52" s="24">
        <f t="shared" si="7"/>
        <v>1</v>
      </c>
      <c r="F52" s="719"/>
      <c r="G52" s="24">
        <f t="shared" si="8"/>
        <v>1</v>
      </c>
      <c r="H52" s="719"/>
      <c r="I52" s="24">
        <f t="shared" si="9"/>
        <v>1</v>
      </c>
      <c r="J52" s="719"/>
      <c r="K52" s="24">
        <f t="shared" si="10"/>
        <v>1</v>
      </c>
      <c r="L52" s="719"/>
      <c r="M52" s="24">
        <f t="shared" si="11"/>
        <v>1</v>
      </c>
      <c r="N52" s="719"/>
      <c r="O52" s="24">
        <f t="shared" si="12"/>
        <v>1</v>
      </c>
      <c r="P52" s="719"/>
      <c r="Q52" s="24">
        <f t="shared" si="13"/>
        <v>1</v>
      </c>
      <c r="R52" s="715">
        <f t="shared" si="14"/>
        <v>9310</v>
      </c>
      <c r="S52" s="360">
        <f t="shared" si="5"/>
        <v>33</v>
      </c>
    </row>
    <row r="53" spans="1:19">
      <c r="A53" s="158"/>
      <c r="B53" s="717">
        <f>车库清单!C32</f>
        <v>35.26</v>
      </c>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c r="Q53" s="24">
        <f t="shared" si="13"/>
        <v>1</v>
      </c>
      <c r="R53" s="715">
        <f t="shared" si="14"/>
        <v>9310</v>
      </c>
      <c r="S53" s="360">
        <f t="shared" si="5"/>
        <v>33</v>
      </c>
    </row>
    <row r="54" spans="1:19">
      <c r="A54" s="158"/>
      <c r="B54" s="717">
        <f>车库清单!C33</f>
        <v>35.26</v>
      </c>
      <c r="C54" s="24">
        <f t="shared" si="6"/>
        <v>1</v>
      </c>
      <c r="D54" s="719"/>
      <c r="E54" s="24">
        <f t="shared" si="7"/>
        <v>1</v>
      </c>
      <c r="F54" s="719"/>
      <c r="G54" s="24">
        <f t="shared" si="8"/>
        <v>1</v>
      </c>
      <c r="H54" s="719"/>
      <c r="I54" s="24">
        <f t="shared" si="9"/>
        <v>1</v>
      </c>
      <c r="J54" s="719"/>
      <c r="K54" s="24">
        <f t="shared" si="10"/>
        <v>1</v>
      </c>
      <c r="L54" s="719"/>
      <c r="M54" s="24">
        <f t="shared" si="11"/>
        <v>1</v>
      </c>
      <c r="N54" s="719"/>
      <c r="O54" s="24">
        <f t="shared" si="12"/>
        <v>1</v>
      </c>
      <c r="P54" s="719"/>
      <c r="Q54" s="24">
        <f t="shared" si="13"/>
        <v>1</v>
      </c>
      <c r="R54" s="715">
        <f t="shared" si="14"/>
        <v>9310</v>
      </c>
      <c r="S54" s="360">
        <f t="shared" si="5"/>
        <v>33</v>
      </c>
    </row>
    <row r="55" spans="1:19">
      <c r="A55" s="158"/>
      <c r="B55" s="717">
        <f>车库清单!C34</f>
        <v>35.26</v>
      </c>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c r="Q55" s="24">
        <f t="shared" si="13"/>
        <v>1</v>
      </c>
      <c r="R55" s="715">
        <f t="shared" si="14"/>
        <v>9310</v>
      </c>
      <c r="S55" s="360">
        <f t="shared" si="5"/>
        <v>33</v>
      </c>
    </row>
    <row r="56" spans="1:19">
      <c r="A56" s="158"/>
      <c r="B56" s="717">
        <f>车库清单!C35</f>
        <v>35.26</v>
      </c>
      <c r="C56" s="24">
        <f t="shared" si="6"/>
        <v>1</v>
      </c>
      <c r="D56" s="719"/>
      <c r="E56" s="24">
        <f t="shared" si="7"/>
        <v>1</v>
      </c>
      <c r="F56" s="719"/>
      <c r="G56" s="24">
        <f t="shared" si="8"/>
        <v>1</v>
      </c>
      <c r="H56" s="719"/>
      <c r="I56" s="24">
        <f t="shared" si="9"/>
        <v>1</v>
      </c>
      <c r="J56" s="719"/>
      <c r="K56" s="24">
        <f t="shared" si="10"/>
        <v>1</v>
      </c>
      <c r="L56" s="719"/>
      <c r="M56" s="24">
        <f t="shared" si="11"/>
        <v>1</v>
      </c>
      <c r="N56" s="719"/>
      <c r="O56" s="24">
        <f t="shared" si="12"/>
        <v>1</v>
      </c>
      <c r="P56" s="719"/>
      <c r="Q56" s="24">
        <f t="shared" si="13"/>
        <v>1</v>
      </c>
      <c r="R56" s="715">
        <f t="shared" si="14"/>
        <v>9310</v>
      </c>
      <c r="S56" s="360">
        <f t="shared" si="5"/>
        <v>33</v>
      </c>
    </row>
    <row r="57" spans="1:19">
      <c r="A57" s="158"/>
      <c r="B57" s="717">
        <f>车库清单!C36</f>
        <v>35.26</v>
      </c>
      <c r="C57" s="24">
        <f t="shared" si="6"/>
        <v>1</v>
      </c>
      <c r="D57" s="719"/>
      <c r="E57" s="24">
        <f t="shared" si="7"/>
        <v>1</v>
      </c>
      <c r="F57" s="719"/>
      <c r="G57" s="24">
        <f t="shared" si="8"/>
        <v>1</v>
      </c>
      <c r="H57" s="719"/>
      <c r="I57" s="24">
        <f t="shared" si="9"/>
        <v>1</v>
      </c>
      <c r="J57" s="719"/>
      <c r="K57" s="24">
        <f t="shared" si="10"/>
        <v>1</v>
      </c>
      <c r="L57" s="719"/>
      <c r="M57" s="24">
        <f t="shared" si="11"/>
        <v>1</v>
      </c>
      <c r="N57" s="719"/>
      <c r="O57" s="24">
        <f t="shared" si="12"/>
        <v>1</v>
      </c>
      <c r="P57" s="719"/>
      <c r="Q57" s="24">
        <f t="shared" si="13"/>
        <v>1</v>
      </c>
      <c r="R57" s="715">
        <f t="shared" si="14"/>
        <v>9310</v>
      </c>
      <c r="S57" s="360">
        <f t="shared" si="5"/>
        <v>33</v>
      </c>
    </row>
    <row r="58" spans="1:19">
      <c r="A58" s="158"/>
      <c r="B58" s="717">
        <f>车库清单!C37</f>
        <v>35.26</v>
      </c>
      <c r="C58" s="24">
        <f t="shared" si="6"/>
        <v>1</v>
      </c>
      <c r="D58" s="719"/>
      <c r="E58" s="24">
        <f t="shared" si="7"/>
        <v>1</v>
      </c>
      <c r="F58" s="719"/>
      <c r="G58" s="24">
        <f t="shared" si="8"/>
        <v>1</v>
      </c>
      <c r="H58" s="719"/>
      <c r="I58" s="24">
        <f t="shared" si="9"/>
        <v>1</v>
      </c>
      <c r="J58" s="719"/>
      <c r="K58" s="24">
        <f t="shared" si="10"/>
        <v>1</v>
      </c>
      <c r="L58" s="719"/>
      <c r="M58" s="24">
        <f t="shared" si="11"/>
        <v>1</v>
      </c>
      <c r="N58" s="719"/>
      <c r="O58" s="24">
        <f t="shared" si="12"/>
        <v>1</v>
      </c>
      <c r="P58" s="719"/>
      <c r="Q58" s="24">
        <f t="shared" si="13"/>
        <v>1</v>
      </c>
      <c r="R58" s="715">
        <f t="shared" si="14"/>
        <v>9310</v>
      </c>
      <c r="S58" s="360">
        <f t="shared" si="5"/>
        <v>33</v>
      </c>
    </row>
    <row r="59" spans="1:19">
      <c r="A59" s="158"/>
      <c r="B59" s="717">
        <f>车库清单!C38</f>
        <v>35.26</v>
      </c>
      <c r="C59" s="24">
        <f t="shared" si="6"/>
        <v>1</v>
      </c>
      <c r="D59" s="719"/>
      <c r="E59" s="24">
        <f t="shared" si="7"/>
        <v>1</v>
      </c>
      <c r="F59" s="719"/>
      <c r="G59" s="24">
        <f t="shared" si="8"/>
        <v>1</v>
      </c>
      <c r="H59" s="719"/>
      <c r="I59" s="24">
        <f t="shared" si="9"/>
        <v>1</v>
      </c>
      <c r="J59" s="719"/>
      <c r="K59" s="24">
        <f t="shared" si="10"/>
        <v>1</v>
      </c>
      <c r="L59" s="719"/>
      <c r="M59" s="24">
        <f t="shared" si="11"/>
        <v>1</v>
      </c>
      <c r="N59" s="719"/>
      <c r="O59" s="24">
        <f t="shared" si="12"/>
        <v>1</v>
      </c>
      <c r="P59" s="719"/>
      <c r="Q59" s="24">
        <f t="shared" si="13"/>
        <v>1</v>
      </c>
      <c r="R59" s="715">
        <f t="shared" si="14"/>
        <v>9310</v>
      </c>
      <c r="S59" s="360">
        <f t="shared" si="5"/>
        <v>33</v>
      </c>
    </row>
    <row r="60" spans="1:19">
      <c r="A60" s="158"/>
      <c r="B60" s="717">
        <f>车库清单!C39</f>
        <v>35.26</v>
      </c>
      <c r="C60" s="24">
        <f t="shared" si="6"/>
        <v>1</v>
      </c>
      <c r="D60" s="719"/>
      <c r="E60" s="24">
        <f t="shared" si="7"/>
        <v>1</v>
      </c>
      <c r="F60" s="719"/>
      <c r="G60" s="24">
        <f t="shared" si="8"/>
        <v>1</v>
      </c>
      <c r="H60" s="719"/>
      <c r="I60" s="24">
        <f t="shared" si="9"/>
        <v>1</v>
      </c>
      <c r="J60" s="719"/>
      <c r="K60" s="24">
        <f t="shared" si="10"/>
        <v>1</v>
      </c>
      <c r="L60" s="719"/>
      <c r="M60" s="24">
        <f t="shared" si="11"/>
        <v>1</v>
      </c>
      <c r="N60" s="719"/>
      <c r="O60" s="24">
        <f t="shared" si="12"/>
        <v>1</v>
      </c>
      <c r="P60" s="719"/>
      <c r="Q60" s="24">
        <f t="shared" si="13"/>
        <v>1</v>
      </c>
      <c r="R60" s="715">
        <f t="shared" si="14"/>
        <v>9310</v>
      </c>
      <c r="S60" s="360">
        <f t="shared" si="5"/>
        <v>33</v>
      </c>
    </row>
    <row r="61" spans="1:19">
      <c r="A61" s="158"/>
      <c r="B61" s="717">
        <f>车库清单!C40</f>
        <v>35.26</v>
      </c>
      <c r="C61" s="24">
        <f t="shared" si="6"/>
        <v>1</v>
      </c>
      <c r="D61" s="719"/>
      <c r="E61" s="24">
        <f t="shared" si="7"/>
        <v>1</v>
      </c>
      <c r="F61" s="719"/>
      <c r="G61" s="24">
        <f t="shared" si="8"/>
        <v>1</v>
      </c>
      <c r="H61" s="719"/>
      <c r="I61" s="24">
        <f t="shared" si="9"/>
        <v>1</v>
      </c>
      <c r="J61" s="719"/>
      <c r="K61" s="24">
        <f t="shared" si="10"/>
        <v>1</v>
      </c>
      <c r="L61" s="719"/>
      <c r="M61" s="24">
        <f t="shared" si="11"/>
        <v>1</v>
      </c>
      <c r="N61" s="719"/>
      <c r="O61" s="24">
        <f t="shared" si="12"/>
        <v>1</v>
      </c>
      <c r="P61" s="719"/>
      <c r="Q61" s="24">
        <f t="shared" si="13"/>
        <v>1</v>
      </c>
      <c r="R61" s="715">
        <f t="shared" si="14"/>
        <v>9310</v>
      </c>
      <c r="S61" s="360">
        <f t="shared" si="5"/>
        <v>33</v>
      </c>
    </row>
    <row r="62" spans="1:19">
      <c r="A62" s="158"/>
      <c r="B62" s="717">
        <f>车库清单!C41</f>
        <v>35.26</v>
      </c>
      <c r="C62" s="24">
        <f t="shared" si="6"/>
        <v>1</v>
      </c>
      <c r="D62" s="719"/>
      <c r="E62" s="24">
        <f t="shared" si="7"/>
        <v>1</v>
      </c>
      <c r="F62" s="719"/>
      <c r="G62" s="24">
        <f t="shared" si="8"/>
        <v>1</v>
      </c>
      <c r="H62" s="719"/>
      <c r="I62" s="24">
        <f t="shared" si="9"/>
        <v>1</v>
      </c>
      <c r="J62" s="719"/>
      <c r="K62" s="24">
        <f t="shared" si="10"/>
        <v>1</v>
      </c>
      <c r="L62" s="719"/>
      <c r="M62" s="24">
        <f t="shared" si="11"/>
        <v>1</v>
      </c>
      <c r="N62" s="719"/>
      <c r="O62" s="24">
        <f t="shared" si="12"/>
        <v>1</v>
      </c>
      <c r="P62" s="719"/>
      <c r="Q62" s="24">
        <f t="shared" si="13"/>
        <v>1</v>
      </c>
      <c r="R62" s="715">
        <f t="shared" si="14"/>
        <v>9310</v>
      </c>
      <c r="S62" s="360">
        <f t="shared" si="5"/>
        <v>33</v>
      </c>
    </row>
    <row r="63" spans="1:19">
      <c r="A63" s="158"/>
      <c r="B63" s="717">
        <f>车库清单!C42</f>
        <v>35.26</v>
      </c>
      <c r="C63" s="24">
        <f t="shared" si="6"/>
        <v>1</v>
      </c>
      <c r="D63" s="719"/>
      <c r="E63" s="24">
        <f t="shared" si="7"/>
        <v>1</v>
      </c>
      <c r="F63" s="719"/>
      <c r="G63" s="24">
        <f t="shared" si="8"/>
        <v>1</v>
      </c>
      <c r="H63" s="719"/>
      <c r="I63" s="24">
        <f t="shared" si="9"/>
        <v>1</v>
      </c>
      <c r="J63" s="719"/>
      <c r="K63" s="24">
        <f t="shared" si="10"/>
        <v>1</v>
      </c>
      <c r="L63" s="719"/>
      <c r="M63" s="24">
        <f t="shared" si="11"/>
        <v>1</v>
      </c>
      <c r="N63" s="719"/>
      <c r="O63" s="24">
        <f t="shared" si="12"/>
        <v>1</v>
      </c>
      <c r="P63" s="719"/>
      <c r="Q63" s="24">
        <f t="shared" si="13"/>
        <v>1</v>
      </c>
      <c r="R63" s="715">
        <f t="shared" si="14"/>
        <v>9310</v>
      </c>
      <c r="S63" s="360">
        <f t="shared" si="5"/>
        <v>33</v>
      </c>
    </row>
    <row r="64" spans="1:19">
      <c r="A64" s="158"/>
      <c r="B64" s="717">
        <f>车库清单!C43</f>
        <v>35.26</v>
      </c>
      <c r="C64" s="24">
        <f t="shared" si="6"/>
        <v>1</v>
      </c>
      <c r="D64" s="719"/>
      <c r="E64" s="24">
        <f t="shared" si="7"/>
        <v>1</v>
      </c>
      <c r="F64" s="719"/>
      <c r="G64" s="24">
        <f t="shared" si="8"/>
        <v>1</v>
      </c>
      <c r="H64" s="719"/>
      <c r="I64" s="24">
        <f t="shared" si="9"/>
        <v>1</v>
      </c>
      <c r="J64" s="719"/>
      <c r="K64" s="24">
        <f t="shared" si="10"/>
        <v>1</v>
      </c>
      <c r="L64" s="719"/>
      <c r="M64" s="24">
        <f t="shared" si="11"/>
        <v>1</v>
      </c>
      <c r="N64" s="719"/>
      <c r="O64" s="24">
        <f t="shared" si="12"/>
        <v>1</v>
      </c>
      <c r="P64" s="719"/>
      <c r="Q64" s="24">
        <f t="shared" si="13"/>
        <v>1</v>
      </c>
      <c r="R64" s="715">
        <f t="shared" si="14"/>
        <v>9310</v>
      </c>
      <c r="S64" s="360">
        <f t="shared" si="5"/>
        <v>33</v>
      </c>
    </row>
    <row r="65" spans="1:19">
      <c r="A65" s="158"/>
      <c r="B65" s="717">
        <f>车库清单!C44</f>
        <v>35.26</v>
      </c>
      <c r="C65" s="24">
        <f t="shared" si="6"/>
        <v>1</v>
      </c>
      <c r="D65" s="719"/>
      <c r="E65" s="24">
        <f t="shared" si="7"/>
        <v>1</v>
      </c>
      <c r="F65" s="719"/>
      <c r="G65" s="24">
        <f t="shared" si="8"/>
        <v>1</v>
      </c>
      <c r="H65" s="719"/>
      <c r="I65" s="24">
        <f t="shared" si="9"/>
        <v>1</v>
      </c>
      <c r="J65" s="719"/>
      <c r="K65" s="24">
        <f t="shared" si="10"/>
        <v>1</v>
      </c>
      <c r="L65" s="719"/>
      <c r="M65" s="24">
        <f t="shared" si="11"/>
        <v>1</v>
      </c>
      <c r="N65" s="719"/>
      <c r="O65" s="24">
        <f t="shared" si="12"/>
        <v>1</v>
      </c>
      <c r="P65" s="719"/>
      <c r="Q65" s="24">
        <f t="shared" si="13"/>
        <v>1</v>
      </c>
      <c r="R65" s="715">
        <f t="shared" si="14"/>
        <v>9310</v>
      </c>
      <c r="S65" s="360">
        <f t="shared" si="5"/>
        <v>33</v>
      </c>
    </row>
    <row r="66" spans="1:19">
      <c r="A66" s="158"/>
      <c r="B66" s="717">
        <f>车库清单!C45</f>
        <v>35.26</v>
      </c>
      <c r="C66" s="24">
        <f t="shared" si="6"/>
        <v>1</v>
      </c>
      <c r="D66" s="719"/>
      <c r="E66" s="24">
        <f t="shared" si="7"/>
        <v>1</v>
      </c>
      <c r="F66" s="719"/>
      <c r="G66" s="24">
        <f t="shared" si="8"/>
        <v>1</v>
      </c>
      <c r="H66" s="719"/>
      <c r="I66" s="24">
        <f t="shared" si="9"/>
        <v>1</v>
      </c>
      <c r="J66" s="719"/>
      <c r="K66" s="24">
        <f t="shared" si="10"/>
        <v>1</v>
      </c>
      <c r="L66" s="719"/>
      <c r="M66" s="24">
        <f t="shared" si="11"/>
        <v>1</v>
      </c>
      <c r="N66" s="719"/>
      <c r="O66" s="24">
        <f t="shared" si="12"/>
        <v>1</v>
      </c>
      <c r="P66" s="719"/>
      <c r="Q66" s="24">
        <f t="shared" si="13"/>
        <v>1</v>
      </c>
      <c r="R66" s="715">
        <f t="shared" si="14"/>
        <v>9310</v>
      </c>
      <c r="S66" s="360">
        <f t="shared" si="5"/>
        <v>33</v>
      </c>
    </row>
    <row r="67" spans="1:19">
      <c r="A67" s="158"/>
      <c r="B67" s="717">
        <f>车库清单!C46</f>
        <v>35.26</v>
      </c>
      <c r="C67" s="24">
        <f t="shared" si="6"/>
        <v>1</v>
      </c>
      <c r="D67" s="719"/>
      <c r="E67" s="24">
        <f t="shared" si="7"/>
        <v>1</v>
      </c>
      <c r="F67" s="719"/>
      <c r="G67" s="24">
        <f t="shared" si="8"/>
        <v>1</v>
      </c>
      <c r="H67" s="719"/>
      <c r="I67" s="24">
        <f t="shared" si="9"/>
        <v>1</v>
      </c>
      <c r="J67" s="719"/>
      <c r="K67" s="24">
        <f t="shared" si="10"/>
        <v>1</v>
      </c>
      <c r="L67" s="719"/>
      <c r="M67" s="24">
        <f t="shared" si="11"/>
        <v>1</v>
      </c>
      <c r="N67" s="719"/>
      <c r="O67" s="24">
        <f t="shared" si="12"/>
        <v>1</v>
      </c>
      <c r="P67" s="719"/>
      <c r="Q67" s="24">
        <f t="shared" si="13"/>
        <v>1</v>
      </c>
      <c r="R67" s="715">
        <f t="shared" si="14"/>
        <v>9310</v>
      </c>
      <c r="S67" s="360">
        <f t="shared" si="5"/>
        <v>33</v>
      </c>
    </row>
    <row r="68" spans="1:19">
      <c r="A68" s="158"/>
      <c r="B68" s="717">
        <f>车库清单!C47</f>
        <v>35.26</v>
      </c>
      <c r="C68" s="24">
        <f t="shared" si="6"/>
        <v>1</v>
      </c>
      <c r="D68" s="719"/>
      <c r="E68" s="24">
        <f t="shared" si="7"/>
        <v>1</v>
      </c>
      <c r="F68" s="719"/>
      <c r="G68" s="24">
        <f t="shared" si="8"/>
        <v>1</v>
      </c>
      <c r="H68" s="719"/>
      <c r="I68" s="24">
        <f t="shared" si="9"/>
        <v>1</v>
      </c>
      <c r="J68" s="719"/>
      <c r="K68" s="24">
        <f t="shared" si="10"/>
        <v>1</v>
      </c>
      <c r="L68" s="719"/>
      <c r="M68" s="24">
        <f t="shared" si="11"/>
        <v>1</v>
      </c>
      <c r="N68" s="719"/>
      <c r="O68" s="24">
        <f t="shared" si="12"/>
        <v>1</v>
      </c>
      <c r="P68" s="719"/>
      <c r="Q68" s="24">
        <f t="shared" si="13"/>
        <v>1</v>
      </c>
      <c r="R68" s="715">
        <f t="shared" si="14"/>
        <v>9310</v>
      </c>
      <c r="S68" s="360">
        <f t="shared" si="5"/>
        <v>33</v>
      </c>
    </row>
    <row r="69" spans="1:19">
      <c r="A69" s="158"/>
      <c r="B69" s="717">
        <f>车库清单!C48</f>
        <v>35.26</v>
      </c>
      <c r="C69" s="24">
        <f t="shared" si="6"/>
        <v>1</v>
      </c>
      <c r="D69" s="719"/>
      <c r="E69" s="24">
        <f t="shared" si="7"/>
        <v>1</v>
      </c>
      <c r="F69" s="719"/>
      <c r="G69" s="24">
        <f t="shared" si="8"/>
        <v>1</v>
      </c>
      <c r="H69" s="719"/>
      <c r="I69" s="24">
        <f t="shared" si="9"/>
        <v>1</v>
      </c>
      <c r="J69" s="719"/>
      <c r="K69" s="24">
        <f t="shared" si="10"/>
        <v>1</v>
      </c>
      <c r="L69" s="719"/>
      <c r="M69" s="24">
        <f t="shared" si="11"/>
        <v>1</v>
      </c>
      <c r="N69" s="719"/>
      <c r="O69" s="24">
        <f t="shared" si="12"/>
        <v>1</v>
      </c>
      <c r="P69" s="719"/>
      <c r="Q69" s="24">
        <f t="shared" si="13"/>
        <v>1</v>
      </c>
      <c r="R69" s="715">
        <f t="shared" si="14"/>
        <v>9310</v>
      </c>
      <c r="S69" s="360">
        <f t="shared" si="5"/>
        <v>33</v>
      </c>
    </row>
    <row r="70" spans="1:19">
      <c r="A70" s="158"/>
      <c r="B70" s="717">
        <f>车库清单!C49</f>
        <v>35.26</v>
      </c>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c r="Q70" s="24">
        <f t="shared" si="13"/>
        <v>1</v>
      </c>
      <c r="R70" s="715">
        <f t="shared" si="14"/>
        <v>9310</v>
      </c>
      <c r="S70" s="360">
        <f t="shared" si="5"/>
        <v>33</v>
      </c>
    </row>
    <row r="71" spans="1:19">
      <c r="A71" s="158"/>
      <c r="B71" s="717">
        <f>车库清单!C50</f>
        <v>35.26</v>
      </c>
      <c r="C71" s="24">
        <f t="shared" si="6"/>
        <v>1</v>
      </c>
      <c r="D71" s="719"/>
      <c r="E71" s="24">
        <f t="shared" si="7"/>
        <v>1</v>
      </c>
      <c r="F71" s="719"/>
      <c r="G71" s="24">
        <f t="shared" si="8"/>
        <v>1</v>
      </c>
      <c r="H71" s="719"/>
      <c r="I71" s="24">
        <f t="shared" si="9"/>
        <v>1</v>
      </c>
      <c r="J71" s="719"/>
      <c r="K71" s="24">
        <f t="shared" si="10"/>
        <v>1</v>
      </c>
      <c r="L71" s="719"/>
      <c r="M71" s="24">
        <f t="shared" si="11"/>
        <v>1</v>
      </c>
      <c r="N71" s="719"/>
      <c r="O71" s="24">
        <f t="shared" si="12"/>
        <v>1</v>
      </c>
      <c r="P71" s="719"/>
      <c r="Q71" s="24">
        <f t="shared" si="13"/>
        <v>1</v>
      </c>
      <c r="R71" s="715">
        <f t="shared" si="14"/>
        <v>9310</v>
      </c>
      <c r="S71" s="360">
        <f t="shared" si="5"/>
        <v>33</v>
      </c>
    </row>
    <row r="72" spans="1:19">
      <c r="A72" s="158"/>
      <c r="B72" s="717">
        <f>车库清单!C51</f>
        <v>35.26</v>
      </c>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c r="Q72" s="24">
        <f t="shared" si="13"/>
        <v>1</v>
      </c>
      <c r="R72" s="715">
        <f t="shared" si="14"/>
        <v>9310</v>
      </c>
      <c r="S72" s="360">
        <f t="shared" si="5"/>
        <v>33</v>
      </c>
    </row>
    <row r="73" spans="1:19">
      <c r="A73" s="158"/>
      <c r="B73" s="717">
        <f>车库清单!C52</f>
        <v>35.26</v>
      </c>
      <c r="C73" s="24">
        <f t="shared" si="6"/>
        <v>1</v>
      </c>
      <c r="D73" s="719"/>
      <c r="E73" s="24">
        <f t="shared" si="7"/>
        <v>1</v>
      </c>
      <c r="F73" s="719"/>
      <c r="G73" s="24">
        <f t="shared" si="8"/>
        <v>1</v>
      </c>
      <c r="H73" s="719"/>
      <c r="I73" s="24">
        <f t="shared" si="9"/>
        <v>1</v>
      </c>
      <c r="J73" s="719"/>
      <c r="K73" s="24">
        <f t="shared" si="10"/>
        <v>1</v>
      </c>
      <c r="L73" s="719"/>
      <c r="M73" s="24">
        <f t="shared" si="11"/>
        <v>1</v>
      </c>
      <c r="N73" s="719"/>
      <c r="O73" s="24">
        <f t="shared" si="12"/>
        <v>1</v>
      </c>
      <c r="P73" s="719"/>
      <c r="Q73" s="24">
        <f t="shared" si="13"/>
        <v>1</v>
      </c>
      <c r="R73" s="715">
        <f t="shared" si="14"/>
        <v>9310</v>
      </c>
      <c r="S73" s="360">
        <f t="shared" si="5"/>
        <v>33</v>
      </c>
    </row>
    <row r="74" spans="1:19">
      <c r="A74" s="158"/>
      <c r="B74" s="717">
        <f>车库清单!C53</f>
        <v>35.26</v>
      </c>
      <c r="C74" s="24">
        <f t="shared" si="6"/>
        <v>1</v>
      </c>
      <c r="D74" s="719"/>
      <c r="E74" s="24">
        <f t="shared" si="7"/>
        <v>1</v>
      </c>
      <c r="F74" s="719"/>
      <c r="G74" s="24">
        <f t="shared" si="8"/>
        <v>1</v>
      </c>
      <c r="H74" s="719"/>
      <c r="I74" s="24">
        <f t="shared" si="9"/>
        <v>1</v>
      </c>
      <c r="J74" s="719"/>
      <c r="K74" s="24">
        <f t="shared" si="10"/>
        <v>1</v>
      </c>
      <c r="L74" s="719"/>
      <c r="M74" s="24">
        <f t="shared" si="11"/>
        <v>1</v>
      </c>
      <c r="N74" s="719"/>
      <c r="O74" s="24">
        <f t="shared" si="12"/>
        <v>1</v>
      </c>
      <c r="P74" s="719"/>
      <c r="Q74" s="24">
        <f t="shared" si="13"/>
        <v>1</v>
      </c>
      <c r="R74" s="715">
        <f t="shared" si="14"/>
        <v>9310</v>
      </c>
      <c r="S74" s="360">
        <f t="shared" si="5"/>
        <v>33</v>
      </c>
    </row>
    <row r="75" spans="1:19">
      <c r="A75" s="158"/>
      <c r="B75" s="717">
        <f>车库清单!C54</f>
        <v>32.32</v>
      </c>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c r="Q75" s="24">
        <f t="shared" si="13"/>
        <v>1</v>
      </c>
      <c r="R75" s="715">
        <f t="shared" si="14"/>
        <v>9310</v>
      </c>
      <c r="S75" s="360">
        <f t="shared" si="5"/>
        <v>30</v>
      </c>
    </row>
    <row r="76" spans="1:19">
      <c r="A76" s="158"/>
      <c r="B76" s="717">
        <f>车库清单!C55</f>
        <v>35.26</v>
      </c>
      <c r="C76" s="24">
        <f t="shared" si="6"/>
        <v>1</v>
      </c>
      <c r="D76" s="719"/>
      <c r="E76" s="24">
        <f t="shared" si="7"/>
        <v>1</v>
      </c>
      <c r="F76" s="719"/>
      <c r="G76" s="24">
        <f t="shared" si="8"/>
        <v>1</v>
      </c>
      <c r="H76" s="719"/>
      <c r="I76" s="24">
        <f t="shared" si="9"/>
        <v>1</v>
      </c>
      <c r="J76" s="719"/>
      <c r="K76" s="24">
        <f t="shared" si="10"/>
        <v>1</v>
      </c>
      <c r="L76" s="719"/>
      <c r="M76" s="24">
        <f t="shared" si="11"/>
        <v>1</v>
      </c>
      <c r="N76" s="719"/>
      <c r="O76" s="24">
        <f t="shared" si="12"/>
        <v>1</v>
      </c>
      <c r="P76" s="719"/>
      <c r="Q76" s="24">
        <f t="shared" si="13"/>
        <v>1</v>
      </c>
      <c r="R76" s="715">
        <f t="shared" si="14"/>
        <v>9310</v>
      </c>
      <c r="S76" s="360">
        <f t="shared" si="5"/>
        <v>33</v>
      </c>
    </row>
    <row r="77" spans="1:19">
      <c r="A77" s="158"/>
      <c r="B77" s="717">
        <f>车库清单!C56</f>
        <v>35.26</v>
      </c>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c r="Q77" s="24">
        <f t="shared" si="13"/>
        <v>1</v>
      </c>
      <c r="R77" s="715">
        <f t="shared" si="14"/>
        <v>9310</v>
      </c>
      <c r="S77" s="360">
        <f t="shared" si="5"/>
        <v>33</v>
      </c>
    </row>
    <row r="78" spans="1:19">
      <c r="A78" s="158"/>
      <c r="B78" s="717">
        <f>车库清单!C57</f>
        <v>35.26</v>
      </c>
      <c r="C78" s="24">
        <f t="shared" si="6"/>
        <v>1</v>
      </c>
      <c r="D78" s="719"/>
      <c r="E78" s="24">
        <f t="shared" si="7"/>
        <v>1</v>
      </c>
      <c r="F78" s="719"/>
      <c r="G78" s="24">
        <f t="shared" si="8"/>
        <v>1</v>
      </c>
      <c r="H78" s="719"/>
      <c r="I78" s="24">
        <f t="shared" si="9"/>
        <v>1</v>
      </c>
      <c r="J78" s="719"/>
      <c r="K78" s="24">
        <f t="shared" si="10"/>
        <v>1</v>
      </c>
      <c r="L78" s="719"/>
      <c r="M78" s="24">
        <f t="shared" si="11"/>
        <v>1</v>
      </c>
      <c r="N78" s="719"/>
      <c r="O78" s="24">
        <f t="shared" si="12"/>
        <v>1</v>
      </c>
      <c r="P78" s="719"/>
      <c r="Q78" s="24">
        <f t="shared" si="13"/>
        <v>1</v>
      </c>
      <c r="R78" s="715">
        <f t="shared" si="14"/>
        <v>9310</v>
      </c>
      <c r="S78" s="360">
        <f t="shared" si="5"/>
        <v>33</v>
      </c>
    </row>
    <row r="79" spans="1:19">
      <c r="A79" s="158"/>
      <c r="B79" s="717">
        <f>车库清单!C58</f>
        <v>35.26</v>
      </c>
      <c r="C79" s="24">
        <f t="shared" si="6"/>
        <v>1</v>
      </c>
      <c r="D79" s="719"/>
      <c r="E79" s="24">
        <f t="shared" si="7"/>
        <v>1</v>
      </c>
      <c r="F79" s="719"/>
      <c r="G79" s="24">
        <f t="shared" si="8"/>
        <v>1</v>
      </c>
      <c r="H79" s="719"/>
      <c r="I79" s="24">
        <f t="shared" si="9"/>
        <v>1</v>
      </c>
      <c r="J79" s="719"/>
      <c r="K79" s="24">
        <f t="shared" si="10"/>
        <v>1</v>
      </c>
      <c r="L79" s="719"/>
      <c r="M79" s="24">
        <f t="shared" si="11"/>
        <v>1</v>
      </c>
      <c r="N79" s="719"/>
      <c r="O79" s="24">
        <f t="shared" si="12"/>
        <v>1</v>
      </c>
      <c r="P79" s="719"/>
      <c r="Q79" s="24">
        <f t="shared" si="13"/>
        <v>1</v>
      </c>
      <c r="R79" s="715">
        <f t="shared" si="14"/>
        <v>9310</v>
      </c>
      <c r="S79" s="360">
        <f t="shared" si="5"/>
        <v>33</v>
      </c>
    </row>
    <row r="80" spans="1:19">
      <c r="A80" s="158"/>
      <c r="B80" s="717">
        <f>车库清单!C59</f>
        <v>35.26</v>
      </c>
      <c r="C80" s="24">
        <f t="shared" si="6"/>
        <v>1</v>
      </c>
      <c r="D80" s="719"/>
      <c r="E80" s="24">
        <f t="shared" si="7"/>
        <v>1</v>
      </c>
      <c r="F80" s="719"/>
      <c r="G80" s="24">
        <f t="shared" si="8"/>
        <v>1</v>
      </c>
      <c r="H80" s="719"/>
      <c r="I80" s="24">
        <f t="shared" si="9"/>
        <v>1</v>
      </c>
      <c r="J80" s="719"/>
      <c r="K80" s="24">
        <f t="shared" si="10"/>
        <v>1</v>
      </c>
      <c r="L80" s="719"/>
      <c r="M80" s="24">
        <f t="shared" si="11"/>
        <v>1</v>
      </c>
      <c r="N80" s="719"/>
      <c r="O80" s="24">
        <f t="shared" si="12"/>
        <v>1</v>
      </c>
      <c r="P80" s="719"/>
      <c r="Q80" s="24">
        <f t="shared" si="13"/>
        <v>1</v>
      </c>
      <c r="R80" s="715">
        <f t="shared" si="14"/>
        <v>9310</v>
      </c>
      <c r="S80" s="360">
        <f t="shared" si="5"/>
        <v>33</v>
      </c>
    </row>
    <row r="81" spans="1:19">
      <c r="A81" s="158"/>
      <c r="B81" s="717">
        <f>车库清单!C60</f>
        <v>35.26</v>
      </c>
      <c r="C81" s="24">
        <f t="shared" si="6"/>
        <v>1</v>
      </c>
      <c r="D81" s="719"/>
      <c r="E81" s="24">
        <f t="shared" si="7"/>
        <v>1</v>
      </c>
      <c r="F81" s="719"/>
      <c r="G81" s="24">
        <f t="shared" si="8"/>
        <v>1</v>
      </c>
      <c r="H81" s="719"/>
      <c r="I81" s="24">
        <f t="shared" si="9"/>
        <v>1</v>
      </c>
      <c r="J81" s="719"/>
      <c r="K81" s="24">
        <f t="shared" si="10"/>
        <v>1</v>
      </c>
      <c r="L81" s="719"/>
      <c r="M81" s="24">
        <f t="shared" si="11"/>
        <v>1</v>
      </c>
      <c r="N81" s="719"/>
      <c r="O81" s="24">
        <f t="shared" si="12"/>
        <v>1</v>
      </c>
      <c r="P81" s="719"/>
      <c r="Q81" s="24">
        <f t="shared" si="13"/>
        <v>1</v>
      </c>
      <c r="R81" s="715">
        <f t="shared" si="14"/>
        <v>9310</v>
      </c>
      <c r="S81" s="360">
        <f t="shared" si="5"/>
        <v>33</v>
      </c>
    </row>
    <row r="82" spans="1:19">
      <c r="A82" s="158"/>
      <c r="B82" s="717">
        <f>车库清单!C61</f>
        <v>35.26</v>
      </c>
      <c r="C82" s="24">
        <f t="shared" si="6"/>
        <v>1</v>
      </c>
      <c r="D82" s="719"/>
      <c r="E82" s="24">
        <f t="shared" si="7"/>
        <v>1</v>
      </c>
      <c r="F82" s="719"/>
      <c r="G82" s="24">
        <f t="shared" si="8"/>
        <v>1</v>
      </c>
      <c r="H82" s="719"/>
      <c r="I82" s="24">
        <f t="shared" si="9"/>
        <v>1</v>
      </c>
      <c r="J82" s="719"/>
      <c r="K82" s="24">
        <f t="shared" si="10"/>
        <v>1</v>
      </c>
      <c r="L82" s="719"/>
      <c r="M82" s="24">
        <f t="shared" si="11"/>
        <v>1</v>
      </c>
      <c r="N82" s="719"/>
      <c r="O82" s="24">
        <f t="shared" si="12"/>
        <v>1</v>
      </c>
      <c r="P82" s="719"/>
      <c r="Q82" s="24">
        <f t="shared" si="13"/>
        <v>1</v>
      </c>
      <c r="R82" s="715">
        <f t="shared" si="14"/>
        <v>9310</v>
      </c>
      <c r="S82" s="360">
        <f t="shared" si="5"/>
        <v>33</v>
      </c>
    </row>
    <row r="83" spans="1:19">
      <c r="A83" s="158"/>
      <c r="B83" s="717">
        <f>车库清单!C62</f>
        <v>35.26</v>
      </c>
      <c r="C83" s="24">
        <f t="shared" si="6"/>
        <v>1</v>
      </c>
      <c r="D83" s="719"/>
      <c r="E83" s="24">
        <f t="shared" si="7"/>
        <v>1</v>
      </c>
      <c r="F83" s="719"/>
      <c r="G83" s="24">
        <f t="shared" si="8"/>
        <v>1</v>
      </c>
      <c r="H83" s="719"/>
      <c r="I83" s="24">
        <f t="shared" si="9"/>
        <v>1</v>
      </c>
      <c r="J83" s="719"/>
      <c r="K83" s="24">
        <f t="shared" si="10"/>
        <v>1</v>
      </c>
      <c r="L83" s="719"/>
      <c r="M83" s="24">
        <f t="shared" si="11"/>
        <v>1</v>
      </c>
      <c r="N83" s="719"/>
      <c r="O83" s="24">
        <f t="shared" si="12"/>
        <v>1</v>
      </c>
      <c r="P83" s="719"/>
      <c r="Q83" s="24">
        <f t="shared" si="13"/>
        <v>1</v>
      </c>
      <c r="R83" s="715">
        <f t="shared" si="14"/>
        <v>9310</v>
      </c>
      <c r="S83" s="360">
        <f t="shared" si="5"/>
        <v>33</v>
      </c>
    </row>
    <row r="84" spans="1:19">
      <c r="A84" s="158"/>
      <c r="B84" s="717">
        <f>车库清单!C63</f>
        <v>35.26</v>
      </c>
      <c r="C84" s="24">
        <f t="shared" si="6"/>
        <v>1</v>
      </c>
      <c r="D84" s="719"/>
      <c r="E84" s="24">
        <f t="shared" si="7"/>
        <v>1</v>
      </c>
      <c r="F84" s="719"/>
      <c r="G84" s="24">
        <f t="shared" si="8"/>
        <v>1</v>
      </c>
      <c r="H84" s="719"/>
      <c r="I84" s="24">
        <f t="shared" si="9"/>
        <v>1</v>
      </c>
      <c r="J84" s="719"/>
      <c r="K84" s="24">
        <f t="shared" si="10"/>
        <v>1</v>
      </c>
      <c r="L84" s="719"/>
      <c r="M84" s="24">
        <f t="shared" si="11"/>
        <v>1</v>
      </c>
      <c r="N84" s="719"/>
      <c r="O84" s="24">
        <f t="shared" si="12"/>
        <v>1</v>
      </c>
      <c r="P84" s="719"/>
      <c r="Q84" s="24">
        <f t="shared" si="13"/>
        <v>1</v>
      </c>
      <c r="R84" s="715">
        <f t="shared" si="14"/>
        <v>9310</v>
      </c>
      <c r="S84" s="360">
        <f t="shared" si="5"/>
        <v>33</v>
      </c>
    </row>
    <row r="85" spans="1:19">
      <c r="A85" s="158"/>
      <c r="B85" s="717">
        <f>车库清单!C64</f>
        <v>35.26</v>
      </c>
      <c r="C85" s="24">
        <f t="shared" si="6"/>
        <v>1</v>
      </c>
      <c r="D85" s="719"/>
      <c r="E85" s="24">
        <f t="shared" si="7"/>
        <v>1</v>
      </c>
      <c r="F85" s="719"/>
      <c r="G85" s="24">
        <f t="shared" si="8"/>
        <v>1</v>
      </c>
      <c r="H85" s="719"/>
      <c r="I85" s="24">
        <f t="shared" si="9"/>
        <v>1</v>
      </c>
      <c r="J85" s="719"/>
      <c r="K85" s="24">
        <f t="shared" si="10"/>
        <v>1</v>
      </c>
      <c r="L85" s="719"/>
      <c r="M85" s="24">
        <f t="shared" si="11"/>
        <v>1</v>
      </c>
      <c r="N85" s="719"/>
      <c r="O85" s="24">
        <f t="shared" si="12"/>
        <v>1</v>
      </c>
      <c r="P85" s="719"/>
      <c r="Q85" s="24">
        <f t="shared" si="13"/>
        <v>1</v>
      </c>
      <c r="R85" s="715">
        <f t="shared" si="14"/>
        <v>9310</v>
      </c>
      <c r="S85" s="360">
        <f t="shared" si="5"/>
        <v>33</v>
      </c>
    </row>
    <row r="86" spans="1:19">
      <c r="A86" s="158"/>
      <c r="B86" s="717">
        <f>车库清单!C65</f>
        <v>35.26</v>
      </c>
      <c r="C86" s="24">
        <f t="shared" si="6"/>
        <v>1</v>
      </c>
      <c r="D86" s="719"/>
      <c r="E86" s="24">
        <f t="shared" si="7"/>
        <v>1</v>
      </c>
      <c r="F86" s="719"/>
      <c r="G86" s="24">
        <f t="shared" si="8"/>
        <v>1</v>
      </c>
      <c r="H86" s="719"/>
      <c r="I86" s="24">
        <f t="shared" si="9"/>
        <v>1</v>
      </c>
      <c r="J86" s="719"/>
      <c r="K86" s="24">
        <f t="shared" si="10"/>
        <v>1</v>
      </c>
      <c r="L86" s="719"/>
      <c r="M86" s="24">
        <f t="shared" si="11"/>
        <v>1</v>
      </c>
      <c r="N86" s="719"/>
      <c r="O86" s="24">
        <f t="shared" si="12"/>
        <v>1</v>
      </c>
      <c r="P86" s="719"/>
      <c r="Q86" s="24">
        <f t="shared" si="13"/>
        <v>1</v>
      </c>
      <c r="R86" s="715">
        <f t="shared" si="14"/>
        <v>9310</v>
      </c>
      <c r="S86" s="360">
        <f t="shared" si="5"/>
        <v>33</v>
      </c>
    </row>
    <row r="87" spans="1:19">
      <c r="A87" s="158"/>
      <c r="B87" s="717">
        <f>车库清单!C66</f>
        <v>35.26</v>
      </c>
      <c r="C87" s="24">
        <f t="shared" si="6"/>
        <v>1</v>
      </c>
      <c r="D87" s="719"/>
      <c r="E87" s="24">
        <f t="shared" si="7"/>
        <v>1</v>
      </c>
      <c r="F87" s="719"/>
      <c r="G87" s="24">
        <f t="shared" si="8"/>
        <v>1</v>
      </c>
      <c r="H87" s="719"/>
      <c r="I87" s="24">
        <f t="shared" si="9"/>
        <v>1</v>
      </c>
      <c r="J87" s="719"/>
      <c r="K87" s="24">
        <f t="shared" si="10"/>
        <v>1</v>
      </c>
      <c r="L87" s="719"/>
      <c r="M87" s="24">
        <f t="shared" si="11"/>
        <v>1</v>
      </c>
      <c r="N87" s="719"/>
      <c r="O87" s="24">
        <f t="shared" si="12"/>
        <v>1</v>
      </c>
      <c r="P87" s="719"/>
      <c r="Q87" s="24">
        <f t="shared" si="13"/>
        <v>1</v>
      </c>
      <c r="R87" s="715">
        <f t="shared" si="14"/>
        <v>9310</v>
      </c>
      <c r="S87" s="360">
        <f t="shared" si="5"/>
        <v>33</v>
      </c>
    </row>
    <row r="88" spans="1:19">
      <c r="A88" s="158"/>
      <c r="B88" s="717">
        <f>车库清单!C67</f>
        <v>35.26</v>
      </c>
      <c r="C88" s="24">
        <f t="shared" si="6"/>
        <v>1</v>
      </c>
      <c r="D88" s="719"/>
      <c r="E88" s="24">
        <f t="shared" si="7"/>
        <v>1</v>
      </c>
      <c r="F88" s="719"/>
      <c r="G88" s="24">
        <f t="shared" si="8"/>
        <v>1</v>
      </c>
      <c r="H88" s="719"/>
      <c r="I88" s="24">
        <f t="shared" si="9"/>
        <v>1</v>
      </c>
      <c r="J88" s="719"/>
      <c r="K88" s="24">
        <f t="shared" si="10"/>
        <v>1</v>
      </c>
      <c r="L88" s="719"/>
      <c r="M88" s="24">
        <f t="shared" si="11"/>
        <v>1</v>
      </c>
      <c r="N88" s="719"/>
      <c r="O88" s="24">
        <f t="shared" si="12"/>
        <v>1</v>
      </c>
      <c r="P88" s="719"/>
      <c r="Q88" s="24">
        <f t="shared" si="13"/>
        <v>1</v>
      </c>
      <c r="R88" s="715">
        <f t="shared" si="14"/>
        <v>9310</v>
      </c>
      <c r="S88" s="360">
        <f t="shared" ref="S88:S151" si="15">ROUND(R88*B88/10000,0)</f>
        <v>33</v>
      </c>
    </row>
    <row r="89" spans="1:19">
      <c r="A89" s="158"/>
      <c r="B89" s="717">
        <f>车库清单!C68</f>
        <v>35.26</v>
      </c>
      <c r="C89" s="24">
        <f t="shared" si="6"/>
        <v>1</v>
      </c>
      <c r="D89" s="719"/>
      <c r="E89" s="24">
        <f t="shared" si="7"/>
        <v>1</v>
      </c>
      <c r="F89" s="719"/>
      <c r="G89" s="24">
        <f t="shared" si="8"/>
        <v>1</v>
      </c>
      <c r="H89" s="719"/>
      <c r="I89" s="24">
        <f t="shared" si="9"/>
        <v>1</v>
      </c>
      <c r="J89" s="719"/>
      <c r="K89" s="24">
        <f t="shared" si="10"/>
        <v>1</v>
      </c>
      <c r="L89" s="719"/>
      <c r="M89" s="24">
        <f t="shared" si="11"/>
        <v>1</v>
      </c>
      <c r="N89" s="719"/>
      <c r="O89" s="24">
        <f t="shared" si="12"/>
        <v>1</v>
      </c>
      <c r="P89" s="719"/>
      <c r="Q89" s="24">
        <f t="shared" si="13"/>
        <v>1</v>
      </c>
      <c r="R89" s="715">
        <f t="shared" si="14"/>
        <v>9310</v>
      </c>
      <c r="S89" s="360">
        <f t="shared" si="15"/>
        <v>33</v>
      </c>
    </row>
    <row r="90" spans="1:19">
      <c r="A90" s="158"/>
      <c r="B90" s="717">
        <f>车库清单!C69</f>
        <v>35.26</v>
      </c>
      <c r="C90" s="24">
        <f t="shared" ref="C90:C153" si="16">IF(B90="",1,(LOOKUP(B90,$3:$3,$4:$4)-LOOKUP($B$24,$3:$3,$4:$4)+100)/100)</f>
        <v>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9310</v>
      </c>
      <c r="S90" s="360">
        <f t="shared" si="15"/>
        <v>33</v>
      </c>
    </row>
    <row r="91" spans="1:19">
      <c r="A91" s="158"/>
      <c r="B91" s="717">
        <f>车库清单!C70</f>
        <v>35.26</v>
      </c>
      <c r="C91" s="24">
        <f t="shared" si="16"/>
        <v>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c r="Q91" s="24">
        <f t="shared" si="23"/>
        <v>1</v>
      </c>
      <c r="R91" s="715">
        <f t="shared" si="24"/>
        <v>9310</v>
      </c>
      <c r="S91" s="360">
        <f t="shared" si="15"/>
        <v>33</v>
      </c>
    </row>
    <row r="92" spans="1:19">
      <c r="A92" s="158"/>
      <c r="B92" s="717">
        <f>车库清单!C71</f>
        <v>35.26</v>
      </c>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c r="Q92" s="24">
        <f t="shared" si="23"/>
        <v>1</v>
      </c>
      <c r="R92" s="715">
        <f t="shared" si="24"/>
        <v>9310</v>
      </c>
      <c r="S92" s="360">
        <f t="shared" si="15"/>
        <v>33</v>
      </c>
    </row>
    <row r="93" spans="1:19">
      <c r="A93" s="158"/>
      <c r="B93" s="717">
        <f>车库清单!C72</f>
        <v>35.26</v>
      </c>
      <c r="C93" s="24">
        <f t="shared" si="16"/>
        <v>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c r="Q93" s="24">
        <f t="shared" si="23"/>
        <v>1</v>
      </c>
      <c r="R93" s="715">
        <f t="shared" si="24"/>
        <v>9310</v>
      </c>
      <c r="S93" s="360">
        <f t="shared" si="15"/>
        <v>33</v>
      </c>
    </row>
    <row r="94" spans="1:19">
      <c r="A94" s="158"/>
      <c r="B94" s="717">
        <f>车库清单!C73</f>
        <v>35.26</v>
      </c>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c r="Q94" s="24">
        <f t="shared" si="23"/>
        <v>1</v>
      </c>
      <c r="R94" s="715">
        <f t="shared" si="24"/>
        <v>9310</v>
      </c>
      <c r="S94" s="360">
        <f t="shared" si="15"/>
        <v>33</v>
      </c>
    </row>
    <row r="95" spans="1:19">
      <c r="A95" s="158"/>
      <c r="B95" s="717">
        <f>车库清单!C74</f>
        <v>35.26</v>
      </c>
      <c r="C95" s="24">
        <f t="shared" si="16"/>
        <v>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c r="Q95" s="24">
        <f t="shared" si="23"/>
        <v>1</v>
      </c>
      <c r="R95" s="715">
        <f t="shared" si="24"/>
        <v>9310</v>
      </c>
      <c r="S95" s="360">
        <f t="shared" si="15"/>
        <v>33</v>
      </c>
    </row>
    <row r="96" spans="1:19">
      <c r="A96" s="158"/>
      <c r="B96" s="717">
        <f>车库清单!C75</f>
        <v>35.26</v>
      </c>
      <c r="C96" s="24">
        <f t="shared" si="16"/>
        <v>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c r="Q96" s="24">
        <f t="shared" si="23"/>
        <v>1</v>
      </c>
      <c r="R96" s="715">
        <f t="shared" si="24"/>
        <v>9310</v>
      </c>
      <c r="S96" s="360">
        <f t="shared" si="15"/>
        <v>33</v>
      </c>
    </row>
    <row r="97" spans="1:19">
      <c r="A97" s="158"/>
      <c r="B97" s="717">
        <f>车库清单!C76</f>
        <v>35.26</v>
      </c>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c r="Q97" s="24">
        <f t="shared" si="23"/>
        <v>1</v>
      </c>
      <c r="R97" s="715">
        <f t="shared" si="24"/>
        <v>9310</v>
      </c>
      <c r="S97" s="360">
        <f t="shared" si="15"/>
        <v>33</v>
      </c>
    </row>
    <row r="98" spans="1:19">
      <c r="A98" s="158"/>
      <c r="B98" s="717">
        <f>车库清单!C77</f>
        <v>35.26</v>
      </c>
      <c r="C98" s="24">
        <f t="shared" si="16"/>
        <v>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c r="Q98" s="24">
        <f t="shared" si="23"/>
        <v>1</v>
      </c>
      <c r="R98" s="715">
        <f t="shared" si="24"/>
        <v>9310</v>
      </c>
      <c r="S98" s="360">
        <f t="shared" si="15"/>
        <v>33</v>
      </c>
    </row>
    <row r="99" spans="1:19">
      <c r="A99" s="158"/>
      <c r="B99" s="717">
        <f>车库清单!C78</f>
        <v>35.26</v>
      </c>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c r="Q99" s="24">
        <f t="shared" si="23"/>
        <v>1</v>
      </c>
      <c r="R99" s="715">
        <f t="shared" si="24"/>
        <v>9310</v>
      </c>
      <c r="S99" s="360">
        <f t="shared" si="15"/>
        <v>33</v>
      </c>
    </row>
    <row r="100" spans="1:19">
      <c r="A100" s="158"/>
      <c r="B100" s="717">
        <f>车库清单!C79</f>
        <v>35.26</v>
      </c>
      <c r="C100" s="24">
        <f t="shared" si="16"/>
        <v>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c r="Q100" s="24">
        <f t="shared" si="23"/>
        <v>1</v>
      </c>
      <c r="R100" s="715">
        <f t="shared" si="24"/>
        <v>9310</v>
      </c>
      <c r="S100" s="360">
        <f t="shared" si="15"/>
        <v>33</v>
      </c>
    </row>
    <row r="101" spans="1:19">
      <c r="A101" s="158"/>
      <c r="B101" s="717">
        <f>车库清单!C80</f>
        <v>35.26</v>
      </c>
      <c r="C101" s="24">
        <f t="shared" si="16"/>
        <v>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c r="Q101" s="24">
        <f t="shared" si="23"/>
        <v>1</v>
      </c>
      <c r="R101" s="715">
        <f t="shared" si="24"/>
        <v>9310</v>
      </c>
      <c r="S101" s="360">
        <f t="shared" si="15"/>
        <v>33</v>
      </c>
    </row>
    <row r="102" spans="1:19">
      <c r="A102" s="158"/>
      <c r="B102" s="717">
        <f>车库清单!C81</f>
        <v>35.26</v>
      </c>
      <c r="C102" s="24">
        <f t="shared" si="16"/>
        <v>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c r="Q102" s="24">
        <f t="shared" si="23"/>
        <v>1</v>
      </c>
      <c r="R102" s="715">
        <f t="shared" si="24"/>
        <v>9310</v>
      </c>
      <c r="S102" s="360">
        <f t="shared" si="15"/>
        <v>33</v>
      </c>
    </row>
    <row r="103" spans="1:19">
      <c r="A103" s="158"/>
      <c r="B103" s="717">
        <f>车库清单!C82</f>
        <v>35.26</v>
      </c>
      <c r="C103" s="24">
        <f t="shared" si="16"/>
        <v>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c r="Q103" s="24">
        <f t="shared" si="23"/>
        <v>1</v>
      </c>
      <c r="R103" s="715">
        <f t="shared" si="24"/>
        <v>9310</v>
      </c>
      <c r="S103" s="360">
        <f t="shared" si="15"/>
        <v>33</v>
      </c>
    </row>
    <row r="104" spans="1:19">
      <c r="A104" s="158"/>
      <c r="B104" s="717">
        <f>车库清单!C83</f>
        <v>35.26</v>
      </c>
      <c r="C104" s="24">
        <f t="shared" si="16"/>
        <v>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c r="Q104" s="24">
        <f t="shared" si="23"/>
        <v>1</v>
      </c>
      <c r="R104" s="715">
        <f t="shared" si="24"/>
        <v>9310</v>
      </c>
      <c r="S104" s="360">
        <f t="shared" si="15"/>
        <v>33</v>
      </c>
    </row>
    <row r="105" spans="1:19">
      <c r="A105" s="158"/>
      <c r="B105" s="717">
        <f>车库清单!C84</f>
        <v>35.26</v>
      </c>
      <c r="C105" s="24">
        <f t="shared" si="16"/>
        <v>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c r="Q105" s="24">
        <f t="shared" si="23"/>
        <v>1</v>
      </c>
      <c r="R105" s="715">
        <f t="shared" si="24"/>
        <v>9310</v>
      </c>
      <c r="S105" s="360">
        <f t="shared" si="15"/>
        <v>33</v>
      </c>
    </row>
    <row r="106" spans="1:19">
      <c r="A106" s="158"/>
      <c r="B106" s="717">
        <f>车库清单!C85</f>
        <v>35.26</v>
      </c>
      <c r="C106" s="24">
        <f t="shared" si="16"/>
        <v>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c r="Q106" s="24">
        <f t="shared" si="23"/>
        <v>1</v>
      </c>
      <c r="R106" s="715">
        <f t="shared" si="24"/>
        <v>9310</v>
      </c>
      <c r="S106" s="360">
        <f t="shared" si="15"/>
        <v>33</v>
      </c>
    </row>
    <row r="107" spans="1:19">
      <c r="A107" s="158"/>
      <c r="B107" s="717">
        <f>车库清单!C86</f>
        <v>35.26</v>
      </c>
      <c r="C107" s="24">
        <f t="shared" si="16"/>
        <v>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c r="Q107" s="24">
        <f t="shared" si="23"/>
        <v>1</v>
      </c>
      <c r="R107" s="715">
        <f t="shared" si="24"/>
        <v>9310</v>
      </c>
      <c r="S107" s="360">
        <f t="shared" si="15"/>
        <v>33</v>
      </c>
    </row>
    <row r="108" spans="1:19">
      <c r="A108" s="158"/>
      <c r="B108" s="717">
        <f>车库清单!C87</f>
        <v>35.26</v>
      </c>
      <c r="C108" s="24">
        <f t="shared" si="16"/>
        <v>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c r="Q108" s="24">
        <f t="shared" si="23"/>
        <v>1</v>
      </c>
      <c r="R108" s="715">
        <f t="shared" si="24"/>
        <v>9310</v>
      </c>
      <c r="S108" s="360">
        <f t="shared" si="15"/>
        <v>33</v>
      </c>
    </row>
    <row r="109" spans="1:19">
      <c r="A109" s="158"/>
      <c r="B109" s="717">
        <f>车库清单!C88</f>
        <v>32.32</v>
      </c>
      <c r="C109" s="24">
        <f t="shared" si="16"/>
        <v>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c r="Q109" s="24">
        <f t="shared" si="23"/>
        <v>1</v>
      </c>
      <c r="R109" s="715">
        <f t="shared" si="24"/>
        <v>9310</v>
      </c>
      <c r="S109" s="360">
        <f t="shared" si="15"/>
        <v>30</v>
      </c>
    </row>
    <row r="110" spans="1:19">
      <c r="A110" s="158"/>
      <c r="B110" s="717">
        <f>车库清单!C89</f>
        <v>35.26</v>
      </c>
      <c r="C110" s="24">
        <f t="shared" si="16"/>
        <v>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c r="Q110" s="24">
        <f t="shared" si="23"/>
        <v>1</v>
      </c>
      <c r="R110" s="715">
        <f t="shared" si="24"/>
        <v>9310</v>
      </c>
      <c r="S110" s="360">
        <f t="shared" si="15"/>
        <v>33</v>
      </c>
    </row>
    <row r="111" spans="1:19">
      <c r="A111" s="158"/>
      <c r="B111" s="717">
        <f>车库清单!C90</f>
        <v>35.26</v>
      </c>
      <c r="C111" s="24">
        <f t="shared" si="16"/>
        <v>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c r="Q111" s="24">
        <f t="shared" si="23"/>
        <v>1</v>
      </c>
      <c r="R111" s="715">
        <f t="shared" si="24"/>
        <v>9310</v>
      </c>
      <c r="S111" s="360">
        <f t="shared" si="15"/>
        <v>33</v>
      </c>
    </row>
    <row r="112" spans="1:19">
      <c r="A112" s="158"/>
      <c r="B112" s="717">
        <f>车库清单!C91</f>
        <v>35.26</v>
      </c>
      <c r="C112" s="24">
        <f t="shared" si="16"/>
        <v>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c r="Q112" s="24">
        <f t="shared" si="23"/>
        <v>1</v>
      </c>
      <c r="R112" s="715">
        <f t="shared" si="24"/>
        <v>9310</v>
      </c>
      <c r="S112" s="360">
        <f t="shared" si="15"/>
        <v>33</v>
      </c>
    </row>
    <row r="113" spans="1:19">
      <c r="A113" s="158"/>
      <c r="B113" s="717">
        <f>车库清单!C92</f>
        <v>35.26</v>
      </c>
      <c r="C113" s="24">
        <f t="shared" si="16"/>
        <v>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c r="Q113" s="24">
        <f t="shared" si="23"/>
        <v>1</v>
      </c>
      <c r="R113" s="715">
        <f t="shared" si="24"/>
        <v>9310</v>
      </c>
      <c r="S113" s="360">
        <f t="shared" si="15"/>
        <v>33</v>
      </c>
    </row>
    <row r="114" spans="1:19">
      <c r="A114" s="158"/>
      <c r="B114" s="717">
        <f>车库清单!C93</f>
        <v>35.26</v>
      </c>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c r="Q114" s="24">
        <f t="shared" si="23"/>
        <v>1</v>
      </c>
      <c r="R114" s="715">
        <f t="shared" si="24"/>
        <v>9310</v>
      </c>
      <c r="S114" s="360">
        <f t="shared" si="15"/>
        <v>33</v>
      </c>
    </row>
    <row r="115" spans="1:19">
      <c r="A115" s="158"/>
      <c r="B115" s="717">
        <f>车库清单!C94</f>
        <v>35.26</v>
      </c>
      <c r="C115" s="24">
        <f t="shared" si="16"/>
        <v>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c r="Q115" s="24">
        <f t="shared" si="23"/>
        <v>1</v>
      </c>
      <c r="R115" s="715">
        <f t="shared" si="24"/>
        <v>9310</v>
      </c>
      <c r="S115" s="360">
        <f t="shared" si="15"/>
        <v>33</v>
      </c>
    </row>
    <row r="116" spans="1:19">
      <c r="A116" s="158"/>
      <c r="B116" s="717">
        <f>车库清单!C95</f>
        <v>35.26</v>
      </c>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c r="Q116" s="24">
        <f t="shared" si="23"/>
        <v>1</v>
      </c>
      <c r="R116" s="715">
        <f t="shared" si="24"/>
        <v>9310</v>
      </c>
      <c r="S116" s="360">
        <f t="shared" si="15"/>
        <v>33</v>
      </c>
    </row>
    <row r="117" spans="1:19">
      <c r="A117" s="158"/>
      <c r="B117" s="717">
        <f>车库清单!C96</f>
        <v>35.26</v>
      </c>
      <c r="C117" s="24">
        <f t="shared" si="16"/>
        <v>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c r="Q117" s="24">
        <f t="shared" si="23"/>
        <v>1</v>
      </c>
      <c r="R117" s="715">
        <f t="shared" si="24"/>
        <v>9310</v>
      </c>
      <c r="S117" s="360">
        <f t="shared" si="15"/>
        <v>33</v>
      </c>
    </row>
    <row r="118" spans="1:19">
      <c r="A118" s="158"/>
      <c r="B118" s="717">
        <f>车库清单!C97</f>
        <v>35.26</v>
      </c>
      <c r="C118" s="24">
        <f t="shared" si="16"/>
        <v>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c r="Q118" s="24">
        <f t="shared" si="23"/>
        <v>1</v>
      </c>
      <c r="R118" s="715">
        <f t="shared" si="24"/>
        <v>9310</v>
      </c>
      <c r="S118" s="360">
        <f t="shared" si="15"/>
        <v>33</v>
      </c>
    </row>
    <row r="119" spans="1:19">
      <c r="A119" s="158"/>
      <c r="B119" s="717">
        <f>车库清单!C98</f>
        <v>35.26</v>
      </c>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c r="Q119" s="24">
        <f t="shared" si="23"/>
        <v>1</v>
      </c>
      <c r="R119" s="715">
        <f t="shared" si="24"/>
        <v>9310</v>
      </c>
      <c r="S119" s="360">
        <f t="shared" si="15"/>
        <v>33</v>
      </c>
    </row>
    <row r="120" spans="1:19">
      <c r="A120" s="158"/>
      <c r="B120" s="717">
        <f>车库清单!C99</f>
        <v>35.26</v>
      </c>
      <c r="C120" s="24">
        <f t="shared" si="16"/>
        <v>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c r="Q120" s="24">
        <f t="shared" si="23"/>
        <v>1</v>
      </c>
      <c r="R120" s="715">
        <f t="shared" si="24"/>
        <v>9310</v>
      </c>
      <c r="S120" s="360">
        <f t="shared" si="15"/>
        <v>33</v>
      </c>
    </row>
    <row r="121" spans="1:19">
      <c r="A121" s="158"/>
      <c r="B121" s="717">
        <f>车库清单!C100</f>
        <v>35.26</v>
      </c>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c r="Q121" s="24">
        <f t="shared" si="23"/>
        <v>1</v>
      </c>
      <c r="R121" s="715">
        <f t="shared" si="24"/>
        <v>9310</v>
      </c>
      <c r="S121" s="360">
        <f t="shared" si="15"/>
        <v>33</v>
      </c>
    </row>
    <row r="122" spans="1:19">
      <c r="A122" s="158"/>
      <c r="B122" s="717">
        <f>车库清单!C101</f>
        <v>35.26</v>
      </c>
      <c r="C122" s="24">
        <f t="shared" si="16"/>
        <v>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c r="Q122" s="24">
        <f t="shared" si="23"/>
        <v>1</v>
      </c>
      <c r="R122" s="715">
        <f t="shared" si="24"/>
        <v>9310</v>
      </c>
      <c r="S122" s="360">
        <f t="shared" si="15"/>
        <v>33</v>
      </c>
    </row>
    <row r="123" spans="1:19">
      <c r="A123" s="158"/>
      <c r="B123" s="717">
        <f>车库清单!C102</f>
        <v>35.26</v>
      </c>
      <c r="C123" s="24">
        <f t="shared" si="16"/>
        <v>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c r="Q123" s="24">
        <f t="shared" si="23"/>
        <v>1</v>
      </c>
      <c r="R123" s="715">
        <f t="shared" si="24"/>
        <v>9310</v>
      </c>
      <c r="S123" s="360">
        <f t="shared" si="15"/>
        <v>33</v>
      </c>
    </row>
    <row r="124" spans="1:19">
      <c r="A124" s="158"/>
      <c r="B124" s="717">
        <f>车库清单!C103</f>
        <v>35.26</v>
      </c>
      <c r="C124" s="24">
        <f t="shared" si="16"/>
        <v>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c r="Q124" s="24">
        <f t="shared" si="23"/>
        <v>1</v>
      </c>
      <c r="R124" s="715">
        <f t="shared" si="24"/>
        <v>9310</v>
      </c>
      <c r="S124" s="360">
        <f t="shared" si="15"/>
        <v>33</v>
      </c>
    </row>
    <row r="125" spans="1:19">
      <c r="A125" s="158"/>
      <c r="B125" s="717"/>
      <c r="C125" s="24">
        <f t="shared" si="16"/>
        <v>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717"/>
      <c r="C126" s="24">
        <f t="shared" si="16"/>
        <v>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717"/>
      <c r="C127" s="24">
        <f t="shared" si="16"/>
        <v>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717"/>
      <c r="C128" s="24">
        <f t="shared" si="16"/>
        <v>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717"/>
      <c r="C129" s="24">
        <f t="shared" si="16"/>
        <v>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717"/>
      <c r="C130" s="24">
        <f t="shared" si="16"/>
        <v>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717"/>
      <c r="C131" s="24">
        <f t="shared" si="16"/>
        <v>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717"/>
      <c r="C132" s="24">
        <f t="shared" si="16"/>
        <v>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717"/>
      <c r="C133" s="24">
        <f t="shared" si="16"/>
        <v>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717"/>
      <c r="C134" s="24">
        <f t="shared" si="16"/>
        <v>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717"/>
      <c r="C135" s="24">
        <f t="shared" si="16"/>
        <v>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717"/>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717"/>
      <c r="C137" s="24">
        <f t="shared" si="16"/>
        <v>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717"/>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717"/>
      <c r="C139" s="24">
        <f t="shared" si="16"/>
        <v>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717"/>
      <c r="C140" s="24">
        <f t="shared" si="16"/>
        <v>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717"/>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717"/>
      <c r="C142" s="24">
        <f t="shared" si="16"/>
        <v>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717"/>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717"/>
      <c r="C144" s="24">
        <f t="shared" si="16"/>
        <v>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717"/>
      <c r="C145" s="24">
        <f t="shared" si="16"/>
        <v>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717"/>
      <c r="C146" s="24">
        <f t="shared" si="16"/>
        <v>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717"/>
      <c r="C147" s="24">
        <f t="shared" si="16"/>
        <v>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717"/>
      <c r="C148" s="24">
        <f t="shared" si="16"/>
        <v>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717"/>
      <c r="C149" s="24">
        <f t="shared" si="16"/>
        <v>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717"/>
      <c r="C150" s="24">
        <f t="shared" si="16"/>
        <v>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717"/>
      <c r="C151" s="24">
        <f t="shared" si="16"/>
        <v>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717"/>
      <c r="C152" s="24">
        <f t="shared" si="16"/>
        <v>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717"/>
      <c r="C153" s="24">
        <f t="shared" si="16"/>
        <v>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717"/>
      <c r="C154" s="24">
        <f t="shared" ref="C154:C217" si="26">IF(B154="",1,(LOOKUP(B154,$3:$3,$4:$4)-LOOKUP($B$24,$3:$3,$4:$4)+100)/100)</f>
        <v>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717"/>
      <c r="C155" s="24">
        <f t="shared" si="26"/>
        <v>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717"/>
      <c r="C156" s="24">
        <f t="shared" si="26"/>
        <v>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717"/>
      <c r="C157" s="24">
        <f t="shared" si="26"/>
        <v>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717"/>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717"/>
      <c r="C159" s="24">
        <f t="shared" si="26"/>
        <v>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717"/>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717"/>
      <c r="C161" s="24">
        <f t="shared" si="26"/>
        <v>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717"/>
      <c r="C162" s="24">
        <f t="shared" si="26"/>
        <v>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717"/>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717"/>
      <c r="C164" s="24">
        <f t="shared" si="26"/>
        <v>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717"/>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717"/>
      <c r="C166" s="24">
        <f t="shared" si="26"/>
        <v>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717"/>
      <c r="C167" s="24">
        <f t="shared" si="26"/>
        <v>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717"/>
      <c r="C168" s="24">
        <f t="shared" si="26"/>
        <v>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717"/>
      <c r="C169" s="24">
        <f t="shared" si="26"/>
        <v>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717"/>
      <c r="C170" s="24">
        <f t="shared" si="26"/>
        <v>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717"/>
      <c r="C171" s="24">
        <f t="shared" si="26"/>
        <v>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717"/>
      <c r="C172" s="24">
        <f t="shared" si="26"/>
        <v>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717"/>
      <c r="C173" s="24">
        <f t="shared" si="26"/>
        <v>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717"/>
      <c r="C174" s="24">
        <f t="shared" si="26"/>
        <v>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717"/>
      <c r="C175" s="24">
        <f t="shared" si="26"/>
        <v>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717"/>
      <c r="C176" s="24">
        <f t="shared" si="26"/>
        <v>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717"/>
      <c r="C177" s="24">
        <f t="shared" si="26"/>
        <v>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717"/>
      <c r="C178" s="24">
        <f t="shared" si="26"/>
        <v>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717"/>
      <c r="C179" s="24">
        <f t="shared" si="26"/>
        <v>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717"/>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717"/>
      <c r="C181" s="24">
        <f t="shared" si="26"/>
        <v>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717"/>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717"/>
      <c r="C183" s="24">
        <f t="shared" si="26"/>
        <v>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717"/>
      <c r="C184" s="24">
        <f t="shared" si="26"/>
        <v>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717"/>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717"/>
      <c r="C186" s="24">
        <f t="shared" si="26"/>
        <v>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717"/>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717"/>
      <c r="C188" s="24">
        <f t="shared" si="26"/>
        <v>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717"/>
      <c r="C189" s="24">
        <f t="shared" si="26"/>
        <v>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717"/>
      <c r="C190" s="24">
        <f t="shared" si="26"/>
        <v>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717"/>
      <c r="C191" s="24">
        <f t="shared" si="26"/>
        <v>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717"/>
      <c r="C192" s="24">
        <f t="shared" si="26"/>
        <v>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717"/>
      <c r="C193" s="24">
        <f t="shared" si="26"/>
        <v>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717"/>
      <c r="C194" s="24">
        <f t="shared" si="26"/>
        <v>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717"/>
      <c r="C195" s="24">
        <f t="shared" si="26"/>
        <v>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717"/>
      <c r="C196" s="24">
        <f t="shared" si="26"/>
        <v>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717"/>
      <c r="C197" s="24">
        <f t="shared" si="26"/>
        <v>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717"/>
      <c r="C198" s="24">
        <f t="shared" si="26"/>
        <v>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717"/>
      <c r="C199" s="24">
        <f t="shared" si="26"/>
        <v>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717"/>
      <c r="C200" s="24">
        <f t="shared" si="26"/>
        <v>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717"/>
      <c r="C201" s="24">
        <f t="shared" si="26"/>
        <v>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717"/>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717"/>
      <c r="C203" s="24">
        <f t="shared" si="26"/>
        <v>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717"/>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717"/>
      <c r="C205" s="24">
        <f t="shared" si="26"/>
        <v>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717"/>
      <c r="C206" s="24">
        <f t="shared" si="26"/>
        <v>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717"/>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717"/>
      <c r="C208" s="24">
        <f t="shared" si="26"/>
        <v>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717"/>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717"/>
      <c r="C210" s="24">
        <f t="shared" si="26"/>
        <v>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717"/>
      <c r="C211" s="24">
        <f t="shared" si="26"/>
        <v>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717"/>
      <c r="C212" s="24">
        <f t="shared" si="26"/>
        <v>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717"/>
      <c r="C213" s="24">
        <f t="shared" si="26"/>
        <v>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717"/>
      <c r="C214" s="24">
        <f t="shared" si="26"/>
        <v>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717"/>
      <c r="C215" s="24">
        <f t="shared" si="26"/>
        <v>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717"/>
      <c r="C216" s="24">
        <f t="shared" si="26"/>
        <v>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717"/>
      <c r="C217" s="24">
        <f t="shared" si="26"/>
        <v>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717"/>
      <c r="C218" s="24">
        <f t="shared" ref="C218:C281" si="36">IF(B218="",1,(LOOKUP(B218,$3:$3,$4:$4)-LOOKUP($B$24,$3:$3,$4:$4)+100)/100)</f>
        <v>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717"/>
      <c r="C219" s="24">
        <f t="shared" si="36"/>
        <v>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717"/>
      <c r="C220" s="24">
        <f t="shared" si="36"/>
        <v>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717"/>
      <c r="C221" s="24">
        <f t="shared" si="36"/>
        <v>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717"/>
      <c r="C222" s="24">
        <f t="shared" si="36"/>
        <v>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717"/>
      <c r="C223" s="24">
        <f t="shared" si="36"/>
        <v>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717"/>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717"/>
      <c r="C225" s="24">
        <f t="shared" si="36"/>
        <v>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717"/>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717"/>
      <c r="C227" s="24">
        <f t="shared" si="36"/>
        <v>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717"/>
      <c r="C228" s="24">
        <f t="shared" si="36"/>
        <v>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717"/>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717"/>
      <c r="C230" s="24">
        <f t="shared" si="36"/>
        <v>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717"/>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717"/>
      <c r="C232" s="24">
        <f t="shared" si="36"/>
        <v>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717"/>
      <c r="C233" s="24">
        <f t="shared" si="36"/>
        <v>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717"/>
      <c r="C234" s="24">
        <f t="shared" si="36"/>
        <v>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717"/>
      <c r="C235" s="24">
        <f t="shared" si="36"/>
        <v>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717"/>
      <c r="C236" s="24">
        <f t="shared" si="36"/>
        <v>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717"/>
      <c r="C237" s="24">
        <f t="shared" si="36"/>
        <v>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717"/>
      <c r="C238" s="24">
        <f t="shared" si="36"/>
        <v>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717"/>
      <c r="C239" s="24">
        <f t="shared" si="36"/>
        <v>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717"/>
      <c r="C240" s="24">
        <f t="shared" si="36"/>
        <v>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717"/>
      <c r="C241" s="24">
        <f t="shared" si="36"/>
        <v>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717"/>
      <c r="C242" s="24">
        <f t="shared" si="36"/>
        <v>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717"/>
      <c r="C243" s="24">
        <f t="shared" si="36"/>
        <v>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717"/>
      <c r="C244" s="24">
        <f t="shared" si="36"/>
        <v>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717"/>
      <c r="C245" s="24">
        <f t="shared" si="36"/>
        <v>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717"/>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717"/>
      <c r="C247" s="24">
        <f t="shared" si="36"/>
        <v>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E118" sqref="E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c r="D1" s="2416"/>
      <c r="E1" s="2416"/>
      <c r="F1" s="2418" t="s">
        <v>2115</v>
      </c>
      <c r="G1" s="2068" t="s">
        <v>3216</v>
      </c>
      <c r="H1" s="2419" t="str">
        <f>IF(G1="现房","——","估价对象范围")</f>
        <v>——</v>
      </c>
      <c r="I1" s="2420"/>
    </row>
    <row r="2" spans="1:12" ht="21.75" customHeight="1" thickBot="1">
      <c r="A2" s="3229" t="str">
        <f>项目基本情况!S2</f>
        <v>北京市朝阳区北苑路28号院1号楼房地产</v>
      </c>
      <c r="B2" s="3230"/>
      <c r="C2" s="3230"/>
      <c r="D2" s="3230"/>
      <c r="E2" s="3230"/>
      <c r="F2" s="3230"/>
      <c r="G2" s="3230"/>
      <c r="H2" s="3230"/>
      <c r="I2" s="3231"/>
    </row>
    <row r="3" spans="1:12" ht="12.75">
      <c r="A3" s="3232" t="s">
        <v>2116</v>
      </c>
      <c r="B3" s="3233"/>
      <c r="C3" s="3233"/>
      <c r="D3" s="3233"/>
      <c r="E3" s="3233"/>
      <c r="F3" s="3233"/>
      <c r="G3" s="3233"/>
      <c r="H3" s="3233"/>
      <c r="I3" s="3233"/>
    </row>
    <row r="4" spans="1:12" ht="14.25">
      <c r="A4" s="2423" t="s">
        <v>2117</v>
      </c>
      <c r="B4" s="2424" t="s">
        <v>2118</v>
      </c>
      <c r="C4" s="2425" t="s">
        <v>3211</v>
      </c>
      <c r="D4" s="2425" t="s">
        <v>3219</v>
      </c>
      <c r="E4" s="3213" t="s">
        <v>2119</v>
      </c>
      <c r="F4" s="3226"/>
      <c r="G4" s="3226"/>
      <c r="H4" s="3226"/>
      <c r="I4" s="3214"/>
      <c r="K4" s="2426" t="str">
        <f>IF(ISNUMBER(FIND("比较法",'结果表 (3)'!C4)),"比较法",IF(ISNUMBER(FIND("成本法",'结果表 (3)'!C4)),"成本法",IF(ISNUMBER(FIND("假设开发法",'结果表 (3)'!C4)),"假设开发法",IF(ISNUMBER(FIND("收益法",'结果表 (3)'!C4)),"收益法","基准地价系数修正法"))))</f>
        <v>收益法</v>
      </c>
      <c r="L4" s="2426"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2.75">
      <c r="A5" s="3204" t="s">
        <v>2120</v>
      </c>
      <c r="B5" s="3130">
        <v>25</v>
      </c>
      <c r="C5" s="3234"/>
      <c r="D5" s="3222"/>
      <c r="E5" s="139" t="s">
        <v>2121</v>
      </c>
      <c r="F5" s="2427"/>
      <c r="G5" s="2427"/>
      <c r="H5" s="2427"/>
      <c r="I5" s="1830"/>
    </row>
    <row r="6" spans="1:12" ht="12.75">
      <c r="A6" s="3204"/>
      <c r="B6" s="3130"/>
      <c r="C6" s="3236"/>
      <c r="D6" s="3222"/>
      <c r="E6" s="139" t="s">
        <v>2122</v>
      </c>
      <c r="F6" s="2427"/>
      <c r="G6" s="2427"/>
      <c r="H6" s="2427"/>
      <c r="I6" s="1830"/>
    </row>
    <row r="7" spans="1:12" ht="12.75">
      <c r="A7" s="3204"/>
      <c r="B7" s="3130"/>
      <c r="C7" s="3235"/>
      <c r="D7" s="3222"/>
      <c r="E7" s="139" t="s">
        <v>2123</v>
      </c>
      <c r="F7" s="2427"/>
      <c r="G7" s="2427"/>
      <c r="H7" s="2427"/>
      <c r="I7" s="1830"/>
    </row>
    <row r="8" spans="1:12" ht="12.75">
      <c r="A8" s="3204" t="s">
        <v>2124</v>
      </c>
      <c r="B8" s="3130">
        <v>15</v>
      </c>
      <c r="C8" s="3234"/>
      <c r="D8" s="3222"/>
      <c r="E8" s="139" t="s">
        <v>2125</v>
      </c>
      <c r="F8" s="2427"/>
      <c r="G8" s="2427"/>
      <c r="H8" s="2427"/>
      <c r="I8" s="1830"/>
    </row>
    <row r="9" spans="1:12" ht="12.75">
      <c r="A9" s="3204"/>
      <c r="B9" s="3130"/>
      <c r="C9" s="3235"/>
      <c r="D9" s="3222"/>
      <c r="E9" s="139" t="s">
        <v>2126</v>
      </c>
      <c r="F9" s="2427"/>
      <c r="G9" s="2427"/>
      <c r="H9" s="2427"/>
      <c r="I9" s="1830"/>
    </row>
    <row r="10" spans="1:12" ht="12.75">
      <c r="A10" s="3204" t="s">
        <v>2127</v>
      </c>
      <c r="B10" s="3130">
        <v>15</v>
      </c>
      <c r="C10" s="3234"/>
      <c r="D10" s="3222"/>
      <c r="E10" s="139" t="s">
        <v>2128</v>
      </c>
      <c r="F10" s="2427"/>
      <c r="G10" s="2427"/>
      <c r="H10" s="2427"/>
      <c r="I10" s="1830"/>
    </row>
    <row r="11" spans="1:12" ht="12.75">
      <c r="A11" s="3204"/>
      <c r="B11" s="3130"/>
      <c r="C11" s="3235"/>
      <c r="D11" s="3222"/>
      <c r="E11" s="139" t="s">
        <v>2129</v>
      </c>
      <c r="F11" s="2427"/>
      <c r="G11" s="2427"/>
      <c r="H11" s="2427"/>
      <c r="I11" s="1830"/>
    </row>
    <row r="12" spans="1:12" ht="12.75">
      <c r="A12" s="3204" t="s">
        <v>2130</v>
      </c>
      <c r="B12" s="3130">
        <v>15</v>
      </c>
      <c r="C12" s="3234"/>
      <c r="D12" s="3222"/>
      <c r="E12" s="139" t="s">
        <v>2131</v>
      </c>
      <c r="F12" s="2427"/>
      <c r="G12" s="2427"/>
      <c r="H12" s="2427"/>
      <c r="I12" s="1830"/>
    </row>
    <row r="13" spans="1:12" ht="12.75">
      <c r="A13" s="3204"/>
      <c r="B13" s="3130"/>
      <c r="C13" s="3235"/>
      <c r="D13" s="3222"/>
      <c r="E13" s="139" t="s">
        <v>2132</v>
      </c>
      <c r="F13" s="2427"/>
      <c r="G13" s="2427"/>
      <c r="H13" s="2427"/>
      <c r="I13" s="1830"/>
    </row>
    <row r="14" spans="1:12" ht="12.75">
      <c r="A14" s="3204" t="s">
        <v>2133</v>
      </c>
      <c r="B14" s="3130">
        <v>30</v>
      </c>
      <c r="C14" s="3234">
        <v>4</v>
      </c>
      <c r="D14" s="3222">
        <v>6</v>
      </c>
      <c r="E14" s="139" t="s">
        <v>2134</v>
      </c>
      <c r="F14" s="2427"/>
      <c r="G14" s="2427"/>
      <c r="H14" s="2427"/>
      <c r="I14" s="1830"/>
    </row>
    <row r="15" spans="1:12" ht="12.75">
      <c r="A15" s="3204"/>
      <c r="B15" s="3130"/>
      <c r="C15" s="3236"/>
      <c r="D15" s="3222"/>
      <c r="E15" s="139" t="s">
        <v>2135</v>
      </c>
      <c r="F15" s="2427"/>
      <c r="G15" s="2427"/>
      <c r="H15" s="2427"/>
      <c r="I15" s="1830"/>
    </row>
    <row r="16" spans="1:12" ht="12.75">
      <c r="A16" s="3204"/>
      <c r="B16" s="3130"/>
      <c r="C16" s="3235"/>
      <c r="D16" s="3222"/>
      <c r="E16" s="139" t="s">
        <v>2136</v>
      </c>
      <c r="F16" s="2427"/>
      <c r="G16" s="2427"/>
      <c r="H16" s="2427"/>
      <c r="I16" s="1830"/>
    </row>
    <row r="17" spans="1:35" ht="15">
      <c r="A17" s="2428" t="s">
        <v>2137</v>
      </c>
      <c r="B17" s="64"/>
      <c r="C17" s="140">
        <f>SUM(C5:C16)</f>
        <v>4</v>
      </c>
      <c r="D17" s="140">
        <f>SUM(D5:D16)</f>
        <v>6</v>
      </c>
      <c r="E17" s="137"/>
      <c r="F17" s="137"/>
      <c r="G17" s="137"/>
      <c r="H17" s="137"/>
      <c r="I17" s="137"/>
      <c r="K17" s="2426"/>
      <c r="L17" s="2429" t="s">
        <v>2138</v>
      </c>
      <c r="M17" s="2429" t="s">
        <v>2139</v>
      </c>
    </row>
    <row r="18" spans="1:35" ht="15.75" thickBot="1">
      <c r="A18" s="2430" t="s">
        <v>2140</v>
      </c>
      <c r="B18" s="2431"/>
      <c r="C18" s="141">
        <f>ROUND(C17/SUM(C17:D17),2)</f>
        <v>0.4</v>
      </c>
      <c r="D18" s="141">
        <f>1-C18</f>
        <v>0.6</v>
      </c>
      <c r="E18" s="137"/>
      <c r="F18" s="137"/>
      <c r="G18" s="137"/>
      <c r="H18" s="137"/>
      <c r="I18" s="137"/>
      <c r="K18" s="2426" t="s">
        <v>2141</v>
      </c>
      <c r="L18" s="2426">
        <f>IF(C1="",'数据-汇总表'!E3,SUMIF(项目类型,C1,'数据-汇总表'!E17:E26)+SUMIF(项目类型,C1,'数据-汇总表'!I17:I26))</f>
        <v>34740.85</v>
      </c>
      <c r="M18" s="2426">
        <f>IF(C1="",'数据-汇总表'!E3,SUMIF(项目类型,C1,'数据-汇总表'!E17:E26))</f>
        <v>34740.85</v>
      </c>
    </row>
    <row r="19" spans="1:35" ht="15">
      <c r="A19" s="2432" t="s">
        <v>2142</v>
      </c>
      <c r="B19" s="2433" t="s">
        <v>2143</v>
      </c>
      <c r="C19" s="142">
        <f ca="1">SUMIF(INDIRECT("'"&amp;C4&amp;"'"&amp;"!A:A"),'结果表 (3)'!B19,INDIRECT("'"&amp;C4&amp;"'"&amp;"!B:B"))</f>
        <v>717</v>
      </c>
      <c r="D19" s="143">
        <f ca="1">SUMIF(INDIRECT("'"&amp;D4&amp;"'"&amp;"!A:A"),'结果表 (3)'!B19,INDIRECT("'"&amp;D4&amp;"'"&amp;"!B:B"))</f>
        <v>3327</v>
      </c>
      <c r="E19" s="2432" t="s">
        <v>2144</v>
      </c>
      <c r="F19" s="2433" t="s">
        <v>2143</v>
      </c>
      <c r="G19" s="144">
        <f ca="1">结果表!H118+'结果表 (2)'!G19</f>
        <v>95773</v>
      </c>
      <c r="H19" s="2434" t="s">
        <v>2145</v>
      </c>
      <c r="I19" s="137"/>
      <c r="K19" s="2426" t="s">
        <v>2146</v>
      </c>
      <c r="L19" s="2426">
        <f>IF(C1="",'数据-汇总表'!D3,SUMIF(项目类型,C1,'数据-汇总表'!D17:D26)+SUMIF(项目类型,C1,'数据-汇总表'!H17:H27))</f>
        <v>10186.06</v>
      </c>
      <c r="M19" s="2426">
        <f>IF(C1="",'数据-汇总表'!D3,SUMIF(项目类型,C1,'数据-汇总表'!D17:D26))</f>
        <v>10186.06</v>
      </c>
    </row>
    <row r="20" spans="1:35" ht="15">
      <c r="A20" s="2435"/>
      <c r="B20" s="1246" t="s">
        <v>2147</v>
      </c>
      <c r="C20" s="145">
        <f ca="1">SUMIF(INDIRECT("'"&amp;C4&amp;"'"&amp;"!A:A"),'结果表 (3)'!B20,INDIRECT("'"&amp;C4&amp;"'"&amp;"!B:B"))</f>
        <v>2013</v>
      </c>
      <c r="D20" s="146">
        <f ca="1">SUMIF(INDIRECT("'"&amp;D4&amp;"'"&amp;"!A:A"),'结果表 (3)'!B20,INDIRECT("'"&amp;D4&amp;"'"&amp;"!B:B"))</f>
        <v>9347</v>
      </c>
      <c r="E20" s="2435"/>
      <c r="F20" s="1246" t="s">
        <v>2147</v>
      </c>
      <c r="G20" s="147">
        <f ca="1">ROUND(C20*$C$18+D20*$D$18,0)</f>
        <v>6413</v>
      </c>
      <c r="H20" s="979" t="s">
        <v>2148</v>
      </c>
      <c r="I20" s="137"/>
    </row>
    <row r="21" spans="1:35" ht="15" customHeight="1" thickBot="1">
      <c r="A21" s="999"/>
      <c r="B21" s="2436" t="s">
        <v>2149</v>
      </c>
      <c r="C21" s="788">
        <f ca="1">ROUND(C19*10000/L19,0)</f>
        <v>704</v>
      </c>
      <c r="D21" s="789">
        <f ca="1">ROUND(D19*10000/L19,0)</f>
        <v>3266</v>
      </c>
      <c r="E21" s="999"/>
      <c r="F21" s="2436" t="s">
        <v>2149</v>
      </c>
      <c r="G21" s="148">
        <f ca="1">ROUND(G19*10000/L19,0)</f>
        <v>94024</v>
      </c>
      <c r="H21" s="2437" t="s">
        <v>2148</v>
      </c>
      <c r="I21" s="137"/>
    </row>
    <row r="22" spans="1:35" ht="15" thickBot="1">
      <c r="A22" s="2278" t="s">
        <v>2150</v>
      </c>
      <c r="B22" s="2438"/>
      <c r="C22" s="2439"/>
      <c r="D22" s="790">
        <f ca="1">IF(C19&lt;D19,D19/C19-1,C19/D19-1)</f>
        <v>3.6401673640167367</v>
      </c>
      <c r="E22" s="137"/>
      <c r="F22" s="137"/>
      <c r="G22" s="137"/>
      <c r="H22" s="137"/>
      <c r="I22" s="137"/>
    </row>
    <row r="23" spans="1:35" ht="13.5" thickBot="1">
      <c r="A23" s="2416"/>
      <c r="B23" s="2416"/>
      <c r="C23" s="2416"/>
      <c r="D23" s="2416"/>
      <c r="E23" s="137"/>
      <c r="F23" s="137"/>
      <c r="G23" s="137"/>
      <c r="H23" s="137"/>
      <c r="I23" s="137"/>
    </row>
    <row r="24" spans="1:35" ht="14.25">
      <c r="A24" s="3243" t="s">
        <v>2151</v>
      </c>
      <c r="B24" s="2433" t="s">
        <v>2143</v>
      </c>
      <c r="C24" s="144">
        <f>IF(B30=0,0,D30)</f>
        <v>0</v>
      </c>
      <c r="D24" s="2440"/>
      <c r="E24" s="137"/>
      <c r="F24" s="137"/>
      <c r="G24" s="137"/>
      <c r="H24" s="137"/>
      <c r="I24" s="137"/>
    </row>
    <row r="25" spans="1:35" ht="14.25">
      <c r="A25" s="3244"/>
      <c r="B25" s="1246" t="s">
        <v>2147</v>
      </c>
      <c r="C25" s="149">
        <f>IF(B30=0,0,C30)</f>
        <v>0</v>
      </c>
      <c r="D25" s="2441"/>
      <c r="E25" s="137"/>
      <c r="F25" s="137"/>
      <c r="G25" s="137"/>
      <c r="H25" s="137"/>
      <c r="I25" s="137"/>
    </row>
    <row r="26" spans="1:35" ht="13.5" customHeight="1">
      <c r="A26" s="2442" t="s">
        <v>2152</v>
      </c>
      <c r="B26" s="150" t="s">
        <v>2153</v>
      </c>
      <c r="C26" s="150" t="s">
        <v>2154</v>
      </c>
      <c r="D26" s="151" t="s">
        <v>2155</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2156</v>
      </c>
      <c r="B30" s="150"/>
      <c r="C30" s="150"/>
      <c r="D30" s="150"/>
      <c r="E30" s="2915" t="s">
        <v>3032</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2157</v>
      </c>
      <c r="B32" s="2446"/>
      <c r="C32" s="152">
        <f ca="1">IF(D32="总价",G19-C24,G20-C25)</f>
        <v>95773</v>
      </c>
      <c r="D32" s="2447" t="s">
        <v>2158</v>
      </c>
      <c r="E32" s="137"/>
      <c r="F32" s="137"/>
      <c r="G32" s="137"/>
      <c r="H32" s="137"/>
      <c r="I32" s="137"/>
    </row>
    <row r="33" spans="1:15" ht="15">
      <c r="A33" s="956" t="s">
        <v>2159</v>
      </c>
      <c r="B33" s="2448"/>
      <c r="C33" s="2449" t="s">
        <v>3278</v>
      </c>
      <c r="D33" s="2450"/>
      <c r="E33" s="2451" t="s">
        <v>2160</v>
      </c>
      <c r="F33" s="2966" t="str">
        <f>IF(D32="楼面单价","取值（单价）","取值（总价）")</f>
        <v>取值（总价）</v>
      </c>
      <c r="G33" s="137"/>
      <c r="H33" s="137"/>
      <c r="I33" s="137"/>
    </row>
    <row r="34" spans="1:15" ht="15">
      <c r="A34" s="2453"/>
      <c r="B34" s="2454" t="s">
        <v>2161</v>
      </c>
      <c r="C34" s="156">
        <f ca="1">IF(C33="自定义",F34,C32-C35)</f>
        <v>94536</v>
      </c>
      <c r="D34" s="1054">
        <f ca="1">IF(C33="自定义",ROUND(C34/C32,3),IF(C33="收益比率",SUMIF(INDIRECT("'"&amp;D33&amp;"'"&amp;"!b:b"),"土地收益比率",INDIRECT("'"&amp;D33&amp;"'"&amp;"!c:c")),SUMIF(INDIRECT("'"&amp;D33&amp;"'"&amp;"!b:b"),"土地成本比率",INDIRECT("'"&amp;D33&amp;"'"&amp;"!c:c"))))</f>
        <v>0.98699999999999999</v>
      </c>
      <c r="E34" s="2455" t="s">
        <v>2162</v>
      </c>
      <c r="F34" s="1735">
        <f ca="1">G19-F35</f>
        <v>94536</v>
      </c>
      <c r="G34" s="137"/>
      <c r="H34" s="137"/>
      <c r="I34" s="137"/>
    </row>
    <row r="35" spans="1:15" ht="15.75" thickBot="1">
      <c r="A35" s="2456"/>
      <c r="B35" s="2457" t="s">
        <v>2163</v>
      </c>
      <c r="C35" s="1440">
        <f ca="1">IF(C33="自定义",F35,ROUND(C32*D35,0))</f>
        <v>1237</v>
      </c>
      <c r="D35" s="1441">
        <f ca="1">IF(C33="自定义",ROUND(C35/C32,3),IF(C33="收益比率",SUMIF(INDIRECT("'"&amp;D33&amp;"'"&amp;"!b:b"),"建筑物收益比率",INDIRECT("'"&amp;D33&amp;"'"&amp;"!c:c")),SUMIF(INDIRECT("'"&amp;D33&amp;"'"&amp;"!b:b"),"建筑物成本比率",INDIRECT("'"&amp;D33&amp;"'"&amp;"!c:c"))))</f>
        <v>1.2999999999999999E-2</v>
      </c>
      <c r="E35" s="2458" t="s">
        <v>2164</v>
      </c>
      <c r="F35" s="162">
        <f ca="1">ROUND('收益法 (元)'!C29/10000,0)</f>
        <v>1237</v>
      </c>
      <c r="G35" s="137"/>
      <c r="H35" s="137"/>
      <c r="I35" s="137"/>
    </row>
    <row r="36" spans="1:15" ht="15.75" thickBot="1">
      <c r="A36" s="3223" t="s">
        <v>2165</v>
      </c>
      <c r="B36" s="2459" t="s">
        <v>2166</v>
      </c>
      <c r="C36" s="153"/>
      <c r="D36" s="2460"/>
      <c r="E36" s="2461"/>
      <c r="F36" s="2462"/>
      <c r="G36" s="137"/>
      <c r="H36" s="137"/>
      <c r="I36" s="137"/>
    </row>
    <row r="37" spans="1:15" ht="15.75" thickBot="1">
      <c r="A37" s="3224"/>
      <c r="B37" s="2264" t="s">
        <v>2167</v>
      </c>
      <c r="C37" s="155"/>
      <c r="D37" s="1391"/>
      <c r="E37" s="1391"/>
      <c r="F37" s="2462"/>
      <c r="G37" s="137"/>
      <c r="H37" s="137"/>
      <c r="I37" s="137"/>
    </row>
    <row r="38" spans="1:15" ht="15.75" thickBot="1">
      <c r="A38" s="3225"/>
      <c r="B38" s="2463" t="s">
        <v>2168</v>
      </c>
      <c r="C38" s="726"/>
      <c r="D38" s="2464" t="s">
        <v>2169</v>
      </c>
      <c r="E38" s="1391"/>
      <c r="F38" s="2462"/>
      <c r="G38" s="137"/>
      <c r="H38" s="137"/>
      <c r="I38" s="137"/>
    </row>
    <row r="39" spans="1:15" ht="15">
      <c r="A39" s="2435" t="s">
        <v>2170</v>
      </c>
      <c r="B39" s="2465" t="s">
        <v>2153</v>
      </c>
      <c r="C39" s="2466" t="s">
        <v>2154</v>
      </c>
      <c r="D39" s="2466" t="s">
        <v>2173</v>
      </c>
      <c r="E39" s="2467" t="s">
        <v>2155</v>
      </c>
      <c r="F39" s="2462"/>
      <c r="G39" s="137"/>
      <c r="H39" s="137"/>
      <c r="I39" s="137"/>
    </row>
    <row r="40" spans="1:15" ht="14.25">
      <c r="A40" s="2468" t="s">
        <v>2175</v>
      </c>
      <c r="B40" s="157"/>
      <c r="C40" s="158"/>
      <c r="D40" s="158"/>
      <c r="E40" s="159"/>
      <c r="F40" s="2462"/>
      <c r="G40" s="137"/>
      <c r="H40" s="137"/>
      <c r="I40" s="137"/>
    </row>
    <row r="41" spans="1:15" ht="14.25">
      <c r="A41" s="2468" t="s">
        <v>2176</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2"/>
      <c r="B43" s="2162"/>
      <c r="C43" s="2162"/>
      <c r="D43" s="2162"/>
      <c r="E43" s="2162"/>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240" t="s">
        <v>2179</v>
      </c>
      <c r="B45" s="3241"/>
      <c r="C45" s="3242"/>
      <c r="D45" s="163">
        <f ca="1">ROUND(H101*F45,0)</f>
        <v>95773</v>
      </c>
      <c r="E45" s="164" t="s">
        <v>2180</v>
      </c>
      <c r="F45" s="165">
        <v>1</v>
      </c>
      <c r="G45" s="166" t="s">
        <v>2181</v>
      </c>
      <c r="H45" s="137"/>
      <c r="I45" s="137"/>
      <c r="J45" s="3159" t="s">
        <v>2182</v>
      </c>
      <c r="K45" s="3159"/>
      <c r="L45" s="3159"/>
      <c r="M45" s="3159"/>
      <c r="N45" s="3159"/>
      <c r="O45" s="3159"/>
    </row>
    <row r="46" spans="1:15" ht="14.25" customHeight="1">
      <c r="A46" s="3237" t="s">
        <v>2183</v>
      </c>
      <c r="B46" s="3238"/>
      <c r="C46" s="3238"/>
      <c r="D46" s="3238"/>
      <c r="E46" s="3238"/>
      <c r="F46" s="3238"/>
      <c r="G46" s="3239"/>
      <c r="H46" s="2478"/>
      <c r="I46" s="167"/>
      <c r="J46" s="2976">
        <v>1</v>
      </c>
      <c r="K46" s="3159" t="s">
        <v>2184</v>
      </c>
      <c r="L46" s="3159"/>
      <c r="M46" s="3160"/>
      <c r="N46" s="3160"/>
      <c r="O46" s="3160"/>
    </row>
    <row r="47" spans="1:15" ht="12" customHeight="1">
      <c r="A47" s="168" t="s">
        <v>2185</v>
      </c>
      <c r="B47" s="169"/>
      <c r="C47" s="170"/>
      <c r="D47" s="171" t="s">
        <v>2186</v>
      </c>
      <c r="E47" s="24" t="s">
        <v>2187</v>
      </c>
      <c r="F47" s="172" t="s">
        <v>2188</v>
      </c>
      <c r="G47" s="173" t="s">
        <v>2189</v>
      </c>
      <c r="H47" s="2478"/>
      <c r="I47" s="167"/>
      <c r="J47" s="2976">
        <v>2</v>
      </c>
      <c r="K47" s="3159" t="s">
        <v>2190</v>
      </c>
      <c r="L47" s="3159"/>
      <c r="M47" s="3161">
        <f>'数据-取费表'!B2</f>
        <v>43634</v>
      </c>
      <c r="N47" s="3161"/>
      <c r="O47" s="3161"/>
    </row>
    <row r="48" spans="1:15" ht="25.5">
      <c r="A48" s="3227" t="s">
        <v>2191</v>
      </c>
      <c r="B48" s="3228"/>
      <c r="C48" s="3228"/>
      <c r="D48" s="139">
        <f ca="1">IF(H48="情况1",0,IF(H48="情况2",D52,IF(H48="情况3",D53,IF(H48="情况4",D54))))</f>
        <v>5108</v>
      </c>
      <c r="E48" s="2970" t="str">
        <f>IF(H48="情况4","(销售额-原购置价)×税（费）率","销售额×税（费）率")</f>
        <v>(销售额-原购置价)×税（费）率</v>
      </c>
      <c r="F48" s="174">
        <f>IF(H48="情况1","免征",'数据-取费表'!B41)</f>
        <v>5.6000000000000001E-2</v>
      </c>
      <c r="G48" s="2479" t="s">
        <v>2192</v>
      </c>
      <c r="H48" s="2480" t="s">
        <v>3279</v>
      </c>
      <c r="I48" s="2478"/>
      <c r="J48" s="2976">
        <v>3</v>
      </c>
      <c r="K48" s="3159" t="s">
        <v>2194</v>
      </c>
      <c r="L48" s="3159"/>
      <c r="M48" s="3162">
        <f ca="1">H101</f>
        <v>95773</v>
      </c>
      <c r="N48" s="3162"/>
      <c r="O48" s="3162"/>
    </row>
    <row r="49" spans="1:35" ht="25.5" customHeight="1">
      <c r="A49" s="175" t="s">
        <v>2195</v>
      </c>
      <c r="B49" s="3207" t="s">
        <v>2196</v>
      </c>
      <c r="C49" s="3207"/>
      <c r="D49" s="176">
        <v>0</v>
      </c>
      <c r="E49" s="23" t="s">
        <v>2197</v>
      </c>
      <c r="F49" s="28" t="s">
        <v>34</v>
      </c>
      <c r="G49" s="3188"/>
      <c r="H49" s="137"/>
      <c r="I49" s="2481"/>
      <c r="J49" s="2976">
        <v>4</v>
      </c>
      <c r="K49" s="3159" t="str">
        <f>IF(项目基本情况!E8="房地产抵押价值","房地产抵押价值","抵押担保权已注销时的房地产抵押价值")</f>
        <v>房地产抵押价值</v>
      </c>
      <c r="L49" s="3159"/>
      <c r="M49" s="3162">
        <f ca="1">IF(项目基本情况!E8="房地产抵押价值",H107,H109)</f>
        <v>95773</v>
      </c>
      <c r="N49" s="3162"/>
      <c r="O49" s="3162"/>
    </row>
    <row r="50" spans="1:35" ht="25.5" customHeight="1">
      <c r="A50" s="177"/>
      <c r="B50" s="3207" t="s">
        <v>2198</v>
      </c>
      <c r="C50" s="3207"/>
      <c r="D50" s="178"/>
      <c r="E50" s="31"/>
      <c r="F50" s="179"/>
      <c r="G50" s="3189"/>
      <c r="H50" s="137"/>
      <c r="I50" s="2481"/>
      <c r="J50" s="3159" t="s">
        <v>2199</v>
      </c>
      <c r="K50" s="3159"/>
      <c r="L50" s="3159"/>
      <c r="M50" s="3159"/>
      <c r="N50" s="3159"/>
      <c r="O50" s="3159"/>
    </row>
    <row r="51" spans="1:35" ht="12" customHeight="1">
      <c r="A51" s="180"/>
      <c r="B51" s="3207" t="s">
        <v>2200</v>
      </c>
      <c r="C51" s="3207"/>
      <c r="D51" s="181"/>
      <c r="E51" s="30"/>
      <c r="F51" s="179"/>
      <c r="G51" s="3190"/>
      <c r="H51" s="137"/>
      <c r="I51" s="2481"/>
      <c r="J51" s="2975" t="s">
        <v>2201</v>
      </c>
      <c r="K51" s="3159" t="s">
        <v>2202</v>
      </c>
      <c r="L51" s="3159"/>
      <c r="M51" s="2975" t="s">
        <v>2203</v>
      </c>
      <c r="N51" s="2975" t="s">
        <v>2204</v>
      </c>
      <c r="O51" s="2975" t="s">
        <v>2205</v>
      </c>
    </row>
    <row r="52" spans="1:35" ht="24" customHeight="1">
      <c r="A52" s="182" t="s">
        <v>2206</v>
      </c>
      <c r="B52" s="3207" t="s">
        <v>2207</v>
      </c>
      <c r="C52" s="3207"/>
      <c r="D52" s="181">
        <f ca="1">ROUND(D45*'数据-取费表'!B41/(1+'数据-取费表'!C42),0)</f>
        <v>5108</v>
      </c>
      <c r="E52" s="11" t="s">
        <v>2208</v>
      </c>
      <c r="F52" s="183">
        <f>'数据-取费表'!B41</f>
        <v>5.6000000000000001E-2</v>
      </c>
      <c r="G52" s="2483"/>
      <c r="H52" s="137"/>
      <c r="I52" s="2481"/>
      <c r="J52" s="2976">
        <v>1</v>
      </c>
      <c r="K52" s="3182" t="s">
        <v>2209</v>
      </c>
      <c r="L52" s="3182"/>
      <c r="M52" s="1750">
        <f ca="1">D48</f>
        <v>5108</v>
      </c>
      <c r="N52" s="2976" t="str">
        <f>E48</f>
        <v>(销售额-原购置价)×税（费）率</v>
      </c>
      <c r="O52" s="1751">
        <f>F48</f>
        <v>5.6000000000000001E-2</v>
      </c>
    </row>
    <row r="53" spans="1:35" ht="12" customHeight="1">
      <c r="A53" s="182" t="s">
        <v>2210</v>
      </c>
      <c r="B53" s="3208" t="s">
        <v>2211</v>
      </c>
      <c r="C53" s="3209"/>
      <c r="D53" s="181">
        <f ca="1">ROUND(D45*'数据-取费表'!B41/(1+'数据-取费表'!C42),0)</f>
        <v>5108</v>
      </c>
      <c r="E53" s="11" t="s">
        <v>2208</v>
      </c>
      <c r="F53" s="183">
        <f>'数据-取费表'!B41</f>
        <v>5.6000000000000001E-2</v>
      </c>
      <c r="G53" s="2483"/>
      <c r="H53" s="137"/>
      <c r="I53" s="2481"/>
      <c r="J53" s="2976">
        <v>2</v>
      </c>
      <c r="K53" s="3182" t="s">
        <v>2212</v>
      </c>
      <c r="L53" s="3182"/>
      <c r="M53" s="1750">
        <f t="shared" ref="M53:O54" ca="1" si="0">D55</f>
        <v>48</v>
      </c>
      <c r="N53" s="2976" t="str">
        <f t="shared" si="0"/>
        <v>销售额×税（费）率</v>
      </c>
      <c r="O53" s="1751">
        <f t="shared" si="0"/>
        <v>5.0000000000000001E-4</v>
      </c>
    </row>
    <row r="54" spans="1:35" ht="12" customHeight="1">
      <c r="A54" s="182" t="s">
        <v>2213</v>
      </c>
      <c r="B54" s="3208" t="s">
        <v>2214</v>
      </c>
      <c r="C54" s="3209"/>
      <c r="D54" s="181">
        <f ca="1">C68</f>
        <v>5108</v>
      </c>
      <c r="E54" s="30" t="s">
        <v>2215</v>
      </c>
      <c r="F54" s="183">
        <f>'数据-取费表'!B41</f>
        <v>5.6000000000000001E-2</v>
      </c>
      <c r="G54" s="2483"/>
      <c r="H54" s="2484"/>
      <c r="I54" s="2481"/>
      <c r="J54" s="2976">
        <v>3</v>
      </c>
      <c r="K54" s="3182" t="s">
        <v>2216</v>
      </c>
      <c r="L54" s="3182"/>
      <c r="M54" s="1750">
        <f t="shared" ca="1" si="0"/>
        <v>2173</v>
      </c>
      <c r="N54" s="2976" t="str">
        <f t="shared" si="0"/>
        <v>增值额×税（费）率</v>
      </c>
      <c r="O54" s="1752" t="str">
        <f t="shared" si="0"/>
        <v>——</v>
      </c>
    </row>
    <row r="55" spans="1:35" ht="24" customHeight="1">
      <c r="A55" s="3246" t="s">
        <v>2217</v>
      </c>
      <c r="B55" s="3228"/>
      <c r="C55" s="3228"/>
      <c r="D55" s="184">
        <f ca="1">IF(H55="个人住宅",0,ROUND(D45*I55,0))</f>
        <v>48</v>
      </c>
      <c r="E55" s="11" t="s">
        <v>2218</v>
      </c>
      <c r="F55" s="183">
        <f>IF(H55="正常",I55,"免征")</f>
        <v>5.0000000000000001E-4</v>
      </c>
      <c r="G55" s="2483"/>
      <c r="H55" s="2480" t="s">
        <v>2219</v>
      </c>
      <c r="I55" s="185">
        <f>'数据-取费表'!B49</f>
        <v>5.0000000000000001E-4</v>
      </c>
      <c r="J55" s="2976" t="str">
        <f>IF(H59="非个人房产","",4)</f>
        <v/>
      </c>
      <c r="K55" s="3182" t="str">
        <f>IF(H59="非个人房产","——","个人所得税")</f>
        <v>——</v>
      </c>
      <c r="L55" s="3182"/>
      <c r="M55" s="1753" t="str">
        <f>D59</f>
        <v>——</v>
      </c>
      <c r="N55" s="2977" t="str">
        <f>E59</f>
        <v>——</v>
      </c>
      <c r="O55" s="1754" t="str">
        <f>F59</f>
        <v>——</v>
      </c>
    </row>
    <row r="56" spans="1:35" ht="24.75">
      <c r="A56" s="3246" t="s">
        <v>2220</v>
      </c>
      <c r="B56" s="3228"/>
      <c r="C56" s="3228"/>
      <c r="D56" s="184">
        <f ca="1">IF(H56="个人住宅",D57,D58)</f>
        <v>2173</v>
      </c>
      <c r="E56" s="11" t="s">
        <v>2221</v>
      </c>
      <c r="F56" s="183" t="str">
        <f>IF(H56="正常",F58,"免征")</f>
        <v>——</v>
      </c>
      <c r="G56" s="2485" t="s">
        <v>2222</v>
      </c>
      <c r="H56" s="2486" t="s">
        <v>2219</v>
      </c>
      <c r="I56" s="2487"/>
      <c r="J56" s="2976" t="str">
        <f>IF(项目基本情况!K6="上海银行",IF(J55="",4,J55+1),"")</f>
        <v/>
      </c>
      <c r="K56" s="3165" t="str">
        <f>IF(项目基本情况!K6="上海银行","其他处置费用","")</f>
        <v/>
      </c>
      <c r="L56" s="3166"/>
      <c r="M56" s="1750" t="str">
        <f>IF(项目基本情况!K6="上海银行",M69,"")</f>
        <v/>
      </c>
      <c r="N56" s="3168" t="str">
        <f>IF(项目基本情况!K6="上海银行","包含处置中涉及的律师、诉讼、拍卖、评估等费用","")</f>
        <v/>
      </c>
      <c r="O56" s="3169"/>
    </row>
    <row r="57" spans="1:35" ht="12.75">
      <c r="A57" s="182" t="s">
        <v>2195</v>
      </c>
      <c r="B57" s="3213" t="s">
        <v>2223</v>
      </c>
      <c r="C57" s="3214"/>
      <c r="D57" s="186">
        <v>0</v>
      </c>
      <c r="E57" s="23" t="s">
        <v>2197</v>
      </c>
      <c r="F57" s="154"/>
      <c r="G57" s="2483"/>
      <c r="H57" s="2487"/>
      <c r="I57" s="2487"/>
      <c r="J57" s="3182">
        <f>IF(AND(J55="",J56=""),4,IF(项目基本情况!K6="上海银行",'结果表 (3)'!J56+1,'结果表 (3)'!J55+1))</f>
        <v>4</v>
      </c>
      <c r="K57" s="3182" t="s">
        <v>2224</v>
      </c>
      <c r="L57" s="2488" t="s">
        <v>2225</v>
      </c>
      <c r="M57" s="1755"/>
      <c r="N57" s="1756">
        <f ca="1">SUMIF(M52:M56,"&lt;9e307")</f>
        <v>7329</v>
      </c>
      <c r="O57" s="2489"/>
      <c r="P57" s="1749">
        <f ca="1">N57/M49</f>
        <v>7.6524699027909746E-2</v>
      </c>
    </row>
    <row r="58" spans="1:35" ht="24.75">
      <c r="A58" s="182" t="s">
        <v>2206</v>
      </c>
      <c r="B58" s="3213" t="s">
        <v>2226</v>
      </c>
      <c r="C58" s="3226"/>
      <c r="D58" s="184">
        <f ca="1">IF(H58="转让取得",C81,C97)</f>
        <v>2173</v>
      </c>
      <c r="E58" s="11" t="s">
        <v>2221</v>
      </c>
      <c r="F58" s="24" t="s">
        <v>34</v>
      </c>
      <c r="G58" s="2483"/>
      <c r="H58" s="2486" t="s">
        <v>3280</v>
      </c>
      <c r="I58" s="2487"/>
      <c r="J58" s="3182"/>
      <c r="K58" s="3182"/>
      <c r="L58" s="2488" t="s">
        <v>2228</v>
      </c>
      <c r="M58" s="1757"/>
      <c r="N58" s="2490" t="str">
        <f ca="1">NUMBERSTRING(INT(N57*10000),2)&amp;"元整"</f>
        <v>柒仟叁佰贰拾玖万元整</v>
      </c>
      <c r="O58" s="2491"/>
    </row>
    <row r="59" spans="1:35" ht="24.75" thickBot="1">
      <c r="A59" s="3186" t="s">
        <v>2229</v>
      </c>
      <c r="B59" s="3187"/>
      <c r="C59" s="3187"/>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184">
        <f>J57+1</f>
        <v>5</v>
      </c>
      <c r="K59" s="3182" t="s">
        <v>2231</v>
      </c>
      <c r="L59" s="2976" t="s">
        <v>2225</v>
      </c>
      <c r="M59" s="1758"/>
      <c r="N59" s="1759">
        <f ca="1">M49-N57</f>
        <v>88444</v>
      </c>
      <c r="O59" s="2493"/>
    </row>
    <row r="60" spans="1:35" ht="12" customHeight="1">
      <c r="A60" s="2494"/>
      <c r="B60" s="2416"/>
      <c r="C60" s="2416"/>
      <c r="D60" s="2416"/>
      <c r="E60" s="2163"/>
      <c r="F60" s="2487"/>
      <c r="G60" s="2487"/>
      <c r="H60" s="2495"/>
      <c r="I60" s="137"/>
      <c r="J60" s="3185"/>
      <c r="K60" s="3182"/>
      <c r="L60" s="2488" t="s">
        <v>2228</v>
      </c>
      <c r="M60" s="1757"/>
      <c r="N60" s="2490" t="str">
        <f ca="1">NUMBERSTRING(INT(N59*10000),2)&amp;"元整"</f>
        <v>捌亿捌仟肆佰肆拾肆万元整</v>
      </c>
      <c r="O60" s="2491"/>
    </row>
    <row r="61" spans="1:35" ht="13.5" thickBot="1">
      <c r="A61" s="3245" t="s">
        <v>2232</v>
      </c>
      <c r="B61" s="3245"/>
      <c r="C61" s="3245"/>
      <c r="D61" s="3245"/>
      <c r="E61" s="3245"/>
      <c r="F61" s="2487"/>
      <c r="G61" s="2487"/>
      <c r="H61" s="2495"/>
      <c r="I61" s="137"/>
      <c r="J61" s="2976">
        <f>J59+1</f>
        <v>6</v>
      </c>
      <c r="K61" s="3182" t="s">
        <v>2233</v>
      </c>
      <c r="L61" s="3182"/>
      <c r="M61" s="1760"/>
      <c r="N61" s="1761">
        <f ca="1">ROUND(N59*10000/'数据-汇总表'!E3,0)</f>
        <v>25458</v>
      </c>
      <c r="O61" s="2496"/>
    </row>
    <row r="62" spans="1:35" ht="12.75">
      <c r="A62" s="3202" t="s">
        <v>2234</v>
      </c>
      <c r="B62" s="3203"/>
      <c r="C62" s="2973"/>
      <c r="D62" s="2973" t="s">
        <v>2235</v>
      </c>
      <c r="E62" s="191" t="s">
        <v>2236</v>
      </c>
      <c r="F62" s="2487"/>
      <c r="G62" s="2487"/>
      <c r="H62" s="2495"/>
      <c r="I62" s="137"/>
    </row>
    <row r="63" spans="1:35" ht="12.75">
      <c r="A63" s="202" t="s">
        <v>775</v>
      </c>
      <c r="B63" s="192" t="s">
        <v>2237</v>
      </c>
      <c r="C63" s="193">
        <f ca="1">ROUND((C64+C65)/(1+'数据-取费表'!C42),0)</f>
        <v>91212</v>
      </c>
      <c r="D63" s="194"/>
      <c r="E63" s="195"/>
      <c r="F63" s="2487"/>
      <c r="G63" s="2487"/>
      <c r="H63" s="2495"/>
      <c r="I63" s="137"/>
      <c r="J63" s="3167" t="s">
        <v>2238</v>
      </c>
      <c r="K63" s="2978" t="s">
        <v>2239</v>
      </c>
      <c r="L63" s="1748">
        <f ca="1">IF(M49&gt;10000,M49*0.5%,IF(AND(M49&gt;1000,M49&lt;=10000),M49*1%,IF(AND(M49&gt;100,M49&lt;=1000),M49*3%,IF(AND(M49&gt;10,M49&lt;=100),M49*5%,M49*8%))))</f>
        <v>478.86500000000001</v>
      </c>
      <c r="M63" s="24">
        <f ca="1">ROUND(L63,1)</f>
        <v>478.9</v>
      </c>
      <c r="Z63" s="2421"/>
      <c r="AI63" s="2422"/>
    </row>
    <row r="64" spans="1:35" ht="14.25" customHeight="1">
      <c r="A64" s="196" t="s">
        <v>770</v>
      </c>
      <c r="B64" s="197" t="s">
        <v>2240</v>
      </c>
      <c r="C64" s="198">
        <f ca="1">D45</f>
        <v>95773</v>
      </c>
      <c r="D64" s="199" t="s">
        <v>32</v>
      </c>
      <c r="E64" s="200"/>
      <c r="F64" s="2487"/>
      <c r="G64" s="2487"/>
      <c r="H64" s="2495"/>
      <c r="I64" s="137"/>
      <c r="J64" s="3167"/>
      <c r="K64" s="2978" t="s">
        <v>2241</v>
      </c>
      <c r="L64" s="1748">
        <f ca="1">IF(M49&gt;2000,M49*0.5%,IF(AND(M49&gt;1000,M49&lt;=2000),M49*0.6%,IF(AND(M49&gt;500,M49&lt;=1000),M49*0.7%,IF(AND(M49&gt;200,M49&lt;=500),M49*0.8%,IF(AND(M49&gt;100,M49&lt;=200),M49*0.9%,IF(AND(M49&gt;50,M49&lt;=100),M49*1%,IF(AND(M49&gt;20,M49&lt;=50),M49*1.5%,IF(AND(M49&gt;10,M49&lt;=20),M49*2%,IF(AND(M49&gt;1,M49&lt;=10),M49*2.5%)))))))))</f>
        <v>478.86500000000001</v>
      </c>
      <c r="M64" s="24">
        <f t="shared" ref="M64:M65" ca="1" si="1">ROUND(L64,1)</f>
        <v>478.9</v>
      </c>
      <c r="N64" s="137" t="s">
        <v>2242</v>
      </c>
      <c r="Z64" s="2421"/>
      <c r="AI64" s="2422"/>
    </row>
    <row r="65" spans="1:35" ht="14.25" customHeight="1">
      <c r="A65" s="196" t="s">
        <v>771</v>
      </c>
      <c r="B65" s="197" t="s">
        <v>2243</v>
      </c>
      <c r="C65" s="201"/>
      <c r="D65" s="199"/>
      <c r="E65" s="200"/>
      <c r="F65" s="2487"/>
      <c r="G65" s="2487"/>
      <c r="H65" s="2495"/>
      <c r="I65" s="137"/>
      <c r="J65" s="3167"/>
      <c r="K65" s="2978" t="s">
        <v>2244</v>
      </c>
      <c r="L65" s="1748">
        <f ca="1">IF(M49&gt;1000,M49*0.1%,IF(AND(M49&gt;500,M49&lt;=1000),M49*0.5%,IF(AND(M49&gt;50,M49&lt;=500),M49*1%,IF(AND(M49&gt;1,M49&lt;=50),M49*1.5%))))</f>
        <v>95.772999999999996</v>
      </c>
      <c r="M65" s="24">
        <f t="shared" ca="1" si="1"/>
        <v>95.8</v>
      </c>
      <c r="N65" s="137" t="s">
        <v>2242</v>
      </c>
      <c r="Z65" s="2421"/>
      <c r="AI65" s="2422"/>
    </row>
    <row r="66" spans="1:35" ht="14.25" customHeight="1">
      <c r="A66" s="202" t="s">
        <v>772</v>
      </c>
      <c r="B66" s="203" t="s">
        <v>2245</v>
      </c>
      <c r="C66" s="204"/>
      <c r="D66" s="205" t="s">
        <v>32</v>
      </c>
      <c r="E66" s="1772" t="s">
        <v>1367</v>
      </c>
      <c r="F66" s="2487"/>
      <c r="G66" s="2487"/>
      <c r="H66" s="2495"/>
      <c r="I66" s="137"/>
      <c r="J66" s="3167"/>
      <c r="K66" s="2978" t="s">
        <v>2246</v>
      </c>
      <c r="L66" s="1748">
        <f ca="1">M49*0.5%</f>
        <v>478.86500000000001</v>
      </c>
      <c r="M66" s="24">
        <f ca="1">IF(L66&gt;0.5,0.5,ROUND(L66,0))</f>
        <v>0.5</v>
      </c>
      <c r="N66" s="137" t="s">
        <v>2247</v>
      </c>
      <c r="Z66" s="2421"/>
      <c r="AI66" s="2422"/>
    </row>
    <row r="67" spans="1:35" ht="14.25" customHeight="1">
      <c r="A67" s="202" t="s">
        <v>773</v>
      </c>
      <c r="B67" s="203" t="s">
        <v>2248</v>
      </c>
      <c r="C67" s="206">
        <f ca="1">C63-C66</f>
        <v>91212</v>
      </c>
      <c r="D67" s="199" t="s">
        <v>32</v>
      </c>
      <c r="E67" s="200"/>
      <c r="F67" s="2487"/>
      <c r="G67" s="2487"/>
      <c r="H67" s="2495"/>
      <c r="I67" s="137"/>
      <c r="J67" s="3167"/>
      <c r="K67" s="2978" t="s">
        <v>2249</v>
      </c>
      <c r="L67" s="1748">
        <f ca="1">IF(M49&gt;=10000,(8.25+(M49-10000)*0.01%),IF(AND(M49&gt;=8000,M49&lt;10000),(7.85+(M49-8000)*0.02%),IF(AND(M49&gt;=5000,M49&lt;8000),(6.65+(M49-5000)*0.04%),IF(AND(M49&gt;=2000,M49&lt;5000),(4.25+(PM49-2000)*0.08%),IF(AND(M49&gt;=1000,M49&lt;2000),(2.75+(M49-1000)*0.15%),IF(AND(M49&gt;=100,M49&lt;1000),(0.5+(M49-100)*0.25%),IF(AND(M49&gt;0,M49&lt;100),M49*0.5%)))))))</f>
        <v>16.827300000000001</v>
      </c>
      <c r="M67" s="24">
        <f ca="1">ROUND(L67*0.9,1)</f>
        <v>15.1</v>
      </c>
      <c r="Z67" s="2421"/>
      <c r="AI67" s="2422"/>
    </row>
    <row r="68" spans="1:35" ht="14.25" customHeight="1" thickBot="1">
      <c r="A68" s="207" t="s">
        <v>774</v>
      </c>
      <c r="B68" s="208" t="s">
        <v>2250</v>
      </c>
      <c r="C68" s="209">
        <f ca="1">IF(C67&lt;=0,0,ROUND(C67*D68,0))</f>
        <v>5108</v>
      </c>
      <c r="D68" s="210">
        <f>'数据-取费表'!B41</f>
        <v>5.6000000000000001E-2</v>
      </c>
      <c r="E68" s="211"/>
      <c r="F68" s="2487"/>
      <c r="G68" s="2487"/>
      <c r="H68" s="2495"/>
      <c r="I68" s="137"/>
      <c r="J68" s="3167"/>
      <c r="K68" s="2978" t="s">
        <v>2251</v>
      </c>
      <c r="L68" s="1748">
        <f ca="1">IF(M49&gt;10000,M49*0.5%,IF(AND(M49&gt;5000,M49&lt;=10000),M49*1%,IF(AND(M49&gt;1000,M49&lt;=5000),M49*2%,IF(AND(M49&gt;200,M49&lt;=1000),M49*3%,M49*5%))))</f>
        <v>478.86500000000001</v>
      </c>
      <c r="M68" s="24">
        <f ca="1">ROUND(L68,1)</f>
        <v>478.9</v>
      </c>
      <c r="Z68" s="2421"/>
      <c r="AI68" s="2422"/>
    </row>
    <row r="69" spans="1:35" s="2444" customFormat="1" ht="16.5" customHeight="1">
      <c r="A69" s="2498"/>
      <c r="B69" s="2499"/>
      <c r="C69" s="2500"/>
      <c r="D69" s="2501"/>
      <c r="E69" s="2502"/>
      <c r="F69" s="2163"/>
      <c r="G69" s="2163"/>
      <c r="H69" s="2162"/>
      <c r="I69" s="2416"/>
      <c r="J69" s="3167"/>
      <c r="K69" s="2978" t="s">
        <v>2252</v>
      </c>
      <c r="L69" s="2503"/>
      <c r="M69" s="24">
        <f ca="1">ROUND(SUM(M63:M68),0)</f>
        <v>1548</v>
      </c>
      <c r="N69" s="1749">
        <f ca="1">M69/M49</f>
        <v>1.6163219278919946E-2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211" t="s">
        <v>2253</v>
      </c>
      <c r="B70" s="3212"/>
      <c r="C70" s="3212"/>
      <c r="D70" s="3212"/>
      <c r="E70" s="3212"/>
      <c r="F70" s="3212"/>
      <c r="G70" s="3212"/>
      <c r="H70" s="32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02" t="s">
        <v>2234</v>
      </c>
      <c r="B71" s="3203"/>
      <c r="C71" s="2973"/>
      <c r="D71" s="2973"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2254</v>
      </c>
      <c r="C72" s="206">
        <f ca="1">ROUND(D45/(1+'数据-取费表'!C42),0)</f>
        <v>91212</v>
      </c>
      <c r="D72" s="199" t="s">
        <v>32</v>
      </c>
      <c r="E72" s="2972"/>
      <c r="F72" s="2967"/>
      <c r="G72" s="2967"/>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2255</v>
      </c>
      <c r="C73" s="206">
        <f ca="1">C74+C78</f>
        <v>83968</v>
      </c>
      <c r="D73" s="199" t="s">
        <v>32</v>
      </c>
      <c r="E73" s="2972"/>
      <c r="F73" s="2967"/>
      <c r="G73" s="2967"/>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2256</v>
      </c>
      <c r="C74" s="199">
        <f>ROUND(IF(G77="2016年5月1日后购买",C75/(1+'数据-取费表'!C42)+C76+C77,C75+C76+C77),0)</f>
        <v>83421</v>
      </c>
      <c r="D74" s="199" t="s">
        <v>32</v>
      </c>
      <c r="E74" s="2972"/>
      <c r="F74" s="2967"/>
      <c r="G74" s="2967"/>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2257</v>
      </c>
      <c r="C75" s="217">
        <v>85000</v>
      </c>
      <c r="D75" s="199" t="s">
        <v>32</v>
      </c>
      <c r="E75" s="218" t="s">
        <v>2258</v>
      </c>
      <c r="F75" s="2509" t="s">
        <v>2259</v>
      </c>
      <c r="G75" s="218" t="s">
        <v>2260</v>
      </c>
      <c r="H75" s="219">
        <v>0</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2261</v>
      </c>
      <c r="C76" s="199">
        <f>IF(F75="购房发票",ROUND(C75*H75*D76,0),0)</f>
        <v>0</v>
      </c>
      <c r="D76" s="221">
        <v>0.05</v>
      </c>
      <c r="E76" s="3208" t="s">
        <v>2262</v>
      </c>
      <c r="F76" s="3207"/>
      <c r="G76" s="3207"/>
      <c r="H76" s="32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2263</v>
      </c>
      <c r="C77" s="199">
        <f>ROUND(IF(G77="个人住宅",0,IF(G77="2016年5月1日前购买",C75*D77,C75*D77/(1+'数据-取费表'!C42))),0)</f>
        <v>2469</v>
      </c>
      <c r="D77" s="222">
        <f>'数据-取费表'!B48+'数据-取费表'!B49</f>
        <v>3.0499999999999999E-2</v>
      </c>
      <c r="E77" s="2979" t="s">
        <v>2264</v>
      </c>
      <c r="F77" s="223"/>
      <c r="G77" s="2511" t="s">
        <v>2265</v>
      </c>
      <c r="H77" s="297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2266</v>
      </c>
      <c r="C78" s="224">
        <f ca="1">ROUND(D45*D78/(1+'数据-取费表'!C42),0)</f>
        <v>547</v>
      </c>
      <c r="D78" s="225">
        <f>'数据-取费表'!B43</f>
        <v>6.000000000000001E-3</v>
      </c>
      <c r="E78" s="3199" t="s">
        <v>2267</v>
      </c>
      <c r="F78" s="3200"/>
      <c r="G78" s="3200"/>
      <c r="H78" s="32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3" t="s">
        <v>2268</v>
      </c>
      <c r="C79" s="206">
        <f ca="1">C72-C73</f>
        <v>7244</v>
      </c>
      <c r="D79" s="199" t="s">
        <v>32</v>
      </c>
      <c r="E79" s="2972"/>
      <c r="F79" s="2967"/>
      <c r="G79" s="2967"/>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2269</v>
      </c>
      <c r="C80" s="226">
        <f ca="1">IF(C79&lt;=0,0,C79/C73)</f>
        <v>8.6270960365853661E-2</v>
      </c>
      <c r="D80" s="199" t="s">
        <v>32</v>
      </c>
      <c r="E80" s="2979" t="str">
        <f ca="1">IF(C80&gt;=200%,"增值额超过扣除项目金额200%",IF(C80&gt;=100%,"增值额超过扣除项目金额100%，未超过200%",IF(C80&gt;=50%,"增值额超过扣除项目金额50%，未超过100%",IF(C80&lt;50%,"增值额未超过扣除项目金额50%"))))</f>
        <v>增值额未超过扣除项目金额50%</v>
      </c>
      <c r="F80" s="2967"/>
      <c r="G80" s="2967"/>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2270</v>
      </c>
      <c r="C81" s="227">
        <f ca="1">ROUND(IF(C79&lt;=0,0,IF(C80&gt;=200%,C79*60%-C73*35%,IF(C80&gt;=100%,C79*50%-C73*15%,IF(C80&gt;=50%,C79*40%-C73*5%,IF(C80&lt;50%,C79*30%,0))))),0)</f>
        <v>2173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11" t="s">
        <v>2271</v>
      </c>
      <c r="B83" s="3212"/>
      <c r="C83" s="3212"/>
      <c r="D83" s="3212"/>
      <c r="E83" s="3212"/>
      <c r="F83" s="3212"/>
      <c r="G83" s="3212"/>
      <c r="H83" s="32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02" t="s">
        <v>2234</v>
      </c>
      <c r="B84" s="3203"/>
      <c r="C84" s="2973"/>
      <c r="D84" s="2973"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2254</v>
      </c>
      <c r="C85" s="206">
        <f ca="1">ROUND(D45/(1+'数据-取费表'!C42),0)</f>
        <v>91212</v>
      </c>
      <c r="D85" s="199" t="s">
        <v>32</v>
      </c>
      <c r="E85" s="2972"/>
      <c r="F85" s="2967"/>
      <c r="G85" s="2967"/>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2255</v>
      </c>
      <c r="C86" s="206">
        <f ca="1">IF(H88="仅含出让金",C87+C90+C91+C92+C93+C94,C87+C91+C92+C93+C94)</f>
        <v>547</v>
      </c>
      <c r="D86" s="234"/>
      <c r="E86" s="2972"/>
      <c r="F86" s="2967"/>
      <c r="G86" s="2967"/>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2272</v>
      </c>
      <c r="C87" s="224">
        <f>C88+C89</f>
        <v>0</v>
      </c>
      <c r="D87" s="225"/>
      <c r="E87" s="2968"/>
      <c r="F87" s="2969"/>
      <c r="G87" s="2969"/>
      <c r="H87" s="297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2273</v>
      </c>
      <c r="C88" s="235"/>
      <c r="D88" s="225"/>
      <c r="E88" s="236" t="s">
        <v>2274</v>
      </c>
      <c r="F88" s="2969"/>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2263</v>
      </c>
      <c r="C89" s="224">
        <f>ROUND(C88*D89,0)</f>
        <v>0</v>
      </c>
      <c r="D89" s="225">
        <f>'数据-取费表'!B48+'数据-取费表'!B49</f>
        <v>3.0499999999999999E-2</v>
      </c>
      <c r="E89" s="236" t="s">
        <v>2276</v>
      </c>
      <c r="F89" s="2969"/>
      <c r="G89" s="2969"/>
      <c r="H89" s="297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2277</v>
      </c>
      <c r="C90" s="235"/>
      <c r="D90" s="225"/>
      <c r="E90" s="236" t="str">
        <f>IF(H88="-","土地取得成本中已包含该笔费用"," ")</f>
        <v xml:space="preserve"> </v>
      </c>
      <c r="F90" s="2969"/>
      <c r="G90" s="2969"/>
      <c r="H90" s="297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2278</v>
      </c>
      <c r="B91" s="197" t="s">
        <v>2279</v>
      </c>
      <c r="C91" s="224">
        <f>IF(H91="——",成本法!C33,I91)</f>
        <v>0</v>
      </c>
      <c r="D91" s="225"/>
      <c r="E91" s="3199" t="s">
        <v>2280</v>
      </c>
      <c r="F91" s="3200"/>
      <c r="G91" s="3200"/>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2282</v>
      </c>
      <c r="B92" s="197" t="s">
        <v>2283</v>
      </c>
      <c r="C92" s="224">
        <f>ROUND((C87+C90+C91)*D92,0)</f>
        <v>0</v>
      </c>
      <c r="D92" s="225">
        <v>0.1</v>
      </c>
      <c r="E92" s="3199" t="s">
        <v>2284</v>
      </c>
      <c r="F92" s="3200"/>
      <c r="G92" s="3200"/>
      <c r="H92" s="32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2285</v>
      </c>
      <c r="B93" s="197" t="s">
        <v>2266</v>
      </c>
      <c r="C93" s="224">
        <f ca="1">ROUND(D45*D93/(1+'数据-取费表'!C42),0)</f>
        <v>547</v>
      </c>
      <c r="D93" s="225">
        <f>'数据-取费表'!B43</f>
        <v>6.000000000000001E-3</v>
      </c>
      <c r="E93" s="3199" t="s">
        <v>2267</v>
      </c>
      <c r="F93" s="3200"/>
      <c r="G93" s="3200"/>
      <c r="H93" s="32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2286</v>
      </c>
      <c r="B94" s="197" t="s">
        <v>2287</v>
      </c>
      <c r="C94" s="235">
        <f>ROUND((C87+C90+C91)*D94,0)</f>
        <v>0</v>
      </c>
      <c r="D94" s="225">
        <v>0.2</v>
      </c>
      <c r="E94" s="3247" t="s">
        <v>2288</v>
      </c>
      <c r="F94" s="3248"/>
      <c r="G94" s="3248"/>
      <c r="H94" s="324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3" t="s">
        <v>2268</v>
      </c>
      <c r="C95" s="206">
        <f ca="1">ROUND(C85-C86,0)</f>
        <v>90665</v>
      </c>
      <c r="D95" s="199" t="s">
        <v>32</v>
      </c>
      <c r="E95" s="2972"/>
      <c r="F95" s="2967"/>
      <c r="G95" s="2967"/>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2269</v>
      </c>
      <c r="C96" s="226">
        <f ca="1">IF(C95&lt;=0,0,C95/C86)</f>
        <v>165.74954296160877</v>
      </c>
      <c r="D96" s="199" t="s">
        <v>32</v>
      </c>
      <c r="E96" s="2979"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2270</v>
      </c>
      <c r="C97" s="227">
        <f ca="1">ROUND(IF(C95&lt;=0,0,IF(C96&gt;=200%,C95*60%-C86*35%,IF(C96&gt;=100%,C95*50%-C86*15%,IF(C96&gt;=50%,C95*40%-C86*5%,IF(C96&lt;50%,C95*30%,0))))),0)</f>
        <v>54208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7"/>
    </row>
    <row r="99" spans="1:35" ht="21.75" customHeight="1" thickBot="1">
      <c r="A99" s="2472" t="s">
        <v>2289</v>
      </c>
      <c r="B99" s="2416"/>
      <c r="C99" s="2416"/>
      <c r="D99" s="2416"/>
      <c r="E99" s="2163"/>
      <c r="F99" s="2163"/>
      <c r="G99" s="2163"/>
      <c r="H99" s="2162"/>
      <c r="I99" s="137"/>
    </row>
    <row r="100" spans="1:35" ht="18.75" customHeight="1">
      <c r="A100" s="3151" t="s">
        <v>2290</v>
      </c>
      <c r="B100" s="3152"/>
      <c r="C100" s="3152"/>
      <c r="D100" s="3183"/>
      <c r="E100" s="3152" t="s">
        <v>2291</v>
      </c>
      <c r="F100" s="3152"/>
      <c r="G100" s="3152"/>
      <c r="H100" s="3183"/>
      <c r="I100" s="137"/>
    </row>
    <row r="101" spans="1:35" ht="18.75" customHeight="1">
      <c r="A101" s="3191" t="s">
        <v>2292</v>
      </c>
      <c r="B101" s="3192"/>
      <c r="C101" s="735" t="str">
        <f>C4</f>
        <v>收益法 (元)</v>
      </c>
      <c r="D101" s="736" t="str">
        <f>D4</f>
        <v>典型户型修正车位</v>
      </c>
      <c r="E101" s="3163" t="s">
        <v>2293</v>
      </c>
      <c r="F101" s="3164"/>
      <c r="G101" s="2518" t="s">
        <v>2294</v>
      </c>
      <c r="H101" s="1044">
        <f ca="1">H118</f>
        <v>95773</v>
      </c>
      <c r="I101" s="137"/>
    </row>
    <row r="102" spans="1:35" ht="18.75" customHeight="1">
      <c r="A102" s="3193" t="s">
        <v>2295</v>
      </c>
      <c r="B102" s="2518" t="s">
        <v>2294</v>
      </c>
      <c r="C102" s="735">
        <f ca="1">C19</f>
        <v>717</v>
      </c>
      <c r="D102" s="736">
        <f ca="1">D19</f>
        <v>3327</v>
      </c>
      <c r="E102" s="3163"/>
      <c r="F102" s="3164"/>
      <c r="G102" s="2518" t="s">
        <v>2296</v>
      </c>
      <c r="H102" s="370">
        <f ca="1">I118</f>
        <v>27568</v>
      </c>
      <c r="I102" s="137"/>
    </row>
    <row r="103" spans="1:35" ht="42.75" customHeight="1">
      <c r="A103" s="3193"/>
      <c r="B103" s="2518" t="s">
        <v>2296</v>
      </c>
      <c r="C103" s="737">
        <f ca="1">C20</f>
        <v>2013</v>
      </c>
      <c r="D103" s="738">
        <f ca="1">D20</f>
        <v>9347</v>
      </c>
      <c r="E103" s="3157" t="s">
        <v>2297</v>
      </c>
      <c r="F103" s="3158"/>
      <c r="G103" s="2519" t="s">
        <v>2298</v>
      </c>
      <c r="H103" s="1044">
        <f>IF(D36="正常操作",H104+H105+H106,H105+H106)</f>
        <v>0</v>
      </c>
      <c r="I103" s="137"/>
    </row>
    <row r="104" spans="1:35" ht="18.75" customHeight="1">
      <c r="A104" s="3193" t="s">
        <v>2299</v>
      </c>
      <c r="B104" s="2520" t="s">
        <v>2294</v>
      </c>
      <c r="C104" s="739">
        <f ca="1">H118</f>
        <v>95773</v>
      </c>
      <c r="D104" s="740"/>
      <c r="E104" s="2264" t="s">
        <v>2300</v>
      </c>
      <c r="F104" s="2255"/>
      <c r="G104" s="2519" t="s">
        <v>2298</v>
      </c>
      <c r="H104" s="1045">
        <f>IF(D36="同一抵押权人同一抵押物续贷",C36&amp;"（未扣减，详见特别提示）",C36)</f>
        <v>0</v>
      </c>
      <c r="I104" s="137"/>
    </row>
    <row r="105" spans="1:35" ht="18.75" customHeight="1" thickBot="1">
      <c r="A105" s="3205"/>
      <c r="B105" s="2521" t="s">
        <v>2296</v>
      </c>
      <c r="C105" s="741">
        <f ca="1">I118</f>
        <v>27568</v>
      </c>
      <c r="D105" s="742"/>
      <c r="E105" s="2264" t="s">
        <v>2301</v>
      </c>
      <c r="F105" s="2255"/>
      <c r="G105" s="2519" t="s">
        <v>2298</v>
      </c>
      <c r="H105" s="1045">
        <f>C37</f>
        <v>0</v>
      </c>
      <c r="I105" s="137"/>
    </row>
    <row r="106" spans="1:35" ht="18.75" customHeight="1">
      <c r="A106" s="2416" t="s">
        <v>2302</v>
      </c>
      <c r="B106" s="2416"/>
      <c r="C106" s="2416"/>
      <c r="D106" s="2416"/>
      <c r="E106" s="2522" t="s">
        <v>2303</v>
      </c>
      <c r="F106" s="2255"/>
      <c r="G106" s="2519" t="s">
        <v>2298</v>
      </c>
      <c r="H106" s="1045">
        <f>C38</f>
        <v>0</v>
      </c>
      <c r="I106" s="137"/>
    </row>
    <row r="107" spans="1:35" ht="18.75" customHeight="1">
      <c r="A107" s="137"/>
      <c r="B107" s="137"/>
      <c r="C107" s="137"/>
      <c r="D107" s="137"/>
      <c r="E107" s="3194" t="str">
        <f>IF(项目基本情况!E8="已注销","——","3.房地产抵押价值")</f>
        <v>3.房地产抵押价值</v>
      </c>
      <c r="F107" s="3164"/>
      <c r="G107" s="2518" t="s">
        <v>2294</v>
      </c>
      <c r="H107" s="1044">
        <f ca="1">IF(E107="——","——",H101-H103)</f>
        <v>95773</v>
      </c>
      <c r="I107" s="137"/>
    </row>
    <row r="108" spans="1:35" ht="18.75" customHeight="1">
      <c r="A108" s="137"/>
      <c r="B108" s="137"/>
      <c r="C108" s="137"/>
      <c r="D108" s="137"/>
      <c r="E108" s="3194"/>
      <c r="F108" s="3164"/>
      <c r="G108" s="2518" t="s">
        <v>2296</v>
      </c>
      <c r="H108" s="370">
        <f ca="1">ROUND(H107*10000/'数据-汇总表'!E3,0)</f>
        <v>27568</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64"/>
      <c r="G109" s="2518" t="s">
        <v>2294</v>
      </c>
      <c r="H109" s="347" t="str">
        <f>IF(E109="——","——",H101-H105-H106)</f>
        <v>——</v>
      </c>
      <c r="I109" s="137"/>
    </row>
    <row r="110" spans="1:35" ht="18.75" customHeight="1">
      <c r="A110" s="137"/>
      <c r="B110" s="137"/>
      <c r="C110" s="137"/>
      <c r="D110" s="137"/>
      <c r="E110" s="3194"/>
      <c r="F110" s="3164"/>
      <c r="G110" s="2518" t="s">
        <v>2296</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4.抵押净值</v>
      </c>
      <c r="F111" s="3196"/>
      <c r="G111" s="2518" t="s">
        <v>2294</v>
      </c>
      <c r="H111" s="1044">
        <f ca="1">IF(E111="——","——",N59)</f>
        <v>88444</v>
      </c>
      <c r="I111" s="137"/>
    </row>
    <row r="112" spans="1:35" ht="18.75" customHeight="1" thickBot="1">
      <c r="A112" s="137"/>
      <c r="B112" s="137"/>
      <c r="C112" s="137"/>
      <c r="D112" s="137"/>
      <c r="E112" s="3197"/>
      <c r="F112" s="3198"/>
      <c r="G112" s="2523" t="s">
        <v>2296</v>
      </c>
      <c r="H112" s="789">
        <f ca="1">IF(E111="——","——",N61)</f>
        <v>25458</v>
      </c>
      <c r="I112" s="137"/>
    </row>
    <row r="113" spans="1:11" ht="18.75" customHeight="1">
      <c r="A113" s="137"/>
      <c r="B113" s="137"/>
      <c r="C113" s="137"/>
      <c r="D113" s="137"/>
      <c r="E113" s="3206" t="s">
        <v>2302</v>
      </c>
      <c r="F113" s="3206"/>
      <c r="G113" s="3206"/>
      <c r="H113" s="3206"/>
      <c r="I113" s="137"/>
    </row>
    <row r="114" spans="1:11" ht="3.75" customHeight="1">
      <c r="A114" s="2416"/>
      <c r="B114" s="2416"/>
      <c r="C114" s="2416"/>
      <c r="D114" s="2416"/>
      <c r="E114" s="2494"/>
      <c r="F114" s="2494"/>
      <c r="G114" s="2494"/>
      <c r="H114" s="2494"/>
      <c r="I114" s="2416"/>
    </row>
    <row r="115" spans="1:11" ht="18.75" customHeight="1">
      <c r="A115" s="3219" t="s">
        <v>2304</v>
      </c>
      <c r="B115" s="3220"/>
      <c r="C115" s="3220"/>
      <c r="D115" s="3220"/>
      <c r="E115" s="3220"/>
      <c r="F115" s="3220"/>
      <c r="G115" s="3220"/>
      <c r="H115" s="3220"/>
      <c r="I115" s="3221"/>
    </row>
    <row r="116" spans="1:11" ht="27" customHeight="1">
      <c r="A116" s="3130" t="s">
        <v>2305</v>
      </c>
      <c r="B116" s="3173" t="s">
        <v>3282</v>
      </c>
      <c r="C116" s="3173" t="s">
        <v>3283</v>
      </c>
      <c r="D116" s="3179" t="s">
        <v>2308</v>
      </c>
      <c r="E116" s="3180"/>
      <c r="F116" s="3215" t="s">
        <v>3281</v>
      </c>
      <c r="G116" s="3215"/>
      <c r="H116" s="3130" t="s">
        <v>2310</v>
      </c>
      <c r="I116" s="3130"/>
    </row>
    <row r="117" spans="1:11" ht="18.75" customHeight="1">
      <c r="A117" s="3130"/>
      <c r="B117" s="3174"/>
      <c r="C117" s="3174"/>
      <c r="D117" s="2965" t="s">
        <v>2311</v>
      </c>
      <c r="E117" s="2965" t="s">
        <v>2312</v>
      </c>
      <c r="F117" s="2965" t="s">
        <v>2311</v>
      </c>
      <c r="G117" s="2965" t="s">
        <v>2313</v>
      </c>
      <c r="H117" s="2965" t="s">
        <v>2311</v>
      </c>
      <c r="I117" s="2965" t="s">
        <v>2313</v>
      </c>
    </row>
    <row r="118" spans="1:11" ht="24.75" customHeight="1">
      <c r="A118" s="2524" t="str">
        <f>项目基本情况!S2</f>
        <v>北京市朝阳区北苑路28号院1号楼房地产</v>
      </c>
      <c r="B118" s="2965">
        <f>M18</f>
        <v>34740.85</v>
      </c>
      <c r="C118" s="2965">
        <f>M19</f>
        <v>10186.06</v>
      </c>
      <c r="D118" s="2965">
        <f ca="1">结果表!D118+'结果表 (2)'!D118</f>
        <v>75184</v>
      </c>
      <c r="E118" s="2965">
        <f ca="1">ROUND(IF(C33="自定义",IF(D32="楼面单价",C34,D118*10000/B118),I118-G118),0)</f>
        <v>21641</v>
      </c>
      <c r="F118" s="2965">
        <f ca="1">结果表!F118+'结果表 (2)'!F118</f>
        <v>20589</v>
      </c>
      <c r="G118" s="2965">
        <f ca="1">ROUND(IF(D32="楼面单价",C35,F118*10000/B118),0)</f>
        <v>5926</v>
      </c>
      <c r="H118" s="2965">
        <f ca="1">结果表!H118+'结果表 (2)'!H118</f>
        <v>95773</v>
      </c>
      <c r="I118" s="2965">
        <f ca="1">ROUND(IF(D32="楼面单价",C32,H118*10000/B118),0)</f>
        <v>27568</v>
      </c>
    </row>
    <row r="119" spans="1:11" ht="18.75" customHeight="1">
      <c r="A119" s="3130" t="s">
        <v>2314</v>
      </c>
      <c r="B119" s="3130"/>
      <c r="C119" s="3130"/>
      <c r="D119" s="3175" t="str">
        <f ca="1">NUMBERSTRING(INT(D118*10000),2)&amp;"元整"</f>
        <v>柒亿伍仟壹佰捌拾肆万元整</v>
      </c>
      <c r="E119" s="3176"/>
      <c r="F119" s="3175" t="str">
        <f ca="1">NUMBERSTRING(INT(F118*10000),2)&amp;"元整"</f>
        <v>贰亿零伍佰捌拾玖万元整</v>
      </c>
      <c r="G119" s="3176"/>
      <c r="H119" s="3175" t="str">
        <f ca="1">NUMBERSTRING(INT(H118*10000),2)&amp;"元整"</f>
        <v>玖亿伍仟柒佰柒拾叁万元整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1" t="str">
        <f>IF(D120=0,"故，本次评估不存在"&amp;A120,"故，本次评估"&amp;A120&amp;"为人民币"&amp;D120&amp;"万元整。")</f>
        <v>故，本次评估不存在估价师知悉的法定优先受偿款</v>
      </c>
    </row>
    <row r="121" spans="1:11" ht="18.75" customHeight="1">
      <c r="A121" s="3216" t="s">
        <v>2314</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房地产抵押价值</v>
      </c>
      <c r="B122" s="3181"/>
      <c r="C122" s="3181"/>
      <c r="D122" s="3170">
        <f ca="1">H107</f>
        <v>95773</v>
      </c>
      <c r="E122" s="3171"/>
      <c r="F122" s="3171"/>
      <c r="G122" s="3171"/>
      <c r="H122" s="3171"/>
      <c r="I122" s="3172"/>
    </row>
    <row r="123" spans="1:11" ht="18.75" customHeight="1">
      <c r="A123" s="3130" t="s">
        <v>2314</v>
      </c>
      <c r="B123" s="3130"/>
      <c r="C123" s="3130"/>
      <c r="D123" s="3175" t="str">
        <f ca="1">NUMBERSTRING(INT(D122*10000),2)&amp;"元整"</f>
        <v>玖亿伍仟柒佰柒拾叁万元整</v>
      </c>
      <c r="E123" s="3177"/>
      <c r="F123" s="3177"/>
      <c r="G123" s="3177"/>
      <c r="H123" s="3177"/>
      <c r="I123" s="3176"/>
    </row>
    <row r="124" spans="1:11" ht="18.75" customHeight="1">
      <c r="A124" s="3181" t="str">
        <f>IF(项目基本情况!B9="房地产市场价值","",MID(E109,3,LEN(E109)-2))</f>
        <v/>
      </c>
      <c r="B124" s="3181"/>
      <c r="C124" s="3181"/>
      <c r="D124" s="3170" t="str">
        <f>H109</f>
        <v>——</v>
      </c>
      <c r="E124" s="3171"/>
      <c r="F124" s="3171"/>
      <c r="G124" s="3171"/>
      <c r="H124" s="3171"/>
      <c r="I124" s="3172"/>
    </row>
    <row r="125" spans="1:11" ht="18.75" customHeight="1">
      <c r="A125" s="3130" t="s">
        <v>2314</v>
      </c>
      <c r="B125" s="3130"/>
      <c r="C125" s="3130"/>
      <c r="D125" s="3175" t="e">
        <f>NUMBERSTRING(INT(D124*10000),2)&amp;"元整"</f>
        <v>#VALUE!</v>
      </c>
      <c r="E125" s="3177"/>
      <c r="F125" s="3177"/>
      <c r="G125" s="3177"/>
      <c r="H125" s="3177"/>
      <c r="I125" s="3176"/>
    </row>
    <row r="126" spans="1:11" ht="18.75" customHeight="1">
      <c r="A126" s="3181" t="str">
        <f>IF(项目基本情况!B9="房地产市场价值","",MID(E111,3,LEN(E111)-2))</f>
        <v>抵押净值</v>
      </c>
      <c r="B126" s="3181"/>
      <c r="C126" s="3181"/>
      <c r="D126" s="3170">
        <f ca="1">H111</f>
        <v>88444</v>
      </c>
      <c r="E126" s="3171"/>
      <c r="F126" s="3171"/>
      <c r="G126" s="3171"/>
      <c r="H126" s="3171"/>
      <c r="I126" s="3172"/>
    </row>
    <row r="127" spans="1:11" ht="18.75" customHeight="1">
      <c r="A127" s="3130" t="s">
        <v>2314</v>
      </c>
      <c r="B127" s="3130"/>
      <c r="C127" s="3130"/>
      <c r="D127" s="3175" t="str">
        <f ca="1">NUMBERSTRING(INT(D126*10000),2)&amp;"元整"</f>
        <v>捌亿捌仟肆佰肆拾肆万元整</v>
      </c>
      <c r="E127" s="3177"/>
      <c r="F127" s="3177"/>
      <c r="G127" s="3177"/>
      <c r="H127" s="3177"/>
      <c r="I127" s="3176"/>
    </row>
    <row r="128" spans="1:11" ht="21.75" customHeight="1">
      <c r="A128" s="3178" t="s">
        <v>2315</v>
      </c>
      <c r="B128" s="3178"/>
      <c r="C128" s="3178"/>
      <c r="D128" s="3178"/>
      <c r="E128" s="3178"/>
      <c r="F128" s="3178"/>
      <c r="G128" s="3178"/>
      <c r="H128" s="3178"/>
      <c r="I128" s="317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 priority="10" stopIfTrue="1" operator="equal">
      <formula>25</formula>
    </cfRule>
  </conditionalFormatting>
  <conditionalFormatting sqref="C8:C9">
    <cfRule type="cellIs" dxfId="11" priority="9" stopIfTrue="1" operator="equal">
      <formula>15</formula>
    </cfRule>
  </conditionalFormatting>
  <conditionalFormatting sqref="C14:C16">
    <cfRule type="cellIs" dxfId="10" priority="8" stopIfTrue="1" operator="equal">
      <formula>30</formula>
    </cfRule>
  </conditionalFormatting>
  <conditionalFormatting sqref="D5:D7">
    <cfRule type="cellIs" dxfId="9" priority="7" stopIfTrue="1" operator="equal">
      <formula>25</formula>
    </cfRule>
  </conditionalFormatting>
  <conditionalFormatting sqref="D8:D9">
    <cfRule type="cellIs" dxfId="8" priority="6" stopIfTrue="1" operator="equal">
      <formula>15</formula>
    </cfRule>
  </conditionalFormatting>
  <conditionalFormatting sqref="C10:D13">
    <cfRule type="cellIs" dxfId="7" priority="5" stopIfTrue="1" operator="equal">
      <formula>15</formula>
    </cfRule>
  </conditionalFormatting>
  <conditionalFormatting sqref="D14:D16">
    <cfRule type="cellIs" dxfId="6" priority="4"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E36">
    <cfRule type="expression" dxfId="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28"/>
  <sheetViews>
    <sheetView tabSelected="1" topLeftCell="A109" workbookViewId="0">
      <selection activeCell="F7" sqref="F7"/>
    </sheetView>
  </sheetViews>
  <sheetFormatPr defaultRowHeight="16.5"/>
  <cols>
    <col min="1" max="4" width="9" style="2983"/>
    <col min="5" max="5" width="9.75" style="2983" bestFit="1" customWidth="1"/>
    <col min="6" max="6" width="9" style="2983"/>
    <col min="7" max="7" width="10.625" style="2983" bestFit="1" customWidth="1"/>
    <col min="8" max="16384" width="9" style="2983"/>
  </cols>
  <sheetData>
    <row r="5" spans="4:8">
      <c r="D5" s="2983" t="s">
        <v>3073</v>
      </c>
      <c r="E5" s="2983" t="s">
        <v>3074</v>
      </c>
      <c r="F5" s="2983" t="s">
        <v>3075</v>
      </c>
    </row>
    <row r="6" spans="4:8">
      <c r="D6" s="2983">
        <v>1</v>
      </c>
      <c r="E6" s="2983">
        <v>5971.11</v>
      </c>
      <c r="F6" s="3056">
        <v>8.5</v>
      </c>
      <c r="G6" s="2983">
        <v>1</v>
      </c>
    </row>
    <row r="7" spans="4:8">
      <c r="D7" s="2983">
        <v>2</v>
      </c>
      <c r="E7" s="2983">
        <v>5964.67</v>
      </c>
      <c r="F7" s="2983">
        <f>$F$6*G7</f>
        <v>5.9499999999999993</v>
      </c>
      <c r="G7" s="2983">
        <f>典型户型修正商业!D18/100</f>
        <v>0.7</v>
      </c>
    </row>
    <row r="8" spans="4:8">
      <c r="D8" s="2983">
        <v>3</v>
      </c>
      <c r="E8" s="2983">
        <v>6506.73</v>
      </c>
      <c r="F8" s="2983">
        <f t="shared" ref="F8:F10" si="0">$F$6*G8</f>
        <v>5.0999999999999996</v>
      </c>
      <c r="G8" s="2983">
        <f>典型户型修正商业!E18/100</f>
        <v>0.6</v>
      </c>
    </row>
    <row r="9" spans="4:8">
      <c r="D9" s="2983">
        <v>4</v>
      </c>
      <c r="E9" s="2983">
        <v>6522.04</v>
      </c>
      <c r="F9" s="2983">
        <f t="shared" si="0"/>
        <v>4.25</v>
      </c>
      <c r="G9" s="2983">
        <f>典型户型修正商业!F18/100</f>
        <v>0.5</v>
      </c>
      <c r="H9" s="2983">
        <f>E6+E7+E8+E9</f>
        <v>24964.55</v>
      </c>
    </row>
    <row r="10" spans="4:8">
      <c r="D10" s="2983" t="s">
        <v>3076</v>
      </c>
      <c r="E10" s="2983">
        <v>6216.72</v>
      </c>
      <c r="F10" s="2983">
        <f t="shared" si="0"/>
        <v>5.0999999999999996</v>
      </c>
      <c r="G10" s="2983">
        <f>典型户型修正商业!G18/100</f>
        <v>0.6</v>
      </c>
    </row>
    <row r="11" spans="4:8">
      <c r="D11" s="2983" t="s">
        <v>3072</v>
      </c>
      <c r="E11" s="3056">
        <v>3559.58</v>
      </c>
      <c r="F11" s="3056"/>
      <c r="G11" s="3056"/>
    </row>
    <row r="12" spans="4:8">
      <c r="D12" s="2983" t="s">
        <v>3077</v>
      </c>
      <c r="E12" s="2983">
        <f>SUM(E6:E11)</f>
        <v>34740.85</v>
      </c>
      <c r="F12" s="2983">
        <f>ROUND((E6*F6+E7*F7+E8*F8+E9*F9+E10*F10)/H12,2)</f>
        <v>5.74</v>
      </c>
      <c r="H12" s="2983">
        <f>SUM(E6:E10)</f>
        <v>31181.27</v>
      </c>
    </row>
    <row r="13" spans="4:8">
      <c r="E13" s="2983">
        <f>E12-E11-E10</f>
        <v>24964.549999999996</v>
      </c>
    </row>
    <row r="119" spans="1:9" ht="17.25" thickBot="1"/>
    <row r="120" spans="1:9" ht="25.5" customHeight="1" thickTop="1">
      <c r="A120" s="3397" t="s">
        <v>3292</v>
      </c>
      <c r="B120" s="3397" t="s">
        <v>3282</v>
      </c>
      <c r="C120" s="3397" t="s">
        <v>3293</v>
      </c>
      <c r="D120" s="3395" t="s">
        <v>3294</v>
      </c>
      <c r="E120" s="3396"/>
      <c r="F120" s="3395" t="s">
        <v>3281</v>
      </c>
      <c r="G120" s="3396"/>
      <c r="H120" s="3395" t="s">
        <v>3295</v>
      </c>
      <c r="I120" s="3396"/>
    </row>
    <row r="121" spans="1:9">
      <c r="A121" s="3398"/>
      <c r="B121" s="3398"/>
      <c r="C121" s="3398"/>
      <c r="D121" s="3057" t="s">
        <v>3296</v>
      </c>
      <c r="E121" s="3057" t="s">
        <v>3297</v>
      </c>
      <c r="F121" s="3057" t="s">
        <v>3298</v>
      </c>
      <c r="G121" s="3057" t="s">
        <v>3297</v>
      </c>
      <c r="H121" s="3057" t="s">
        <v>3298</v>
      </c>
      <c r="I121" s="3057" t="s">
        <v>3297</v>
      </c>
    </row>
    <row r="122" spans="1:9" ht="63.75">
      <c r="A122" s="3058" t="s">
        <v>3299</v>
      </c>
      <c r="B122" s="3059">
        <v>34740.85</v>
      </c>
      <c r="C122" s="3059">
        <v>10186.06</v>
      </c>
      <c r="D122" s="3059">
        <f ca="1">'结果表 (2)'!D118+结果表!D118</f>
        <v>75184</v>
      </c>
      <c r="E122" s="3059">
        <f ca="1">ROUND(D122/B122*10000,0)</f>
        <v>21641</v>
      </c>
      <c r="F122" s="3059">
        <f ca="1">结果表!F118+'结果表 (2)'!F118</f>
        <v>20589</v>
      </c>
      <c r="G122" s="3059">
        <f ca="1">ROUND(F122/B122*10000,0)</f>
        <v>5926</v>
      </c>
      <c r="H122" s="3059">
        <f ca="1">D122+F122</f>
        <v>95773</v>
      </c>
      <c r="I122" s="3059">
        <f ca="1">E122+G122</f>
        <v>27567</v>
      </c>
    </row>
    <row r="123" spans="1:9" ht="22.5" customHeight="1">
      <c r="A123" s="3399" t="s">
        <v>3300</v>
      </c>
      <c r="B123" s="3400"/>
      <c r="C123" s="3401"/>
      <c r="D123" s="3402">
        <f ca="1">D122*10000</f>
        <v>751840000</v>
      </c>
      <c r="E123" s="3403"/>
      <c r="F123" s="3402">
        <f ca="1">F122*10000</f>
        <v>205890000</v>
      </c>
      <c r="G123" s="3403"/>
      <c r="H123" s="3404">
        <f ca="1">H122*10000</f>
        <v>957730000</v>
      </c>
      <c r="I123" s="3405"/>
    </row>
    <row r="124" spans="1:9">
      <c r="A124" s="3406" t="s">
        <v>3301</v>
      </c>
      <c r="B124" s="3407"/>
      <c r="C124" s="3408"/>
      <c r="D124" s="3409">
        <v>0</v>
      </c>
      <c r="E124" s="3410"/>
      <c r="F124" s="3410"/>
      <c r="G124" s="3410"/>
      <c r="H124" s="3410"/>
      <c r="I124" s="3411"/>
    </row>
    <row r="125" spans="1:9">
      <c r="A125" s="3399" t="s">
        <v>3300</v>
      </c>
      <c r="B125" s="3400"/>
      <c r="C125" s="3401"/>
      <c r="D125" s="3412" t="s">
        <v>3302</v>
      </c>
      <c r="E125" s="3413"/>
      <c r="F125" s="3413"/>
      <c r="G125" s="3413"/>
      <c r="H125" s="3413"/>
      <c r="I125" s="3414"/>
    </row>
    <row r="126" spans="1:9" ht="25.5" customHeight="1">
      <c r="A126" s="3406" t="s">
        <v>3303</v>
      </c>
      <c r="B126" s="3407"/>
      <c r="C126" s="3408"/>
      <c r="D126" s="3415">
        <f ca="1">H122</f>
        <v>95773</v>
      </c>
      <c r="E126" s="3416"/>
      <c r="F126" s="3416"/>
      <c r="G126" s="3416"/>
      <c r="H126" s="3416"/>
      <c r="I126" s="3417"/>
    </row>
    <row r="127" spans="1:9">
      <c r="A127" s="3399" t="s">
        <v>3300</v>
      </c>
      <c r="B127" s="3400"/>
      <c r="C127" s="3401"/>
      <c r="D127" s="3404">
        <f ca="1">H123</f>
        <v>957730000</v>
      </c>
      <c r="E127" s="3400"/>
      <c r="F127" s="3400"/>
      <c r="G127" s="3400"/>
      <c r="H127" s="3400"/>
      <c r="I127" s="3401"/>
    </row>
    <row r="128" spans="1:9">
      <c r="A128" s="3060" t="s">
        <v>3304</v>
      </c>
      <c r="B128"/>
      <c r="C128"/>
      <c r="D128"/>
      <c r="E128"/>
      <c r="F128"/>
      <c r="G128"/>
      <c r="H128"/>
      <c r="I128"/>
    </row>
  </sheetData>
  <mergeCells count="18">
    <mergeCell ref="A125:C125"/>
    <mergeCell ref="D125:I125"/>
    <mergeCell ref="A126:C126"/>
    <mergeCell ref="D126:I126"/>
    <mergeCell ref="A127:C127"/>
    <mergeCell ref="D127:I127"/>
    <mergeCell ref="A123:C123"/>
    <mergeCell ref="D123:E123"/>
    <mergeCell ref="F123:G123"/>
    <mergeCell ref="H123:I123"/>
    <mergeCell ref="A124:C124"/>
    <mergeCell ref="D124:I124"/>
    <mergeCell ref="H120:I120"/>
    <mergeCell ref="A120:A121"/>
    <mergeCell ref="B120:B121"/>
    <mergeCell ref="C120:C121"/>
    <mergeCell ref="D120:E120"/>
    <mergeCell ref="F120:G120"/>
  </mergeCells>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7"/>
  <sheetViews>
    <sheetView workbookViewId="0">
      <selection activeCell="C20" sqref="C20"/>
    </sheetView>
  </sheetViews>
  <sheetFormatPr defaultRowHeight="13.5"/>
  <cols>
    <col min="1" max="1" width="8.75" style="1737" bestFit="1" customWidth="1"/>
    <col min="2" max="2" width="14.75" style="1737" bestFit="1" customWidth="1"/>
    <col min="3" max="3" width="20.625" style="1737" bestFit="1" customWidth="1"/>
    <col min="4" max="4" width="15.625" style="1737" bestFit="1" customWidth="1"/>
    <col min="5" max="5" width="10.875" style="1737" bestFit="1" customWidth="1"/>
    <col min="6" max="8" width="9" style="1737"/>
    <col min="9" max="9" width="10.5" style="1737" bestFit="1" customWidth="1"/>
    <col min="10" max="10" width="11.875" style="1737" customWidth="1"/>
    <col min="11" max="11" width="13.875" style="1737" customWidth="1"/>
    <col min="12" max="16384" width="9" style="1737"/>
  </cols>
  <sheetData>
    <row r="3" spans="1:11">
      <c r="A3" s="1737" t="s">
        <v>3078</v>
      </c>
      <c r="B3" s="2984">
        <v>1</v>
      </c>
    </row>
    <row r="4" spans="1:11">
      <c r="A4" s="1737" t="s">
        <v>3079</v>
      </c>
      <c r="B4" s="2984">
        <v>0</v>
      </c>
    </row>
    <row r="6" spans="1:11">
      <c r="A6" s="1737" t="s">
        <v>3080</v>
      </c>
      <c r="B6" s="1737" t="s">
        <v>3081</v>
      </c>
      <c r="C6" s="1737" t="s">
        <v>3082</v>
      </c>
      <c r="D6" s="1737" t="s">
        <v>3083</v>
      </c>
      <c r="E6" s="1737" t="s">
        <v>3084</v>
      </c>
    </row>
    <row r="7" spans="1:11">
      <c r="A7" s="2984" t="s">
        <v>27</v>
      </c>
      <c r="B7" s="2985">
        <v>19170.71</v>
      </c>
      <c r="C7" s="2985">
        <v>6.132676776471996</v>
      </c>
      <c r="D7" s="2985">
        <v>117567.76800547946</v>
      </c>
      <c r="E7" s="2985">
        <v>8</v>
      </c>
      <c r="I7" s="2986"/>
    </row>
    <row r="8" spans="1:11">
      <c r="A8" s="2984" t="s">
        <v>1373</v>
      </c>
      <c r="B8" s="2985">
        <v>8336.16</v>
      </c>
      <c r="C8" s="2985">
        <v>4.9361339329589811</v>
      </c>
      <c r="D8" s="2985">
        <v>41148.402246575337</v>
      </c>
      <c r="E8" s="2985">
        <v>20</v>
      </c>
      <c r="I8" s="2986"/>
      <c r="J8" s="2986"/>
      <c r="K8" s="2986"/>
    </row>
    <row r="9" spans="1:11">
      <c r="A9" s="2984" t="s">
        <v>3085</v>
      </c>
      <c r="B9" s="2987">
        <v>27506.87</v>
      </c>
      <c r="C9" s="2988">
        <v>5.7700556352669263</v>
      </c>
      <c r="D9" s="2989">
        <v>158716.17025205476</v>
      </c>
      <c r="E9" s="2989">
        <v>28</v>
      </c>
      <c r="I9" s="2986"/>
    </row>
    <row r="10" spans="1:11">
      <c r="I10" s="2986"/>
    </row>
    <row r="11" spans="1:11">
      <c r="I11" s="2986"/>
    </row>
    <row r="15" spans="1:11">
      <c r="B15" s="2986"/>
      <c r="C15" s="2988"/>
    </row>
    <row r="16" spans="1:11">
      <c r="B16" s="2986"/>
      <c r="C16" s="2988"/>
    </row>
    <row r="17" spans="3:3">
      <c r="C17" s="2988"/>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1637</v>
      </c>
      <c r="B2" s="3076" t="s">
        <v>1638</v>
      </c>
      <c r="C2" s="3076" t="s">
        <v>1639</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7"/>
      <c r="B3" s="3077"/>
      <c r="C3" s="3077"/>
      <c r="D3" s="1043" t="s">
        <v>1634</v>
      </c>
      <c r="E3" s="1043" t="s">
        <v>1640</v>
      </c>
      <c r="F3" s="1043" t="s">
        <v>1634</v>
      </c>
      <c r="G3" s="1043" t="s">
        <v>1635</v>
      </c>
      <c r="H3" s="1043" t="s">
        <v>1634</v>
      </c>
      <c r="I3" s="1043" t="s">
        <v>1635</v>
      </c>
    </row>
    <row r="4" spans="1:9" ht="30">
      <c r="A4" s="1972" t="str">
        <f>项目基本情况!S2</f>
        <v>北京市朝阳区北苑路28号院1号楼房地产</v>
      </c>
      <c r="B4" s="1043">
        <f>项目基本情况!C17</f>
        <v>34740.85</v>
      </c>
      <c r="C4" s="1043">
        <f>项目基本情况!C18</f>
        <v>10186.06</v>
      </c>
      <c r="D4" s="1043">
        <f ca="1">结果表!D118</f>
        <v>74138</v>
      </c>
      <c r="E4" s="1043">
        <f ca="1">结果表!E118</f>
        <v>23777</v>
      </c>
      <c r="F4" s="1043">
        <f ca="1">结果表!F118</f>
        <v>19352</v>
      </c>
      <c r="G4" s="1043">
        <f ca="1">结果表!G118</f>
        <v>6206</v>
      </c>
      <c r="H4" s="1043">
        <f ca="1">结果表!H118</f>
        <v>93490</v>
      </c>
      <c r="I4" s="1043">
        <f ca="1">结果表!I118</f>
        <v>29983</v>
      </c>
    </row>
    <row r="5" spans="1:9" ht="30" customHeight="1">
      <c r="A5" s="3077" t="s">
        <v>1636</v>
      </c>
      <c r="B5" s="3077"/>
      <c r="C5" s="3077"/>
      <c r="D5" s="3078" t="str">
        <f ca="1">结果表!D119</f>
        <v>柒亿肆仟壹佰叁拾捌万元整</v>
      </c>
      <c r="E5" s="3078"/>
      <c r="F5" s="3078" t="str">
        <f ca="1">结果表!F119</f>
        <v>壹亿玖仟叁佰伍拾贰万元整</v>
      </c>
      <c r="G5" s="3078"/>
      <c r="H5" s="3078" t="str">
        <f ca="1">结果表!H119</f>
        <v>玖亿叁仟肆佰玖拾万元整</v>
      </c>
      <c r="I5" s="3078"/>
    </row>
    <row r="6" spans="1:9" ht="15.75">
      <c r="A6" s="3079" t="str">
        <f>结果表!A120</f>
        <v>估价师知悉的法定优先受偿款</v>
      </c>
      <c r="B6" s="3079"/>
      <c r="C6" s="3079"/>
      <c r="D6" s="3079">
        <f>结果表!D120</f>
        <v>0</v>
      </c>
      <c r="E6" s="3079"/>
      <c r="F6" s="3079"/>
      <c r="G6" s="3079"/>
      <c r="H6" s="3079"/>
      <c r="I6" s="3079"/>
    </row>
    <row r="7" spans="1:9" ht="15">
      <c r="A7" s="3077" t="s">
        <v>1636</v>
      </c>
      <c r="B7" s="3077"/>
      <c r="C7" s="3077"/>
      <c r="D7" s="3080" t="str">
        <f>结果表!D121</f>
        <v>零元整</v>
      </c>
      <c r="E7" s="3081"/>
      <c r="F7" s="3081"/>
      <c r="G7" s="3081"/>
      <c r="H7" s="3081"/>
      <c r="I7" s="3082"/>
    </row>
    <row r="8" spans="1:9" ht="15.75">
      <c r="A8" s="3079" t="str">
        <f>结果表!A122</f>
        <v>房地产抵押价值</v>
      </c>
      <c r="B8" s="3079"/>
      <c r="C8" s="3079"/>
      <c r="D8" s="3079">
        <f ca="1">结果表!D122</f>
        <v>93490</v>
      </c>
      <c r="E8" s="3079"/>
      <c r="F8" s="3079"/>
      <c r="G8" s="3079"/>
      <c r="H8" s="3079"/>
      <c r="I8" s="3079"/>
    </row>
    <row r="9" spans="1:9" ht="15">
      <c r="A9" s="3077" t="s">
        <v>1636</v>
      </c>
      <c r="B9" s="3077"/>
      <c r="C9" s="3077"/>
      <c r="D9" s="3078" t="str">
        <f ca="1">结果表!D123</f>
        <v>玖亿叁仟肆佰玖拾万元整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1636</v>
      </c>
      <c r="B11" s="3077"/>
      <c r="C11" s="3077"/>
      <c r="D11" s="3078" t="e">
        <f>结果表!D125</f>
        <v>#VALUE!</v>
      </c>
      <c r="E11" s="3078"/>
      <c r="F11" s="3078"/>
      <c r="G11" s="3078"/>
      <c r="H11" s="3078"/>
      <c r="I11" s="3078"/>
    </row>
    <row r="12" spans="1:9" ht="15.75">
      <c r="A12" s="3079" t="str">
        <f>结果表!A126</f>
        <v>抵押净值</v>
      </c>
      <c r="B12" s="3079"/>
      <c r="C12" s="3079"/>
      <c r="D12" s="3079">
        <f ca="1">结果表!D126</f>
        <v>40527</v>
      </c>
      <c r="E12" s="3079"/>
      <c r="F12" s="3079"/>
      <c r="G12" s="3079"/>
      <c r="H12" s="3079"/>
      <c r="I12" s="3079"/>
    </row>
    <row r="13" spans="1:9" ht="15.75" thickBot="1">
      <c r="A13" s="3083" t="s">
        <v>1636</v>
      </c>
      <c r="B13" s="3083"/>
      <c r="C13" s="3083"/>
      <c r="D13" s="3084" t="str">
        <f ca="1">结果表!D127</f>
        <v>肆亿零伍佰贰拾柒万元整</v>
      </c>
      <c r="E13" s="3084"/>
      <c r="F13" s="3084"/>
      <c r="G13" s="3084"/>
      <c r="H13" s="3084"/>
      <c r="I13" s="3084"/>
    </row>
    <row r="14" spans="1:9" ht="15" thickTop="1">
      <c r="A14" s="3085" t="s">
        <v>1641</v>
      </c>
      <c r="B14" s="3085"/>
      <c r="C14" s="3085"/>
      <c r="D14" s="3085"/>
      <c r="E14" s="3085"/>
      <c r="F14" s="3085"/>
      <c r="G14" s="3085"/>
      <c r="H14" s="3085"/>
      <c r="I14" s="3085"/>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88"/>
  <sheetViews>
    <sheetView zoomScale="80" zoomScaleNormal="80" workbookViewId="0">
      <pane xSplit="1" ySplit="4" topLeftCell="B8" activePane="bottomRight" state="frozen"/>
      <selection activeCell="C8" sqref="C8"/>
      <selection pane="topRight" activeCell="C8" sqref="C8"/>
      <selection pane="bottomLeft" activeCell="C8" sqref="C8"/>
      <selection pane="bottomRight" activeCell="F19" sqref="F19"/>
    </sheetView>
  </sheetViews>
  <sheetFormatPr defaultRowHeight="13.5"/>
  <cols>
    <col min="1" max="5" width="9" style="1737"/>
    <col min="6" max="6" width="16.875" style="1737" customWidth="1"/>
    <col min="7" max="7" width="9" style="1737"/>
    <col min="8" max="8" width="8.875" style="1737" bestFit="1" customWidth="1"/>
    <col min="9" max="9" width="10" style="1737" customWidth="1"/>
    <col min="10" max="10" width="12" style="1737" customWidth="1"/>
    <col min="11" max="11" width="13.25" style="1737" customWidth="1"/>
    <col min="12" max="12" width="8.875" style="3009" bestFit="1" customWidth="1"/>
    <col min="13" max="13" width="11.25" style="3009" customWidth="1"/>
    <col min="14" max="14" width="9.625" style="1737" bestFit="1" customWidth="1"/>
    <col min="15" max="15" width="19" style="1737" bestFit="1" customWidth="1"/>
    <col min="16" max="16" width="14.125" style="1737" customWidth="1"/>
    <col min="17" max="16384" width="9" style="1737"/>
  </cols>
  <sheetData>
    <row r="4" spans="2:17" ht="14.25">
      <c r="B4" s="1737" t="s">
        <v>3086</v>
      </c>
      <c r="C4" s="1737" t="s">
        <v>3087</v>
      </c>
      <c r="D4" s="1737" t="s">
        <v>3088</v>
      </c>
      <c r="E4" s="1737" t="s">
        <v>3089</v>
      </c>
      <c r="F4" s="2990" t="s">
        <v>3090</v>
      </c>
      <c r="G4" s="2990" t="s">
        <v>3091</v>
      </c>
      <c r="H4" s="2990" t="s">
        <v>3092</v>
      </c>
      <c r="I4" s="2990" t="s">
        <v>3093</v>
      </c>
      <c r="J4" s="2990" t="s">
        <v>3094</v>
      </c>
      <c r="K4" s="2990" t="s">
        <v>3095</v>
      </c>
      <c r="L4" s="2991" t="s">
        <v>3096</v>
      </c>
      <c r="M4" s="2992" t="s">
        <v>3097</v>
      </c>
      <c r="N4" s="2991" t="s">
        <v>3098</v>
      </c>
      <c r="Q4" s="2993"/>
    </row>
    <row r="5" spans="2:17" ht="14.25">
      <c r="B5" s="1737" t="s">
        <v>3099</v>
      </c>
      <c r="C5" s="1737">
        <f>IF(F5="空置",0,1)</f>
        <v>1</v>
      </c>
      <c r="D5" s="1737">
        <v>1</v>
      </c>
      <c r="E5" s="1737">
        <v>0</v>
      </c>
      <c r="F5" s="2993" t="s">
        <v>3100</v>
      </c>
      <c r="G5" s="2994" t="s">
        <v>3101</v>
      </c>
      <c r="H5" s="2995">
        <v>101</v>
      </c>
      <c r="I5" s="2996">
        <v>320</v>
      </c>
      <c r="J5" s="2997">
        <v>43466</v>
      </c>
      <c r="K5" s="2997">
        <v>43830</v>
      </c>
      <c r="L5" s="2998">
        <f>269732.65*4/365/320</f>
        <v>9.237419520547947</v>
      </c>
      <c r="M5" s="2999">
        <f>L5*I5</f>
        <v>2955.9742465753429</v>
      </c>
      <c r="Q5" s="2993"/>
    </row>
    <row r="6" spans="2:17" ht="14.25">
      <c r="B6" s="1737" t="s">
        <v>3099</v>
      </c>
      <c r="C6" s="1737">
        <f t="shared" ref="C6:C72" si="0">IF(F6="空置",0,1)</f>
        <v>1</v>
      </c>
      <c r="D6" s="1737">
        <v>1</v>
      </c>
      <c r="E6" s="1737">
        <v>1</v>
      </c>
      <c r="F6" s="3000" t="str">
        <f t="shared" ref="F6:I14" si="1">F5</f>
        <v>必胜客</v>
      </c>
      <c r="G6" s="3001" t="str">
        <f t="shared" si="1"/>
        <v>1F</v>
      </c>
      <c r="H6" s="3002">
        <f t="shared" si="1"/>
        <v>101</v>
      </c>
      <c r="I6" s="3003">
        <f t="shared" si="1"/>
        <v>320</v>
      </c>
      <c r="J6" s="3004">
        <v>43831</v>
      </c>
      <c r="K6" s="3004">
        <v>44196</v>
      </c>
      <c r="L6" s="2998">
        <f>298483.99*4/365/320</f>
        <v>10.222054452054795</v>
      </c>
      <c r="M6" s="2999">
        <f t="shared" ref="M6:M74" si="2">L6*I6</f>
        <v>3271.0574246575343</v>
      </c>
      <c r="O6" s="2986">
        <f>M5+M15+M17+M19+M22+M24+M26+M28+M30+M32+M34+M37+M39+M42+M45+M46+M50+M54+M57+M58+M61+M64+M66+M68+M70+M72+M74+M75+M76</f>
        <v>184136.33025205479</v>
      </c>
      <c r="Q6" s="2993"/>
    </row>
    <row r="7" spans="2:17" ht="14.25">
      <c r="B7" s="1737" t="s">
        <v>3102</v>
      </c>
      <c r="C7" s="1737">
        <f t="shared" si="0"/>
        <v>1</v>
      </c>
      <c r="D7" s="1737">
        <v>1</v>
      </c>
      <c r="E7" s="1737">
        <v>1</v>
      </c>
      <c r="F7" s="3000" t="str">
        <f t="shared" si="1"/>
        <v>必胜客</v>
      </c>
      <c r="G7" s="3001" t="str">
        <f t="shared" si="1"/>
        <v>1F</v>
      </c>
      <c r="H7" s="3002">
        <f t="shared" si="1"/>
        <v>101</v>
      </c>
      <c r="I7" s="3003">
        <f t="shared" si="1"/>
        <v>320</v>
      </c>
      <c r="J7" s="3005">
        <v>44197</v>
      </c>
      <c r="K7" s="3005">
        <v>44561</v>
      </c>
      <c r="L7" s="2998">
        <f>302935.6*4/365/320</f>
        <v>10.374506849315068</v>
      </c>
      <c r="M7" s="2999">
        <f t="shared" si="2"/>
        <v>3319.8421917808218</v>
      </c>
      <c r="O7" s="3047">
        <f>I5+I15+I17+I19+I22+I24+I26+I28+I30+I32+I34+I37+I39+I42+I45+I46+I50+I54+I57+I58+I61+I64+I66+I68+I70+I72+I74+I76+I44</f>
        <v>27537.87</v>
      </c>
      <c r="Q7" s="2993"/>
    </row>
    <row r="8" spans="2:17" ht="14.25">
      <c r="B8" s="1737" t="s">
        <v>3102</v>
      </c>
      <c r="C8" s="1737">
        <f t="shared" si="0"/>
        <v>1</v>
      </c>
      <c r="D8" s="1737">
        <v>1</v>
      </c>
      <c r="E8" s="1737">
        <v>1</v>
      </c>
      <c r="F8" s="3000" t="str">
        <f t="shared" si="1"/>
        <v>必胜客</v>
      </c>
      <c r="G8" s="3001" t="str">
        <f t="shared" si="1"/>
        <v>1F</v>
      </c>
      <c r="H8" s="3002">
        <f t="shared" si="1"/>
        <v>101</v>
      </c>
      <c r="I8" s="3003">
        <f t="shared" si="1"/>
        <v>320</v>
      </c>
      <c r="J8" s="3005">
        <v>44562</v>
      </c>
      <c r="K8" s="3005">
        <v>44926</v>
      </c>
      <c r="L8" s="2998">
        <f>328332.39*4/365/320</f>
        <v>11.24425993150685</v>
      </c>
      <c r="M8" s="2999">
        <f t="shared" si="2"/>
        <v>3598.1631780821917</v>
      </c>
      <c r="O8" s="3036">
        <f>O6/O7</f>
        <v>6.6866584181004125</v>
      </c>
      <c r="Q8" s="2993"/>
    </row>
    <row r="9" spans="2:17" ht="14.25">
      <c r="B9" s="1737" t="s">
        <v>3102</v>
      </c>
      <c r="C9" s="1737">
        <f t="shared" si="0"/>
        <v>1</v>
      </c>
      <c r="D9" s="1737">
        <v>1</v>
      </c>
      <c r="E9" s="1737">
        <v>1</v>
      </c>
      <c r="F9" s="3000" t="str">
        <f t="shared" si="1"/>
        <v>必胜客</v>
      </c>
      <c r="G9" s="3001" t="str">
        <f t="shared" si="1"/>
        <v>1F</v>
      </c>
      <c r="H9" s="3002">
        <f t="shared" si="1"/>
        <v>101</v>
      </c>
      <c r="I9" s="3003">
        <f t="shared" si="1"/>
        <v>320</v>
      </c>
      <c r="J9" s="3005">
        <v>44927</v>
      </c>
      <c r="K9" s="3005">
        <v>45291</v>
      </c>
      <c r="L9" s="2998">
        <f>333229.16*4/365/320</f>
        <v>11.411957534246575</v>
      </c>
      <c r="M9" s="2999">
        <f t="shared" si="2"/>
        <v>3651.826410958904</v>
      </c>
      <c r="Q9" s="2993"/>
    </row>
    <row r="10" spans="2:17" ht="14.25">
      <c r="B10" s="1737" t="s">
        <v>3102</v>
      </c>
      <c r="C10" s="1737">
        <f t="shared" si="0"/>
        <v>1</v>
      </c>
      <c r="D10" s="1737">
        <v>1</v>
      </c>
      <c r="E10" s="1737">
        <v>1</v>
      </c>
      <c r="F10" s="3000" t="str">
        <f t="shared" si="1"/>
        <v>必胜客</v>
      </c>
      <c r="G10" s="3001" t="str">
        <f t="shared" si="1"/>
        <v>1F</v>
      </c>
      <c r="H10" s="3002">
        <f t="shared" si="1"/>
        <v>101</v>
      </c>
      <c r="I10" s="3003">
        <f t="shared" si="1"/>
        <v>320</v>
      </c>
      <c r="J10" s="3005">
        <v>45292</v>
      </c>
      <c r="K10" s="3005">
        <v>45657</v>
      </c>
      <c r="L10" s="2998">
        <v>12.368685958904109</v>
      </c>
      <c r="M10" s="2999">
        <f t="shared" si="2"/>
        <v>3957.9795068493149</v>
      </c>
      <c r="Q10" s="2993"/>
    </row>
    <row r="11" spans="2:17" ht="14.25">
      <c r="B11" s="1737" t="s">
        <v>3102</v>
      </c>
      <c r="C11" s="1737">
        <f t="shared" si="0"/>
        <v>1</v>
      </c>
      <c r="D11" s="1737">
        <v>1</v>
      </c>
      <c r="E11" s="1737">
        <v>1</v>
      </c>
      <c r="F11" s="3000" t="str">
        <f t="shared" si="1"/>
        <v>必胜客</v>
      </c>
      <c r="G11" s="3001" t="str">
        <f t="shared" si="1"/>
        <v>1F</v>
      </c>
      <c r="H11" s="3002">
        <f t="shared" si="1"/>
        <v>101</v>
      </c>
      <c r="I11" s="3003">
        <f t="shared" si="1"/>
        <v>320</v>
      </c>
      <c r="J11" s="3005">
        <v>45658</v>
      </c>
      <c r="K11" s="3005">
        <v>46022</v>
      </c>
      <c r="L11" s="2998">
        <v>12.552126027397261</v>
      </c>
      <c r="M11" s="2999">
        <f t="shared" si="2"/>
        <v>4016.6803287671237</v>
      </c>
      <c r="Q11" s="2993"/>
    </row>
    <row r="12" spans="2:17" ht="14.25">
      <c r="B12" s="1737" t="s">
        <v>3102</v>
      </c>
      <c r="C12" s="1737">
        <f t="shared" si="0"/>
        <v>1</v>
      </c>
      <c r="D12" s="1737">
        <v>1</v>
      </c>
      <c r="E12" s="1737">
        <v>1</v>
      </c>
      <c r="F12" s="3000" t="str">
        <f t="shared" si="1"/>
        <v>必胜客</v>
      </c>
      <c r="G12" s="3001" t="str">
        <f t="shared" si="1"/>
        <v>1F</v>
      </c>
      <c r="H12" s="3002">
        <f t="shared" si="1"/>
        <v>101</v>
      </c>
      <c r="I12" s="3003">
        <f t="shared" si="1"/>
        <v>320</v>
      </c>
      <c r="J12" s="3005">
        <v>46023</v>
      </c>
      <c r="K12" s="3005">
        <v>46387</v>
      </c>
      <c r="L12" s="2998">
        <v>13.605554794520549</v>
      </c>
      <c r="M12" s="2999">
        <f t="shared" si="2"/>
        <v>4353.7775342465757</v>
      </c>
      <c r="Q12" s="2993"/>
    </row>
    <row r="13" spans="2:17" ht="14.25">
      <c r="B13" s="1737" t="s">
        <v>3102</v>
      </c>
      <c r="C13" s="1737">
        <f t="shared" si="0"/>
        <v>1</v>
      </c>
      <c r="D13" s="1737">
        <v>1</v>
      </c>
      <c r="E13" s="1737">
        <v>1</v>
      </c>
      <c r="F13" s="3000" t="str">
        <f t="shared" si="1"/>
        <v>必胜客</v>
      </c>
      <c r="G13" s="3001" t="str">
        <f t="shared" si="1"/>
        <v>1F</v>
      </c>
      <c r="H13" s="3002">
        <f t="shared" si="1"/>
        <v>101</v>
      </c>
      <c r="I13" s="3003">
        <f t="shared" si="1"/>
        <v>320</v>
      </c>
      <c r="J13" s="3005">
        <v>46388</v>
      </c>
      <c r="K13" s="3005">
        <v>46752</v>
      </c>
      <c r="L13" s="2998">
        <v>13.808469178082191</v>
      </c>
      <c r="M13" s="2999">
        <f t="shared" si="2"/>
        <v>4418.7101369863012</v>
      </c>
      <c r="Q13" s="2993"/>
    </row>
    <row r="14" spans="2:17" ht="14.25">
      <c r="B14" s="1737" t="s">
        <v>3102</v>
      </c>
      <c r="C14" s="1737">
        <f t="shared" si="0"/>
        <v>1</v>
      </c>
      <c r="D14" s="1737">
        <v>1</v>
      </c>
      <c r="E14" s="1737">
        <v>1</v>
      </c>
      <c r="F14" s="3000" t="str">
        <f t="shared" si="1"/>
        <v>必胜客</v>
      </c>
      <c r="G14" s="3001" t="str">
        <f t="shared" si="1"/>
        <v>1F</v>
      </c>
      <c r="H14" s="3002">
        <f t="shared" si="1"/>
        <v>101</v>
      </c>
      <c r="I14" s="3003">
        <f t="shared" si="1"/>
        <v>320</v>
      </c>
      <c r="J14" s="3005">
        <v>46753</v>
      </c>
      <c r="K14" s="3005">
        <v>46812</v>
      </c>
      <c r="L14" s="2998">
        <v>13.578327604166669</v>
      </c>
      <c r="M14" s="2999">
        <f t="shared" si="2"/>
        <v>4345.0648333333338</v>
      </c>
      <c r="Q14" s="2993"/>
    </row>
    <row r="15" spans="2:17" ht="14.25">
      <c r="B15" s="1737" t="s">
        <v>3102</v>
      </c>
      <c r="C15" s="1737">
        <f t="shared" si="0"/>
        <v>1</v>
      </c>
      <c r="D15" s="1737">
        <v>1</v>
      </c>
      <c r="E15" s="1737">
        <v>0</v>
      </c>
      <c r="F15" s="2997" t="s">
        <v>3103</v>
      </c>
      <c r="G15" s="2994" t="s">
        <v>3104</v>
      </c>
      <c r="H15" s="2995">
        <v>102</v>
      </c>
      <c r="I15" s="3006">
        <v>80</v>
      </c>
      <c r="J15" s="2997">
        <v>43180</v>
      </c>
      <c r="K15" s="2997">
        <v>43910</v>
      </c>
      <c r="L15" s="3007">
        <v>14.74</v>
      </c>
      <c r="M15" s="2999">
        <f t="shared" si="2"/>
        <v>1179.2</v>
      </c>
      <c r="Q15" s="2993"/>
    </row>
    <row r="16" spans="2:17" ht="14.25">
      <c r="B16" s="1737" t="s">
        <v>3102</v>
      </c>
      <c r="C16" s="1737">
        <f t="shared" si="0"/>
        <v>1</v>
      </c>
      <c r="D16" s="1737">
        <v>1</v>
      </c>
      <c r="E16" s="1737">
        <v>1</v>
      </c>
      <c r="F16" s="3000" t="str">
        <f t="shared" ref="F16:I16" si="3">F15</f>
        <v>和合谷</v>
      </c>
      <c r="G16" s="3001" t="str">
        <f t="shared" si="3"/>
        <v>1F</v>
      </c>
      <c r="H16" s="3002">
        <f t="shared" si="3"/>
        <v>102</v>
      </c>
      <c r="I16" s="3003">
        <f t="shared" si="3"/>
        <v>80</v>
      </c>
      <c r="J16" s="3005">
        <v>43911</v>
      </c>
      <c r="K16" s="3005">
        <v>44276</v>
      </c>
      <c r="L16" s="3008">
        <v>16.21</v>
      </c>
      <c r="M16" s="2999">
        <f t="shared" si="2"/>
        <v>1296.8000000000002</v>
      </c>
      <c r="Q16" s="2993"/>
    </row>
    <row r="17" spans="2:17" ht="14.25">
      <c r="B17" s="1737" t="s">
        <v>3102</v>
      </c>
      <c r="C17" s="1737">
        <f t="shared" si="0"/>
        <v>1</v>
      </c>
      <c r="D17" s="3009">
        <v>1</v>
      </c>
      <c r="E17" s="3009">
        <v>0</v>
      </c>
      <c r="F17" s="3010" t="s">
        <v>3105</v>
      </c>
      <c r="G17" s="2994" t="s">
        <v>3104</v>
      </c>
      <c r="H17" s="3011">
        <v>103</v>
      </c>
      <c r="I17" s="3006">
        <v>158</v>
      </c>
      <c r="J17" s="3005">
        <v>43160</v>
      </c>
      <c r="K17" s="3005">
        <v>43890</v>
      </c>
      <c r="L17" s="3008">
        <v>14.74</v>
      </c>
      <c r="M17" s="2999">
        <f t="shared" si="2"/>
        <v>2328.92</v>
      </c>
      <c r="Q17" s="2993"/>
    </row>
    <row r="18" spans="2:17" ht="14.25">
      <c r="B18" s="1737" t="s">
        <v>3102</v>
      </c>
      <c r="C18" s="1737">
        <f t="shared" si="0"/>
        <v>1</v>
      </c>
      <c r="D18" s="1737">
        <v>1</v>
      </c>
      <c r="E18" s="1737">
        <v>1</v>
      </c>
      <c r="F18" s="3000" t="str">
        <f t="shared" ref="F18:I18" si="4">F17</f>
        <v>品聚成功（李连贵）</v>
      </c>
      <c r="G18" s="3001" t="str">
        <f t="shared" si="4"/>
        <v>1F</v>
      </c>
      <c r="H18" s="3002">
        <f t="shared" si="4"/>
        <v>103</v>
      </c>
      <c r="I18" s="3003">
        <f t="shared" si="4"/>
        <v>158</v>
      </c>
      <c r="J18" s="3005">
        <f>K17+1</f>
        <v>43891</v>
      </c>
      <c r="K18" s="3005">
        <v>44620</v>
      </c>
      <c r="L18" s="3008">
        <v>16.21</v>
      </c>
      <c r="M18" s="2999">
        <f t="shared" si="2"/>
        <v>2561.1800000000003</v>
      </c>
      <c r="Q18" s="2993"/>
    </row>
    <row r="19" spans="2:17" ht="14.25">
      <c r="B19" s="1737" t="s">
        <v>3106</v>
      </c>
      <c r="C19" s="1737">
        <f t="shared" si="0"/>
        <v>1</v>
      </c>
      <c r="D19" s="1737">
        <v>1</v>
      </c>
      <c r="E19" s="1737">
        <v>0</v>
      </c>
      <c r="F19" s="3012" t="s">
        <v>3107</v>
      </c>
      <c r="G19" s="3013" t="s">
        <v>3108</v>
      </c>
      <c r="H19" s="3014">
        <v>105</v>
      </c>
      <c r="I19" s="3015">
        <v>78</v>
      </c>
      <c r="J19" s="3016">
        <v>43444</v>
      </c>
      <c r="K19" s="3016">
        <v>44174</v>
      </c>
      <c r="L19" s="3017">
        <v>18.3</v>
      </c>
      <c r="M19" s="2999">
        <f t="shared" si="2"/>
        <v>1427.4</v>
      </c>
      <c r="Q19" s="2993"/>
    </row>
    <row r="20" spans="2:17" ht="14.25">
      <c r="B20" s="1737" t="s">
        <v>3109</v>
      </c>
      <c r="C20" s="1737">
        <f t="shared" si="0"/>
        <v>1</v>
      </c>
      <c r="D20" s="1737">
        <v>1</v>
      </c>
      <c r="E20" s="1737">
        <v>1</v>
      </c>
      <c r="F20" s="3012" t="s">
        <v>3107</v>
      </c>
      <c r="G20" s="3013" t="s">
        <v>3108</v>
      </c>
      <c r="H20" s="3014">
        <v>105</v>
      </c>
      <c r="I20" s="3015">
        <v>78</v>
      </c>
      <c r="J20" s="3016">
        <f>K19+1</f>
        <v>44175</v>
      </c>
      <c r="K20" s="3016">
        <v>44904</v>
      </c>
      <c r="L20" s="3017">
        <f>L19*1.1</f>
        <v>20.130000000000003</v>
      </c>
      <c r="M20" s="2999">
        <f t="shared" si="2"/>
        <v>1570.14</v>
      </c>
      <c r="Q20" s="2993"/>
    </row>
    <row r="21" spans="2:17" ht="14.25">
      <c r="B21" s="1737" t="s">
        <v>3110</v>
      </c>
      <c r="C21" s="1737">
        <f t="shared" si="0"/>
        <v>1</v>
      </c>
      <c r="D21" s="1737">
        <v>1</v>
      </c>
      <c r="E21" s="1737">
        <v>1</v>
      </c>
      <c r="F21" s="3012" t="s">
        <v>3111</v>
      </c>
      <c r="G21" s="3013" t="s">
        <v>3112</v>
      </c>
      <c r="H21" s="3014">
        <v>105</v>
      </c>
      <c r="I21" s="3015">
        <v>78</v>
      </c>
      <c r="J21" s="3016">
        <f>K20+1</f>
        <v>44905</v>
      </c>
      <c r="K21" s="3016">
        <v>45269</v>
      </c>
      <c r="L21" s="3017">
        <f>L20*1.1</f>
        <v>22.143000000000004</v>
      </c>
      <c r="M21" s="2999">
        <f t="shared" si="2"/>
        <v>1727.1540000000002</v>
      </c>
      <c r="Q21" s="2993"/>
    </row>
    <row r="22" spans="2:17" ht="14.25">
      <c r="B22" s="1737" t="s">
        <v>3113</v>
      </c>
      <c r="C22" s="1737">
        <f t="shared" si="0"/>
        <v>1</v>
      </c>
      <c r="D22" s="1737">
        <v>0</v>
      </c>
      <c r="E22" s="1737">
        <v>0</v>
      </c>
      <c r="F22" s="2993" t="s">
        <v>3114</v>
      </c>
      <c r="G22" s="2994" t="s">
        <v>3115</v>
      </c>
      <c r="H22" s="3011">
        <v>106</v>
      </c>
      <c r="I22" s="3006">
        <v>196</v>
      </c>
      <c r="J22" s="3005">
        <v>43132</v>
      </c>
      <c r="K22" s="3005">
        <v>43861</v>
      </c>
      <c r="L22" s="3008">
        <v>8.0299999999999994</v>
      </c>
      <c r="M22" s="2999">
        <f t="shared" si="2"/>
        <v>1573.8799999999999</v>
      </c>
      <c r="Q22" s="2993"/>
    </row>
    <row r="23" spans="2:17" ht="14.25">
      <c r="B23" s="1737" t="s">
        <v>3113</v>
      </c>
      <c r="C23" s="1737">
        <f t="shared" si="0"/>
        <v>1</v>
      </c>
      <c r="D23" s="1737">
        <v>0</v>
      </c>
      <c r="E23" s="1737">
        <v>1</v>
      </c>
      <c r="F23" s="3000" t="str">
        <f t="shared" ref="F23:I23" si="5">F22</f>
        <v>拾锅百味</v>
      </c>
      <c r="G23" s="3001" t="str">
        <f t="shared" si="5"/>
        <v>1F</v>
      </c>
      <c r="H23" s="3002">
        <f t="shared" si="5"/>
        <v>106</v>
      </c>
      <c r="I23" s="3003">
        <f t="shared" si="5"/>
        <v>196</v>
      </c>
      <c r="J23" s="3005">
        <f>K22+1</f>
        <v>43862</v>
      </c>
      <c r="K23" s="3005">
        <v>44227</v>
      </c>
      <c r="L23" s="3008">
        <v>8.83</v>
      </c>
      <c r="M23" s="2999">
        <f t="shared" si="2"/>
        <v>1730.68</v>
      </c>
      <c r="Q23" s="2993"/>
    </row>
    <row r="24" spans="2:17" ht="14.25">
      <c r="B24" s="1737" t="s">
        <v>3116</v>
      </c>
      <c r="C24" s="1737">
        <f t="shared" si="0"/>
        <v>1</v>
      </c>
      <c r="D24" s="1737">
        <v>0</v>
      </c>
      <c r="E24" s="1737">
        <v>0</v>
      </c>
      <c r="F24" s="3018" t="s">
        <v>3117</v>
      </c>
      <c r="G24" s="2994" t="s">
        <v>3118</v>
      </c>
      <c r="H24" s="3011">
        <v>107</v>
      </c>
      <c r="I24" s="3006">
        <v>171</v>
      </c>
      <c r="J24" s="3005">
        <v>43344</v>
      </c>
      <c r="K24" s="3005">
        <v>44074</v>
      </c>
      <c r="L24" s="3008">
        <v>7.8</v>
      </c>
      <c r="M24" s="2999">
        <f>L24*I24</f>
        <v>1333.8</v>
      </c>
      <c r="Q24" s="2993"/>
    </row>
    <row r="25" spans="2:17" ht="14.25">
      <c r="B25" s="1737" t="s">
        <v>3116</v>
      </c>
      <c r="C25" s="1737">
        <f t="shared" si="0"/>
        <v>1</v>
      </c>
      <c r="D25" s="1737">
        <v>1</v>
      </c>
      <c r="E25" s="1737">
        <v>1</v>
      </c>
      <c r="F25" s="3019" t="s">
        <v>3117</v>
      </c>
      <c r="G25" s="3020" t="s">
        <v>3119</v>
      </c>
      <c r="H25" s="3002">
        <v>107</v>
      </c>
      <c r="I25" s="3003">
        <v>171</v>
      </c>
      <c r="J25" s="3005">
        <f>K24+1</f>
        <v>44075</v>
      </c>
      <c r="K25" s="3005">
        <v>44736</v>
      </c>
      <c r="L25" s="3008">
        <v>8.58</v>
      </c>
      <c r="M25" s="2999">
        <f>L25*I25</f>
        <v>1467.18</v>
      </c>
      <c r="Q25" s="2993"/>
    </row>
    <row r="26" spans="2:17" ht="14.25">
      <c r="B26" s="1737" t="s">
        <v>3120</v>
      </c>
      <c r="C26" s="1737">
        <f t="shared" si="0"/>
        <v>1</v>
      </c>
      <c r="D26" s="1737">
        <v>0</v>
      </c>
      <c r="E26" s="1737">
        <v>0</v>
      </c>
      <c r="F26" s="2993" t="s">
        <v>3121</v>
      </c>
      <c r="G26" s="2994" t="s">
        <v>3122</v>
      </c>
      <c r="H26" s="3011">
        <v>108</v>
      </c>
      <c r="I26" s="3006">
        <v>171</v>
      </c>
      <c r="J26" s="3005">
        <v>43236</v>
      </c>
      <c r="K26" s="3005">
        <v>43966</v>
      </c>
      <c r="L26" s="3008">
        <v>8.14</v>
      </c>
      <c r="M26" s="2999">
        <f t="shared" si="2"/>
        <v>1391.94</v>
      </c>
      <c r="Q26" s="2993"/>
    </row>
    <row r="27" spans="2:17" ht="14.25">
      <c r="B27" s="1737" t="s">
        <v>3120</v>
      </c>
      <c r="C27" s="1737">
        <f t="shared" si="0"/>
        <v>1</v>
      </c>
      <c r="D27" s="1737">
        <v>0</v>
      </c>
      <c r="E27" s="1737">
        <v>1</v>
      </c>
      <c r="F27" s="3000" t="str">
        <f t="shared" ref="F27:I27" si="6">F26</f>
        <v>秦面轩</v>
      </c>
      <c r="G27" s="3001" t="str">
        <f t="shared" si="6"/>
        <v>1F</v>
      </c>
      <c r="H27" s="3002">
        <f t="shared" si="6"/>
        <v>108</v>
      </c>
      <c r="I27" s="3003">
        <f t="shared" si="6"/>
        <v>171</v>
      </c>
      <c r="J27" s="3005">
        <f>K26+1</f>
        <v>43967</v>
      </c>
      <c r="K27" s="3005">
        <v>44331</v>
      </c>
      <c r="L27" s="3008">
        <v>8.9499999999999993</v>
      </c>
      <c r="M27" s="2999">
        <f t="shared" si="2"/>
        <v>1530.4499999999998</v>
      </c>
      <c r="Q27" s="2993"/>
    </row>
    <row r="28" spans="2:17" ht="14.25">
      <c r="B28" s="1737" t="s">
        <v>3123</v>
      </c>
      <c r="C28" s="1737">
        <f t="shared" si="0"/>
        <v>1</v>
      </c>
      <c r="D28" s="1737">
        <v>0</v>
      </c>
      <c r="E28" s="1737">
        <v>0</v>
      </c>
      <c r="F28" s="2993" t="s">
        <v>3124</v>
      </c>
      <c r="G28" s="2994" t="s">
        <v>3125</v>
      </c>
      <c r="H28" s="3011">
        <v>109</v>
      </c>
      <c r="I28" s="3006">
        <v>177</v>
      </c>
      <c r="J28" s="3005">
        <v>43206</v>
      </c>
      <c r="K28" s="3005">
        <v>43936</v>
      </c>
      <c r="L28" s="3008">
        <v>8.0299999999999994</v>
      </c>
      <c r="M28" s="2999">
        <f t="shared" si="2"/>
        <v>1421.31</v>
      </c>
      <c r="Q28" s="2993"/>
    </row>
    <row r="29" spans="2:17" ht="14.25">
      <c r="B29" s="1737" t="s">
        <v>3123</v>
      </c>
      <c r="C29" s="1737">
        <f t="shared" si="0"/>
        <v>1</v>
      </c>
      <c r="D29" s="1737">
        <v>0</v>
      </c>
      <c r="E29" s="1737">
        <v>1</v>
      </c>
      <c r="F29" s="3000" t="str">
        <f t="shared" ref="F29:I29" si="7">F28</f>
        <v>三和屋</v>
      </c>
      <c r="G29" s="3001" t="str">
        <f t="shared" si="7"/>
        <v>1F</v>
      </c>
      <c r="H29" s="3002">
        <f t="shared" si="7"/>
        <v>109</v>
      </c>
      <c r="I29" s="3003">
        <f t="shared" si="7"/>
        <v>177</v>
      </c>
      <c r="J29" s="3005">
        <v>43937</v>
      </c>
      <c r="K29" s="3005">
        <v>44301</v>
      </c>
      <c r="L29" s="3008">
        <v>8.83</v>
      </c>
      <c r="M29" s="2999">
        <f t="shared" si="2"/>
        <v>1562.91</v>
      </c>
      <c r="Q29" s="2993"/>
    </row>
    <row r="30" spans="2:17" ht="14.25">
      <c r="B30" s="1737" t="s">
        <v>3126</v>
      </c>
      <c r="C30" s="1737">
        <f t="shared" si="0"/>
        <v>1</v>
      </c>
      <c r="D30" s="1737">
        <v>0</v>
      </c>
      <c r="E30" s="1737">
        <v>0</v>
      </c>
      <c r="F30" s="2993" t="s">
        <v>3127</v>
      </c>
      <c r="G30" s="2994" t="s">
        <v>3128</v>
      </c>
      <c r="H30" s="3011">
        <v>111</v>
      </c>
      <c r="I30" s="3006">
        <v>321</v>
      </c>
      <c r="J30" s="3005">
        <v>43160</v>
      </c>
      <c r="K30" s="3005">
        <v>43889</v>
      </c>
      <c r="L30" s="3008">
        <v>5.94</v>
      </c>
      <c r="M30" s="2999">
        <f t="shared" si="2"/>
        <v>1906.7400000000002</v>
      </c>
      <c r="Q30" s="2993"/>
    </row>
    <row r="31" spans="2:17" ht="14.25">
      <c r="B31" s="1737" t="s">
        <v>3126</v>
      </c>
      <c r="C31" s="1737">
        <f t="shared" si="0"/>
        <v>1</v>
      </c>
      <c r="D31" s="1737">
        <v>0</v>
      </c>
      <c r="E31" s="1737">
        <v>1</v>
      </c>
      <c r="F31" s="3000" t="str">
        <f t="shared" ref="F31:I31" si="8">F30</f>
        <v>赣悦汤厨</v>
      </c>
      <c r="G31" s="3001" t="str">
        <f t="shared" si="8"/>
        <v>1F</v>
      </c>
      <c r="H31" s="3002">
        <f t="shared" si="8"/>
        <v>111</v>
      </c>
      <c r="I31" s="3003">
        <f t="shared" si="8"/>
        <v>321</v>
      </c>
      <c r="J31" s="3005">
        <v>43891</v>
      </c>
      <c r="K31" s="3005">
        <v>44620</v>
      </c>
      <c r="L31" s="3008">
        <v>6.53</v>
      </c>
      <c r="M31" s="2999">
        <f t="shared" si="2"/>
        <v>2096.13</v>
      </c>
      <c r="Q31" s="2993"/>
    </row>
    <row r="32" spans="2:17" ht="14.25">
      <c r="B32" s="1737" t="s">
        <v>3129</v>
      </c>
      <c r="C32" s="1737">
        <f t="shared" si="0"/>
        <v>1</v>
      </c>
      <c r="D32" s="1737">
        <v>0</v>
      </c>
      <c r="E32" s="1737">
        <v>0</v>
      </c>
      <c r="F32" s="2993" t="s">
        <v>3130</v>
      </c>
      <c r="G32" s="2994" t="s">
        <v>3131</v>
      </c>
      <c r="H32" s="3011">
        <v>112</v>
      </c>
      <c r="I32" s="3006">
        <v>242</v>
      </c>
      <c r="J32" s="2997">
        <v>43101</v>
      </c>
      <c r="K32" s="2997">
        <v>43830</v>
      </c>
      <c r="L32" s="3008">
        <v>6.38</v>
      </c>
      <c r="M32" s="2999">
        <f t="shared" si="2"/>
        <v>1543.96</v>
      </c>
      <c r="Q32" s="2993"/>
    </row>
    <row r="33" spans="2:17" ht="14.25">
      <c r="B33" s="1737" t="s">
        <v>3129</v>
      </c>
      <c r="C33" s="1737">
        <f t="shared" si="0"/>
        <v>1</v>
      </c>
      <c r="D33" s="1737">
        <v>0</v>
      </c>
      <c r="E33" s="1737">
        <v>1</v>
      </c>
      <c r="F33" s="3000" t="str">
        <f t="shared" ref="F33:I33" si="9">F32</f>
        <v>小院食光</v>
      </c>
      <c r="G33" s="3001" t="str">
        <f t="shared" si="9"/>
        <v>1F</v>
      </c>
      <c r="H33" s="3002">
        <f t="shared" si="9"/>
        <v>112</v>
      </c>
      <c r="I33" s="3003">
        <f t="shared" si="9"/>
        <v>242</v>
      </c>
      <c r="J33" s="3005">
        <v>43831</v>
      </c>
      <c r="K33" s="3005">
        <v>44196</v>
      </c>
      <c r="L33" s="3008">
        <v>7.02</v>
      </c>
      <c r="M33" s="2999">
        <f t="shared" si="2"/>
        <v>1698.84</v>
      </c>
      <c r="Q33" s="2993"/>
    </row>
    <row r="34" spans="2:17" ht="14.25">
      <c r="B34" s="1737" t="s">
        <v>3132</v>
      </c>
      <c r="C34" s="1737">
        <f t="shared" si="0"/>
        <v>1</v>
      </c>
      <c r="D34" s="1737">
        <v>0</v>
      </c>
      <c r="E34" s="1737">
        <v>0</v>
      </c>
      <c r="F34" s="2993" t="s">
        <v>3133</v>
      </c>
      <c r="G34" s="2994" t="s">
        <v>3134</v>
      </c>
      <c r="H34" s="3011">
        <v>115</v>
      </c>
      <c r="I34" s="3006">
        <v>229</v>
      </c>
      <c r="J34" s="3005">
        <v>43132</v>
      </c>
      <c r="K34" s="3005">
        <v>43861</v>
      </c>
      <c r="L34" s="3008">
        <v>9.1300000000000008</v>
      </c>
      <c r="M34" s="2999">
        <f t="shared" si="2"/>
        <v>2090.77</v>
      </c>
      <c r="Q34" s="2993"/>
    </row>
    <row r="35" spans="2:17" ht="14.25">
      <c r="B35" s="1737" t="s">
        <v>3132</v>
      </c>
      <c r="C35" s="1737">
        <f t="shared" si="0"/>
        <v>1</v>
      </c>
      <c r="D35" s="1737">
        <v>0</v>
      </c>
      <c r="E35" s="1737">
        <v>1</v>
      </c>
      <c r="F35" s="3000" t="str">
        <f t="shared" ref="F35:I36" si="10">F34</f>
        <v>雕刻时光</v>
      </c>
      <c r="G35" s="3001" t="str">
        <f t="shared" si="10"/>
        <v>1F</v>
      </c>
      <c r="H35" s="3002">
        <f t="shared" si="10"/>
        <v>115</v>
      </c>
      <c r="I35" s="3003">
        <f t="shared" si="10"/>
        <v>229</v>
      </c>
      <c r="J35" s="3005">
        <v>43862</v>
      </c>
      <c r="K35" s="3005">
        <v>44592</v>
      </c>
      <c r="L35" s="3008">
        <v>10.039999999999999</v>
      </c>
      <c r="M35" s="2999">
        <f t="shared" si="2"/>
        <v>2299.16</v>
      </c>
      <c r="Q35" s="2993"/>
    </row>
    <row r="36" spans="2:17" ht="14.25">
      <c r="B36" s="1737" t="s">
        <v>3135</v>
      </c>
      <c r="C36" s="1737">
        <f t="shared" si="0"/>
        <v>1</v>
      </c>
      <c r="D36" s="1737">
        <v>0</v>
      </c>
      <c r="E36" s="1737">
        <v>1</v>
      </c>
      <c r="F36" s="3000" t="str">
        <f t="shared" si="10"/>
        <v>雕刻时光</v>
      </c>
      <c r="G36" s="3001" t="str">
        <f t="shared" si="10"/>
        <v>1F</v>
      </c>
      <c r="H36" s="3002">
        <f t="shared" si="10"/>
        <v>115</v>
      </c>
      <c r="I36" s="3003">
        <f t="shared" si="10"/>
        <v>229</v>
      </c>
      <c r="J36" s="3005">
        <v>44593</v>
      </c>
      <c r="K36" s="3005">
        <v>45322</v>
      </c>
      <c r="L36" s="3008">
        <v>11.05</v>
      </c>
      <c r="M36" s="2999">
        <f t="shared" si="2"/>
        <v>2530.4500000000003</v>
      </c>
      <c r="Q36" s="2993"/>
    </row>
    <row r="37" spans="2:17" ht="14.25">
      <c r="B37" s="1737" t="s">
        <v>3136</v>
      </c>
      <c r="C37" s="1737">
        <f t="shared" si="0"/>
        <v>1</v>
      </c>
      <c r="D37" s="1737">
        <v>0</v>
      </c>
      <c r="E37" s="1737">
        <v>0</v>
      </c>
      <c r="F37" s="2993" t="s">
        <v>3137</v>
      </c>
      <c r="G37" s="2994" t="s">
        <v>3138</v>
      </c>
      <c r="H37" s="3011">
        <v>116</v>
      </c>
      <c r="I37" s="3006">
        <v>299</v>
      </c>
      <c r="J37" s="3005">
        <v>43101</v>
      </c>
      <c r="K37" s="3005">
        <v>43830</v>
      </c>
      <c r="L37" s="3008">
        <v>6.6</v>
      </c>
      <c r="M37" s="2999">
        <f t="shared" si="2"/>
        <v>1973.3999999999999</v>
      </c>
      <c r="Q37" s="2993"/>
    </row>
    <row r="38" spans="2:17" ht="14.25">
      <c r="B38" s="1737" t="s">
        <v>3136</v>
      </c>
      <c r="C38" s="1737">
        <f t="shared" si="0"/>
        <v>1</v>
      </c>
      <c r="D38" s="1737">
        <v>0</v>
      </c>
      <c r="E38" s="1737">
        <v>1</v>
      </c>
      <c r="F38" s="3000" t="str">
        <f t="shared" ref="F38:I38" si="11">F37</f>
        <v>保护地友好生态科技</v>
      </c>
      <c r="G38" s="3001" t="str">
        <f t="shared" si="11"/>
        <v>1F</v>
      </c>
      <c r="H38" s="3002">
        <f t="shared" si="11"/>
        <v>116</v>
      </c>
      <c r="I38" s="3003">
        <f t="shared" si="11"/>
        <v>299</v>
      </c>
      <c r="J38" s="3004">
        <v>43831</v>
      </c>
      <c r="K38" s="3004">
        <v>44196</v>
      </c>
      <c r="L38" s="3008">
        <v>7.26</v>
      </c>
      <c r="M38" s="2999">
        <f t="shared" si="2"/>
        <v>2170.7399999999998</v>
      </c>
      <c r="Q38" s="2993"/>
    </row>
    <row r="39" spans="2:17" ht="14.25">
      <c r="B39" s="1737" t="s">
        <v>3139</v>
      </c>
      <c r="C39" s="1737">
        <f t="shared" si="0"/>
        <v>1</v>
      </c>
      <c r="D39" s="1737">
        <v>0</v>
      </c>
      <c r="E39" s="1737">
        <v>0</v>
      </c>
      <c r="F39" s="3010" t="s">
        <v>3140</v>
      </c>
      <c r="G39" s="2994" t="s">
        <v>3141</v>
      </c>
      <c r="H39" s="3011">
        <v>117</v>
      </c>
      <c r="I39" s="3006">
        <v>58</v>
      </c>
      <c r="J39" s="3005">
        <v>42917</v>
      </c>
      <c r="K39" s="3005">
        <v>43646</v>
      </c>
      <c r="L39" s="3008">
        <v>7</v>
      </c>
      <c r="M39" s="2999">
        <f t="shared" si="2"/>
        <v>406</v>
      </c>
      <c r="Q39" s="2993"/>
    </row>
    <row r="40" spans="2:17" ht="14.25">
      <c r="B40" s="1737" t="s">
        <v>3139</v>
      </c>
      <c r="C40" s="1737">
        <f t="shared" si="0"/>
        <v>1</v>
      </c>
      <c r="D40" s="1737">
        <v>0</v>
      </c>
      <c r="E40" s="1737">
        <v>1</v>
      </c>
      <c r="F40" s="3000" t="str">
        <f t="shared" ref="F40:I41" si="12">F39</f>
        <v>汉口码头（包房）</v>
      </c>
      <c r="G40" s="3001" t="str">
        <f t="shared" si="12"/>
        <v>1F</v>
      </c>
      <c r="H40" s="3002">
        <f t="shared" si="12"/>
        <v>117</v>
      </c>
      <c r="I40" s="3003">
        <f t="shared" si="12"/>
        <v>58</v>
      </c>
      <c r="J40" s="3005">
        <f>K39+1</f>
        <v>43647</v>
      </c>
      <c r="K40" s="3005">
        <v>44377</v>
      </c>
      <c r="L40" s="3008">
        <v>7.7</v>
      </c>
      <c r="M40" s="2999">
        <f t="shared" si="2"/>
        <v>446.6</v>
      </c>
      <c r="Q40" s="2993"/>
    </row>
    <row r="41" spans="2:17" ht="14.25">
      <c r="B41" s="1737" t="s">
        <v>3142</v>
      </c>
      <c r="C41" s="1737">
        <f t="shared" si="0"/>
        <v>1</v>
      </c>
      <c r="D41" s="1737">
        <v>0</v>
      </c>
      <c r="E41" s="1737">
        <v>1</v>
      </c>
      <c r="F41" s="3000" t="str">
        <f t="shared" si="12"/>
        <v>汉口码头（包房）</v>
      </c>
      <c r="G41" s="3001" t="str">
        <f t="shared" si="12"/>
        <v>1F</v>
      </c>
      <c r="H41" s="3002">
        <f t="shared" si="12"/>
        <v>117</v>
      </c>
      <c r="I41" s="3003">
        <f t="shared" si="12"/>
        <v>58</v>
      </c>
      <c r="J41" s="3005">
        <f>K40+1</f>
        <v>44378</v>
      </c>
      <c r="K41" s="3005">
        <v>44736</v>
      </c>
      <c r="L41" s="3008">
        <v>8.4700000000000006</v>
      </c>
      <c r="M41" s="2999">
        <f t="shared" si="2"/>
        <v>491.26000000000005</v>
      </c>
      <c r="Q41" s="2993"/>
    </row>
    <row r="42" spans="2:17" ht="14.25">
      <c r="B42" s="1737" t="s">
        <v>3143</v>
      </c>
      <c r="C42" s="1737">
        <f t="shared" si="0"/>
        <v>1</v>
      </c>
      <c r="D42" s="1737">
        <v>0</v>
      </c>
      <c r="E42" s="1737">
        <v>0</v>
      </c>
      <c r="F42" s="3010" t="s">
        <v>3144</v>
      </c>
      <c r="G42" s="2994" t="s">
        <v>3145</v>
      </c>
      <c r="H42" s="3011">
        <v>110</v>
      </c>
      <c r="I42" s="3006">
        <v>311</v>
      </c>
      <c r="J42" s="3005">
        <v>43276</v>
      </c>
      <c r="K42" s="3005">
        <v>44006</v>
      </c>
      <c r="L42" s="3008">
        <v>5.72</v>
      </c>
      <c r="M42" s="2999">
        <f t="shared" si="2"/>
        <v>1778.9199999999998</v>
      </c>
      <c r="Q42" s="2993"/>
    </row>
    <row r="43" spans="2:17" ht="14.25">
      <c r="B43" s="1737" t="s">
        <v>3143</v>
      </c>
      <c r="C43" s="1737">
        <f t="shared" si="0"/>
        <v>1</v>
      </c>
      <c r="D43" s="1737">
        <v>0</v>
      </c>
      <c r="E43" s="1737">
        <v>1</v>
      </c>
      <c r="F43" s="3000" t="str">
        <f t="shared" ref="F43:I43" si="13">F42</f>
        <v>汉口码头</v>
      </c>
      <c r="G43" s="3001" t="str">
        <f t="shared" si="13"/>
        <v>1F</v>
      </c>
      <c r="H43" s="3002">
        <f t="shared" si="13"/>
        <v>110</v>
      </c>
      <c r="I43" s="3003">
        <f t="shared" si="13"/>
        <v>311</v>
      </c>
      <c r="J43" s="3005">
        <f>K42+1</f>
        <v>44007</v>
      </c>
      <c r="K43" s="3005">
        <v>44736</v>
      </c>
      <c r="L43" s="3008">
        <v>6.29</v>
      </c>
      <c r="M43" s="2999">
        <f t="shared" si="2"/>
        <v>1956.19</v>
      </c>
      <c r="Q43" s="2993"/>
    </row>
    <row r="44" spans="2:17" ht="14.25">
      <c r="B44" s="1737" t="s">
        <v>3146</v>
      </c>
      <c r="C44" s="1737">
        <f t="shared" si="0"/>
        <v>0</v>
      </c>
      <c r="D44" s="3009">
        <v>0</v>
      </c>
      <c r="E44" s="3009">
        <v>0</v>
      </c>
      <c r="F44" s="3012" t="s">
        <v>3147</v>
      </c>
      <c r="G44" s="3013" t="s">
        <v>3148</v>
      </c>
      <c r="H44" s="3014">
        <v>118</v>
      </c>
      <c r="I44" s="3015">
        <v>31</v>
      </c>
      <c r="J44" s="3016"/>
      <c r="K44" s="3016"/>
      <c r="L44" s="3017"/>
      <c r="M44" s="3021">
        <f t="shared" si="2"/>
        <v>0</v>
      </c>
      <c r="Q44" s="2993"/>
    </row>
    <row r="45" spans="2:17" ht="14.25">
      <c r="B45" s="1737" t="s">
        <v>3146</v>
      </c>
      <c r="C45" s="1737">
        <f t="shared" si="0"/>
        <v>1</v>
      </c>
      <c r="D45" s="1737">
        <v>1</v>
      </c>
      <c r="E45" s="1737">
        <v>0</v>
      </c>
      <c r="F45" s="2993" t="s">
        <v>3149</v>
      </c>
      <c r="G45" s="2994" t="s">
        <v>3148</v>
      </c>
      <c r="H45" s="3011">
        <v>120</v>
      </c>
      <c r="I45" s="3006">
        <v>27.1</v>
      </c>
      <c r="J45" s="3005">
        <v>43435</v>
      </c>
      <c r="K45" s="3005">
        <v>43799</v>
      </c>
      <c r="L45" s="3008">
        <v>18.7</v>
      </c>
      <c r="M45" s="2999">
        <f t="shared" si="2"/>
        <v>506.77</v>
      </c>
      <c r="Q45" s="2993"/>
    </row>
    <row r="46" spans="2:17" ht="14.25">
      <c r="B46" s="1737" t="s">
        <v>3146</v>
      </c>
      <c r="C46" s="1737">
        <f t="shared" si="0"/>
        <v>1</v>
      </c>
      <c r="D46" s="1737">
        <v>0</v>
      </c>
      <c r="E46" s="1737">
        <v>0</v>
      </c>
      <c r="F46" s="2993" t="s">
        <v>3150</v>
      </c>
      <c r="G46" s="3022" t="s">
        <v>3151</v>
      </c>
      <c r="H46" s="3011" t="s">
        <v>3152</v>
      </c>
      <c r="I46" s="3006">
        <v>5010</v>
      </c>
      <c r="J46" s="3005">
        <v>43282</v>
      </c>
      <c r="K46" s="3005">
        <v>43646</v>
      </c>
      <c r="L46" s="3008">
        <v>2.6</v>
      </c>
      <c r="M46" s="2999">
        <f t="shared" si="2"/>
        <v>13026</v>
      </c>
      <c r="Q46" s="2993"/>
    </row>
    <row r="47" spans="2:17" ht="14.25">
      <c r="B47" s="1737" t="s">
        <v>3146</v>
      </c>
      <c r="C47" s="1737">
        <f t="shared" si="0"/>
        <v>1</v>
      </c>
      <c r="D47" s="1737">
        <v>0</v>
      </c>
      <c r="E47" s="1737">
        <v>1</v>
      </c>
      <c r="F47" s="3000" t="str">
        <f t="shared" ref="F47:I49" si="14">F46</f>
        <v>物美超市</v>
      </c>
      <c r="G47" s="3001" t="str">
        <f t="shared" si="14"/>
        <v>B1</v>
      </c>
      <c r="H47" s="3002" t="str">
        <f t="shared" si="14"/>
        <v>B105</v>
      </c>
      <c r="I47" s="3003">
        <f t="shared" si="14"/>
        <v>5010</v>
      </c>
      <c r="J47" s="3005">
        <v>43647</v>
      </c>
      <c r="K47" s="3005">
        <v>44742</v>
      </c>
      <c r="L47" s="3008">
        <v>2.73</v>
      </c>
      <c r="M47" s="2999">
        <f t="shared" si="2"/>
        <v>13677.3</v>
      </c>
      <c r="Q47" s="2993"/>
    </row>
    <row r="48" spans="2:17" ht="14.25">
      <c r="B48" s="1737" t="s">
        <v>3153</v>
      </c>
      <c r="C48" s="1737">
        <f t="shared" si="0"/>
        <v>1</v>
      </c>
      <c r="D48" s="1737">
        <v>0</v>
      </c>
      <c r="E48" s="1737">
        <v>1</v>
      </c>
      <c r="F48" s="3000" t="str">
        <f t="shared" si="14"/>
        <v>物美超市</v>
      </c>
      <c r="G48" s="3001" t="str">
        <f t="shared" si="14"/>
        <v>B1</v>
      </c>
      <c r="H48" s="3002" t="str">
        <f t="shared" si="14"/>
        <v>B105</v>
      </c>
      <c r="I48" s="3003">
        <f t="shared" si="14"/>
        <v>5010</v>
      </c>
      <c r="J48" s="3005">
        <v>44743</v>
      </c>
      <c r="K48" s="3005">
        <v>45838</v>
      </c>
      <c r="L48" s="3008">
        <v>2.8664999999999998</v>
      </c>
      <c r="M48" s="2999">
        <f t="shared" si="2"/>
        <v>14361.164999999999</v>
      </c>
      <c r="Q48" s="2993"/>
    </row>
    <row r="49" spans="2:17" ht="14.25">
      <c r="B49" s="1737" t="s">
        <v>3154</v>
      </c>
      <c r="C49" s="1737">
        <f t="shared" si="0"/>
        <v>1</v>
      </c>
      <c r="D49" s="1737">
        <v>0</v>
      </c>
      <c r="E49" s="1737">
        <v>1</v>
      </c>
      <c r="F49" s="3000" t="str">
        <f t="shared" si="14"/>
        <v>物美超市</v>
      </c>
      <c r="G49" s="3001" t="str">
        <f t="shared" si="14"/>
        <v>B1</v>
      </c>
      <c r="H49" s="3002" t="str">
        <f t="shared" si="14"/>
        <v>B105</v>
      </c>
      <c r="I49" s="3003">
        <f t="shared" si="14"/>
        <v>5010</v>
      </c>
      <c r="J49" s="3005">
        <v>45839</v>
      </c>
      <c r="K49" s="3005">
        <v>46934</v>
      </c>
      <c r="L49" s="3008">
        <v>3.01</v>
      </c>
      <c r="M49" s="2999">
        <f t="shared" si="2"/>
        <v>15080.099999999999</v>
      </c>
      <c r="Q49" s="2993"/>
    </row>
    <row r="50" spans="2:17" ht="14.25">
      <c r="B50" s="1737" t="s">
        <v>3155</v>
      </c>
      <c r="C50" s="1737">
        <f t="shared" si="0"/>
        <v>1</v>
      </c>
      <c r="D50" s="1737">
        <v>1</v>
      </c>
      <c r="E50" s="1737">
        <v>0</v>
      </c>
      <c r="F50" s="2993" t="s">
        <v>3156</v>
      </c>
      <c r="G50" s="3022" t="s">
        <v>3157</v>
      </c>
      <c r="H50" s="3011" t="s">
        <v>3158</v>
      </c>
      <c r="I50" s="3006">
        <v>154</v>
      </c>
      <c r="J50" s="3005">
        <v>43206</v>
      </c>
      <c r="K50" s="3005">
        <v>43936</v>
      </c>
      <c r="L50" s="3008">
        <v>13</v>
      </c>
      <c r="M50" s="2999">
        <f t="shared" si="2"/>
        <v>2002</v>
      </c>
      <c r="Q50" s="2993"/>
    </row>
    <row r="51" spans="2:17" ht="14.25">
      <c r="B51" s="1737" t="s">
        <v>3155</v>
      </c>
      <c r="C51" s="1737">
        <f t="shared" si="0"/>
        <v>1</v>
      </c>
      <c r="D51" s="1737">
        <v>1</v>
      </c>
      <c r="E51" s="1737">
        <v>1</v>
      </c>
      <c r="F51" s="3000" t="str">
        <f t="shared" ref="F51:I52" si="15">F50</f>
        <v>西贝万家餐饮</v>
      </c>
      <c r="G51" s="3001" t="str">
        <f t="shared" si="15"/>
        <v>B1</v>
      </c>
      <c r="H51" s="3002" t="str">
        <f t="shared" si="15"/>
        <v>B101a</v>
      </c>
      <c r="I51" s="3003">
        <f t="shared" si="15"/>
        <v>154</v>
      </c>
      <c r="J51" s="3005">
        <f>K50+1</f>
        <v>43937</v>
      </c>
      <c r="K51" s="3005">
        <v>44666</v>
      </c>
      <c r="L51" s="3008">
        <f>L50*1.1</f>
        <v>14.3</v>
      </c>
      <c r="M51" s="2999">
        <f t="shared" si="2"/>
        <v>2202.2000000000003</v>
      </c>
      <c r="Q51" s="2993"/>
    </row>
    <row r="52" spans="2:17" ht="14.25">
      <c r="B52" s="1737" t="s">
        <v>3159</v>
      </c>
      <c r="C52" s="1737">
        <f t="shared" si="0"/>
        <v>1</v>
      </c>
      <c r="D52" s="1737">
        <v>1</v>
      </c>
      <c r="E52" s="1737">
        <v>1</v>
      </c>
      <c r="F52" s="3000" t="str">
        <f t="shared" si="15"/>
        <v>西贝万家餐饮</v>
      </c>
      <c r="G52" s="3001" t="str">
        <f t="shared" si="15"/>
        <v>B1</v>
      </c>
      <c r="H52" s="3002" t="str">
        <f t="shared" si="15"/>
        <v>B101a</v>
      </c>
      <c r="I52" s="3003">
        <f t="shared" si="15"/>
        <v>154</v>
      </c>
      <c r="J52" s="3005">
        <f>K51+1</f>
        <v>44667</v>
      </c>
      <c r="K52" s="3005">
        <v>45397</v>
      </c>
      <c r="L52" s="3008">
        <f>L51*1.1</f>
        <v>15.730000000000002</v>
      </c>
      <c r="M52" s="2999">
        <f t="shared" si="2"/>
        <v>2422.4200000000005</v>
      </c>
      <c r="Q52" s="2993"/>
    </row>
    <row r="53" spans="2:17" ht="14.25">
      <c r="B53" s="1737" t="s">
        <v>3160</v>
      </c>
      <c r="C53" s="1737">
        <f t="shared" si="0"/>
        <v>0</v>
      </c>
      <c r="D53" s="3009">
        <v>0</v>
      </c>
      <c r="E53" s="3009">
        <v>0</v>
      </c>
      <c r="F53" s="3023" t="s">
        <v>3161</v>
      </c>
      <c r="G53" s="3024" t="s">
        <v>3162</v>
      </c>
      <c r="H53" s="3014" t="s">
        <v>3163</v>
      </c>
      <c r="I53" s="3015">
        <v>32</v>
      </c>
      <c r="J53" s="3016"/>
      <c r="K53" s="3016"/>
      <c r="L53" s="3017"/>
      <c r="M53" s="3021">
        <f t="shared" si="2"/>
        <v>0</v>
      </c>
      <c r="Q53" s="2993"/>
    </row>
    <row r="54" spans="2:17" ht="14.25">
      <c r="B54" s="1737" t="s">
        <v>3160</v>
      </c>
      <c r="C54" s="1737">
        <f t="shared" si="0"/>
        <v>1</v>
      </c>
      <c r="D54" s="3009">
        <v>0</v>
      </c>
      <c r="E54" s="3009">
        <v>0</v>
      </c>
      <c r="F54" s="3025" t="s">
        <v>3164</v>
      </c>
      <c r="G54" s="3022" t="s">
        <v>3162</v>
      </c>
      <c r="H54" s="3011" t="s">
        <v>3165</v>
      </c>
      <c r="I54" s="3006">
        <v>90</v>
      </c>
      <c r="J54" s="3005">
        <v>43466</v>
      </c>
      <c r="K54" s="3005">
        <v>44196</v>
      </c>
      <c r="L54" s="3008">
        <v>13.5</v>
      </c>
      <c r="M54" s="2999">
        <f t="shared" si="2"/>
        <v>1215</v>
      </c>
      <c r="Q54" s="2993"/>
    </row>
    <row r="55" spans="2:17" ht="14.25">
      <c r="B55" s="1737" t="s">
        <v>3160</v>
      </c>
      <c r="C55" s="1737">
        <f t="shared" si="0"/>
        <v>1</v>
      </c>
      <c r="D55" s="3009">
        <v>0</v>
      </c>
      <c r="E55" s="3009">
        <v>1</v>
      </c>
      <c r="F55" s="3026" t="s">
        <v>3164</v>
      </c>
      <c r="G55" s="3001" t="s">
        <v>3162</v>
      </c>
      <c r="H55" s="3002" t="s">
        <v>3165</v>
      </c>
      <c r="I55" s="3003">
        <v>90</v>
      </c>
      <c r="J55" s="3005">
        <f>K54+1</f>
        <v>44197</v>
      </c>
      <c r="K55" s="3005">
        <v>44926</v>
      </c>
      <c r="L55" s="3008">
        <v>14.85</v>
      </c>
      <c r="M55" s="2999">
        <f t="shared" si="2"/>
        <v>1336.5</v>
      </c>
      <c r="Q55" s="2993"/>
    </row>
    <row r="56" spans="2:17" ht="14.25">
      <c r="B56" s="1737" t="s">
        <v>3166</v>
      </c>
      <c r="C56" s="1737">
        <f t="shared" si="0"/>
        <v>1</v>
      </c>
      <c r="D56" s="3009">
        <v>0</v>
      </c>
      <c r="E56" s="3009">
        <v>1</v>
      </c>
      <c r="F56" s="3026" t="s">
        <v>3167</v>
      </c>
      <c r="G56" s="3001" t="s">
        <v>3168</v>
      </c>
      <c r="H56" s="3002" t="s">
        <v>3169</v>
      </c>
      <c r="I56" s="3003">
        <v>90</v>
      </c>
      <c r="J56" s="3005">
        <f>K55+1</f>
        <v>44927</v>
      </c>
      <c r="K56" s="3005">
        <v>45291</v>
      </c>
      <c r="L56" s="3008">
        <v>16.335000000000001</v>
      </c>
      <c r="M56" s="2999">
        <f t="shared" si="2"/>
        <v>1470.15</v>
      </c>
      <c r="Q56" s="2993"/>
    </row>
    <row r="57" spans="2:17" ht="14.25">
      <c r="B57" s="1737" t="s">
        <v>3170</v>
      </c>
      <c r="C57" s="1737">
        <f t="shared" si="0"/>
        <v>1</v>
      </c>
      <c r="D57" s="3009">
        <v>0</v>
      </c>
      <c r="E57" s="3009">
        <v>0</v>
      </c>
      <c r="F57" s="3010" t="s">
        <v>3171</v>
      </c>
      <c r="G57" s="3022" t="s">
        <v>3168</v>
      </c>
      <c r="H57" s="3011" t="s">
        <v>3172</v>
      </c>
      <c r="I57" s="3006">
        <v>32.06</v>
      </c>
      <c r="J57" s="3005">
        <v>42917</v>
      </c>
      <c r="K57" s="3005">
        <v>43646</v>
      </c>
      <c r="L57" s="3008">
        <v>10.3</v>
      </c>
      <c r="M57" s="2999">
        <f t="shared" si="2"/>
        <v>330.21800000000007</v>
      </c>
    </row>
    <row r="58" spans="2:17" ht="14.25">
      <c r="B58" s="1737" t="s">
        <v>3166</v>
      </c>
      <c r="C58" s="1737">
        <f t="shared" si="0"/>
        <v>1</v>
      </c>
      <c r="D58" s="1737">
        <v>1</v>
      </c>
      <c r="E58" s="1737">
        <v>0</v>
      </c>
      <c r="F58" s="2993" t="s">
        <v>3173</v>
      </c>
      <c r="G58" s="3022" t="s">
        <v>3168</v>
      </c>
      <c r="H58" s="3011" t="s">
        <v>3174</v>
      </c>
      <c r="I58" s="3006">
        <v>212</v>
      </c>
      <c r="J58" s="3005">
        <v>42856</v>
      </c>
      <c r="K58" s="3005">
        <v>43585</v>
      </c>
      <c r="L58" s="3008">
        <v>10.3</v>
      </c>
      <c r="M58" s="2999">
        <f t="shared" si="2"/>
        <v>2183.6000000000004</v>
      </c>
      <c r="Q58" s="2993"/>
    </row>
    <row r="59" spans="2:17" ht="14.25">
      <c r="B59" s="1737" t="s">
        <v>3166</v>
      </c>
      <c r="C59" s="1737">
        <f t="shared" si="0"/>
        <v>1</v>
      </c>
      <c r="D59" s="1737">
        <v>1</v>
      </c>
      <c r="E59" s="1737">
        <v>1</v>
      </c>
      <c r="F59" s="3000" t="str">
        <f t="shared" ref="F59:I60" si="16">F58</f>
        <v>招商证券</v>
      </c>
      <c r="G59" s="3001" t="str">
        <f t="shared" si="16"/>
        <v>B1</v>
      </c>
      <c r="H59" s="3002" t="str">
        <f t="shared" si="16"/>
        <v>B103</v>
      </c>
      <c r="I59" s="3003">
        <f t="shared" si="16"/>
        <v>212</v>
      </c>
      <c r="J59" s="3005">
        <v>43586</v>
      </c>
      <c r="K59" s="3005">
        <v>44316</v>
      </c>
      <c r="L59" s="3008">
        <v>11.33</v>
      </c>
      <c r="M59" s="2999">
        <f t="shared" si="2"/>
        <v>2401.96</v>
      </c>
      <c r="Q59" s="2993"/>
    </row>
    <row r="60" spans="2:17" ht="14.25">
      <c r="B60" s="1737" t="s">
        <v>3175</v>
      </c>
      <c r="C60" s="1737">
        <f t="shared" si="0"/>
        <v>1</v>
      </c>
      <c r="D60" s="1737">
        <v>1</v>
      </c>
      <c r="E60" s="1737">
        <v>1</v>
      </c>
      <c r="F60" s="3000" t="str">
        <f t="shared" si="16"/>
        <v>招商证券</v>
      </c>
      <c r="G60" s="3001" t="str">
        <f t="shared" si="16"/>
        <v>B1</v>
      </c>
      <c r="H60" s="3002" t="str">
        <f t="shared" si="16"/>
        <v>B103</v>
      </c>
      <c r="I60" s="3003">
        <f t="shared" si="16"/>
        <v>212</v>
      </c>
      <c r="J60" s="3005">
        <v>44317</v>
      </c>
      <c r="K60" s="3005">
        <v>44681</v>
      </c>
      <c r="L60" s="3008">
        <v>12.46</v>
      </c>
      <c r="M60" s="2999">
        <f t="shared" si="2"/>
        <v>2641.52</v>
      </c>
      <c r="Q60" s="2993"/>
    </row>
    <row r="61" spans="2:17" ht="14.25">
      <c r="B61" s="1737" t="s">
        <v>3176</v>
      </c>
      <c r="C61" s="1737">
        <f t="shared" si="0"/>
        <v>1</v>
      </c>
      <c r="D61" s="1737">
        <v>0</v>
      </c>
      <c r="E61" s="1737">
        <v>0</v>
      </c>
      <c r="F61" s="2993" t="s">
        <v>3177</v>
      </c>
      <c r="G61" s="3022" t="s">
        <v>3178</v>
      </c>
      <c r="H61" s="3011">
        <v>201</v>
      </c>
      <c r="I61" s="3006">
        <v>6540</v>
      </c>
      <c r="J61" s="2997">
        <v>43132</v>
      </c>
      <c r="K61" s="2997">
        <v>43861</v>
      </c>
      <c r="L61" s="3008">
        <f>370*4/365/$I$61*10000</f>
        <v>6.199991621632944</v>
      </c>
      <c r="M61" s="2999">
        <f t="shared" si="2"/>
        <v>40547.945205479453</v>
      </c>
      <c r="N61" s="1737" t="s">
        <v>3179</v>
      </c>
      <c r="Q61" s="2993"/>
    </row>
    <row r="62" spans="2:17" ht="14.25">
      <c r="B62" s="1737" t="s">
        <v>3176</v>
      </c>
      <c r="C62" s="1737">
        <f t="shared" si="0"/>
        <v>1</v>
      </c>
      <c r="D62" s="1737">
        <v>0</v>
      </c>
      <c r="E62" s="1737">
        <v>1</v>
      </c>
      <c r="F62" s="3000" t="str">
        <f t="shared" ref="F62:I63" si="17">F61</f>
        <v>百佑科技</v>
      </c>
      <c r="G62" s="3001" t="str">
        <f t="shared" si="17"/>
        <v>2F</v>
      </c>
      <c r="H62" s="3002">
        <f t="shared" si="17"/>
        <v>201</v>
      </c>
      <c r="I62" s="3003">
        <f t="shared" si="17"/>
        <v>6540</v>
      </c>
      <c r="J62" s="3005">
        <v>43862</v>
      </c>
      <c r="K62" s="3005">
        <v>44592</v>
      </c>
      <c r="L62" s="3008">
        <f>L61*1.1</f>
        <v>6.8199907837962392</v>
      </c>
      <c r="M62" s="2999">
        <f t="shared" si="2"/>
        <v>44602.739726027401</v>
      </c>
      <c r="Q62" s="2993"/>
    </row>
    <row r="63" spans="2:17" ht="14.25">
      <c r="B63" s="1737" t="s">
        <v>3180</v>
      </c>
      <c r="C63" s="1737">
        <f t="shared" si="0"/>
        <v>1</v>
      </c>
      <c r="D63" s="1737">
        <v>0</v>
      </c>
      <c r="E63" s="1737">
        <v>1</v>
      </c>
      <c r="F63" s="3000" t="str">
        <f t="shared" si="17"/>
        <v>百佑科技</v>
      </c>
      <c r="G63" s="3001" t="str">
        <f t="shared" si="17"/>
        <v>2F</v>
      </c>
      <c r="H63" s="3002">
        <f t="shared" si="17"/>
        <v>201</v>
      </c>
      <c r="I63" s="3003">
        <f t="shared" si="17"/>
        <v>6540</v>
      </c>
      <c r="J63" s="3005">
        <v>44593</v>
      </c>
      <c r="K63" s="3005">
        <v>44957</v>
      </c>
      <c r="L63" s="3008">
        <f>L62*1.1</f>
        <v>7.5019898621758641</v>
      </c>
      <c r="M63" s="2999">
        <f t="shared" si="2"/>
        <v>49063.013698630151</v>
      </c>
      <c r="Q63" s="2993"/>
    </row>
    <row r="64" spans="2:17" ht="14.25">
      <c r="B64" s="1737" t="s">
        <v>3181</v>
      </c>
      <c r="C64" s="1737">
        <f t="shared" si="0"/>
        <v>1</v>
      </c>
      <c r="D64" s="1737">
        <v>0</v>
      </c>
      <c r="E64" s="1737">
        <v>0</v>
      </c>
      <c r="F64" s="2993" t="s">
        <v>3182</v>
      </c>
      <c r="G64" s="3022" t="s">
        <v>3183</v>
      </c>
      <c r="H64" s="3011" t="s">
        <v>3184</v>
      </c>
      <c r="I64" s="3006">
        <v>1221</v>
      </c>
      <c r="J64" s="2997">
        <v>43101</v>
      </c>
      <c r="K64" s="2997">
        <v>43830</v>
      </c>
      <c r="L64" s="2998">
        <v>6.16</v>
      </c>
      <c r="M64" s="2999">
        <f t="shared" si="2"/>
        <v>7521.3600000000006</v>
      </c>
      <c r="N64" s="1737" t="s">
        <v>3185</v>
      </c>
      <c r="Q64" s="2993"/>
    </row>
    <row r="65" spans="2:17" ht="14.25">
      <c r="B65" s="1737" t="s">
        <v>3180</v>
      </c>
      <c r="C65" s="1737">
        <f t="shared" si="0"/>
        <v>1</v>
      </c>
      <c r="D65" s="1737">
        <v>0</v>
      </c>
      <c r="E65" s="1737">
        <v>1</v>
      </c>
      <c r="F65" s="3000" t="str">
        <f t="shared" ref="F65:I65" si="18">F64</f>
        <v>蓝图时代科技</v>
      </c>
      <c r="G65" s="3001" t="str">
        <f t="shared" si="18"/>
        <v>3F</v>
      </c>
      <c r="H65" s="3002" t="str">
        <f t="shared" si="18"/>
        <v>301B-01</v>
      </c>
      <c r="I65" s="3003">
        <f t="shared" si="18"/>
        <v>1221</v>
      </c>
      <c r="J65" s="3005">
        <v>43831</v>
      </c>
      <c r="K65" s="3005">
        <v>44196</v>
      </c>
      <c r="L65" s="3008">
        <v>6.7759999999999998</v>
      </c>
      <c r="M65" s="2999">
        <f t="shared" si="2"/>
        <v>8273.4959999999992</v>
      </c>
      <c r="Q65" s="2993"/>
    </row>
    <row r="66" spans="2:17" ht="14.25">
      <c r="B66" s="1737" t="s">
        <v>3186</v>
      </c>
      <c r="C66" s="1737">
        <f t="shared" si="0"/>
        <v>1</v>
      </c>
      <c r="D66" s="1737">
        <v>0</v>
      </c>
      <c r="E66" s="1737">
        <v>0</v>
      </c>
      <c r="F66" s="2993" t="s">
        <v>3187</v>
      </c>
      <c r="G66" s="2994" t="s">
        <v>3188</v>
      </c>
      <c r="H66" s="3011">
        <v>302</v>
      </c>
      <c r="I66" s="3006">
        <v>50</v>
      </c>
      <c r="J66" s="2997">
        <v>43101</v>
      </c>
      <c r="K66" s="2997">
        <v>43830</v>
      </c>
      <c r="L66" s="2998">
        <v>6.16</v>
      </c>
      <c r="M66" s="2999">
        <f t="shared" si="2"/>
        <v>308</v>
      </c>
      <c r="N66" s="1737" t="s">
        <v>3189</v>
      </c>
      <c r="Q66" s="2993"/>
    </row>
    <row r="67" spans="2:17" ht="14.25">
      <c r="B67" s="1737" t="s">
        <v>3186</v>
      </c>
      <c r="C67" s="1737">
        <f t="shared" si="0"/>
        <v>1</v>
      </c>
      <c r="D67" s="1737">
        <v>0</v>
      </c>
      <c r="E67" s="1737">
        <v>1</v>
      </c>
      <c r="F67" s="3000" t="str">
        <f t="shared" ref="F67:I67" si="19">F66</f>
        <v>优格华恒资本管理</v>
      </c>
      <c r="G67" s="3020" t="str">
        <f t="shared" si="19"/>
        <v>3F</v>
      </c>
      <c r="H67" s="3002">
        <f t="shared" si="19"/>
        <v>302</v>
      </c>
      <c r="I67" s="3003">
        <f t="shared" si="19"/>
        <v>50</v>
      </c>
      <c r="J67" s="3005">
        <v>43831</v>
      </c>
      <c r="K67" s="3005">
        <v>44196</v>
      </c>
      <c r="L67" s="3008">
        <v>6.7759999999999998</v>
      </c>
      <c r="M67" s="2999">
        <f t="shared" si="2"/>
        <v>338.8</v>
      </c>
      <c r="Q67" s="2993"/>
    </row>
    <row r="68" spans="2:17" ht="14.25">
      <c r="B68" s="1737" t="s">
        <v>3190</v>
      </c>
      <c r="C68" s="1737">
        <f t="shared" si="0"/>
        <v>1</v>
      </c>
      <c r="D68" s="1737">
        <v>0</v>
      </c>
      <c r="E68" s="1737">
        <v>0</v>
      </c>
      <c r="F68" s="2997" t="s">
        <v>3191</v>
      </c>
      <c r="G68" s="2994" t="s">
        <v>3192</v>
      </c>
      <c r="H68" s="3011">
        <v>301</v>
      </c>
      <c r="I68" s="2996">
        <v>3104</v>
      </c>
      <c r="J68" s="2997">
        <v>43101</v>
      </c>
      <c r="K68" s="2997">
        <v>43830</v>
      </c>
      <c r="L68" s="2998">
        <v>6.16</v>
      </c>
      <c r="M68" s="2999">
        <f t="shared" si="2"/>
        <v>19120.64</v>
      </c>
      <c r="N68" s="1737" t="s">
        <v>3193</v>
      </c>
      <c r="Q68" s="2993"/>
    </row>
    <row r="69" spans="2:17" ht="14.25">
      <c r="B69" s="1737" t="s">
        <v>3190</v>
      </c>
      <c r="C69" s="1737">
        <f t="shared" si="0"/>
        <v>1</v>
      </c>
      <c r="D69" s="1737">
        <v>0</v>
      </c>
      <c r="E69" s="1737">
        <v>1</v>
      </c>
      <c r="F69" s="3027" t="str">
        <f t="shared" ref="F69:I69" si="20">F68</f>
        <v>上海中清龙图</v>
      </c>
      <c r="G69" s="3020" t="str">
        <f t="shared" si="20"/>
        <v>3F</v>
      </c>
      <c r="H69" s="3002">
        <f t="shared" si="20"/>
        <v>301</v>
      </c>
      <c r="I69" s="3003">
        <f t="shared" si="20"/>
        <v>3104</v>
      </c>
      <c r="J69" s="3005">
        <v>43831</v>
      </c>
      <c r="K69" s="3005">
        <v>44196</v>
      </c>
      <c r="L69" s="3008">
        <v>6.7759999999999998</v>
      </c>
      <c r="M69" s="2999">
        <f t="shared" si="2"/>
        <v>21032.703999999998</v>
      </c>
      <c r="Q69" s="2993"/>
    </row>
    <row r="70" spans="2:17" ht="14.25">
      <c r="B70" s="1737" t="s">
        <v>3194</v>
      </c>
      <c r="C70" s="1737">
        <f t="shared" si="0"/>
        <v>1</v>
      </c>
      <c r="D70" s="1737">
        <v>0</v>
      </c>
      <c r="E70" s="1737">
        <v>0</v>
      </c>
      <c r="F70" s="2997" t="s">
        <v>3195</v>
      </c>
      <c r="G70" s="2994" t="s">
        <v>3196</v>
      </c>
      <c r="H70" s="3011">
        <v>303</v>
      </c>
      <c r="I70" s="3006">
        <v>1729</v>
      </c>
      <c r="J70" s="2997">
        <v>43101</v>
      </c>
      <c r="K70" s="2997">
        <v>43830</v>
      </c>
      <c r="L70" s="2998">
        <v>6.16</v>
      </c>
      <c r="M70" s="2999">
        <f t="shared" si="2"/>
        <v>10650.64</v>
      </c>
      <c r="N70" s="1737" t="s">
        <v>3197</v>
      </c>
      <c r="Q70" s="2993"/>
    </row>
    <row r="71" spans="2:17" ht="14.25">
      <c r="B71" s="1737" t="s">
        <v>3194</v>
      </c>
      <c r="C71" s="1737">
        <f t="shared" si="0"/>
        <v>1</v>
      </c>
      <c r="D71" s="1737">
        <v>0</v>
      </c>
      <c r="E71" s="1737">
        <v>1</v>
      </c>
      <c r="F71" s="3027" t="str">
        <f t="shared" ref="F71:I71" si="21">F70</f>
        <v>上海中清龙图</v>
      </c>
      <c r="G71" s="3020" t="str">
        <f t="shared" si="21"/>
        <v>3F</v>
      </c>
      <c r="H71" s="3002">
        <f t="shared" si="21"/>
        <v>303</v>
      </c>
      <c r="I71" s="3003">
        <f t="shared" si="21"/>
        <v>1729</v>
      </c>
      <c r="J71" s="3005">
        <v>43831</v>
      </c>
      <c r="K71" s="3005">
        <v>44196</v>
      </c>
      <c r="L71" s="3008">
        <v>6.7759999999999998</v>
      </c>
      <c r="M71" s="2999">
        <f t="shared" si="2"/>
        <v>11715.704</v>
      </c>
      <c r="Q71" s="2993"/>
    </row>
    <row r="72" spans="2:17" ht="14.25">
      <c r="B72" s="1737" t="s">
        <v>3198</v>
      </c>
      <c r="C72" s="1737">
        <f t="shared" si="0"/>
        <v>1</v>
      </c>
      <c r="D72" s="1737">
        <v>0</v>
      </c>
      <c r="E72" s="1737">
        <v>0</v>
      </c>
      <c r="F72" s="2997" t="s">
        <v>3199</v>
      </c>
      <c r="G72" s="2994" t="s">
        <v>3200</v>
      </c>
      <c r="H72" s="2993">
        <v>401</v>
      </c>
      <c r="I72" s="2993">
        <v>2180.04</v>
      </c>
      <c r="J72" s="2997">
        <v>43101</v>
      </c>
      <c r="K72" s="2997">
        <v>43830</v>
      </c>
      <c r="L72" s="3007">
        <v>5.72</v>
      </c>
      <c r="M72" s="2999">
        <f>L72*I72</f>
        <v>12469.828799999999</v>
      </c>
      <c r="N72" s="1737" t="s">
        <v>3201</v>
      </c>
    </row>
    <row r="73" spans="2:17" ht="14.25">
      <c r="B73" s="1737" t="s">
        <v>3198</v>
      </c>
      <c r="C73" s="1737">
        <f t="shared" ref="C73:C77" si="22">IF(F73="空置",0,1)</f>
        <v>1</v>
      </c>
      <c r="D73" s="1737">
        <v>0</v>
      </c>
      <c r="E73" s="1737">
        <v>1</v>
      </c>
      <c r="F73" s="3000" t="str">
        <f t="shared" ref="F73:G73" si="23">F72</f>
        <v>上海中清龙图</v>
      </c>
      <c r="G73" s="3001" t="str">
        <f t="shared" si="23"/>
        <v>4F</v>
      </c>
      <c r="H73" s="3000">
        <v>401</v>
      </c>
      <c r="I73" s="3000">
        <v>2180.04</v>
      </c>
      <c r="J73" s="3005">
        <v>43831</v>
      </c>
      <c r="K73" s="3005">
        <v>44196</v>
      </c>
      <c r="L73" s="3008">
        <v>6.2919999999999998</v>
      </c>
      <c r="M73" s="2999">
        <f>L73*I73</f>
        <v>13716.811679999999</v>
      </c>
    </row>
    <row r="74" spans="2:17" ht="14.25">
      <c r="B74" s="1737" t="s">
        <v>3202</v>
      </c>
      <c r="C74" s="1737">
        <f t="shared" si="22"/>
        <v>1</v>
      </c>
      <c r="D74" s="1737">
        <v>0</v>
      </c>
      <c r="E74" s="1737">
        <v>0</v>
      </c>
      <c r="F74" s="2997" t="s">
        <v>3203</v>
      </c>
      <c r="G74" s="2994" t="s">
        <v>3204</v>
      </c>
      <c r="H74" s="3028">
        <v>407</v>
      </c>
      <c r="I74" s="3006">
        <v>3518</v>
      </c>
      <c r="J74" s="3005">
        <v>43466</v>
      </c>
      <c r="K74" s="3005">
        <v>43830</v>
      </c>
      <c r="L74" s="3008">
        <v>6.2</v>
      </c>
      <c r="M74" s="2999">
        <f t="shared" si="2"/>
        <v>21811.600000000002</v>
      </c>
      <c r="N74" s="1737" t="s">
        <v>3205</v>
      </c>
    </row>
    <row r="75" spans="2:17" ht="14.25">
      <c r="B75" s="1737" t="s">
        <v>3202</v>
      </c>
      <c r="C75" s="1737">
        <f t="shared" si="22"/>
        <v>1</v>
      </c>
      <c r="D75" s="1737">
        <v>0</v>
      </c>
      <c r="E75" s="1737">
        <v>1</v>
      </c>
      <c r="F75" s="3029" t="str">
        <f>F74</f>
        <v>嗨学网教育科技</v>
      </c>
      <c r="G75" s="3020" t="s">
        <v>3206</v>
      </c>
      <c r="H75" s="3030">
        <v>407</v>
      </c>
      <c r="I75" s="3003">
        <v>3518</v>
      </c>
      <c r="J75" s="3005">
        <v>43831</v>
      </c>
      <c r="K75" s="3005">
        <v>44195</v>
      </c>
      <c r="L75" s="3008">
        <v>6.82</v>
      </c>
      <c r="M75" s="2999">
        <f t="shared" ref="M75:M77" si="24">L75*I75</f>
        <v>23992.760000000002</v>
      </c>
    </row>
    <row r="76" spans="2:17" ht="14.25">
      <c r="B76" s="1737" t="s">
        <v>3207</v>
      </c>
      <c r="C76" s="1737">
        <f t="shared" si="22"/>
        <v>1</v>
      </c>
      <c r="D76" s="1737">
        <v>0</v>
      </c>
      <c r="E76" s="1737">
        <v>0</v>
      </c>
      <c r="F76" s="1737" t="s">
        <v>3208</v>
      </c>
      <c r="G76" s="2994" t="s">
        <v>3206</v>
      </c>
      <c r="H76" s="2993">
        <v>409</v>
      </c>
      <c r="I76" s="2993">
        <v>828.67</v>
      </c>
      <c r="J76" s="3031">
        <v>43466</v>
      </c>
      <c r="K76" s="3031">
        <v>43830</v>
      </c>
      <c r="L76" s="3008">
        <v>6.2</v>
      </c>
      <c r="M76" s="2999">
        <f t="shared" si="24"/>
        <v>5137.7539999999999</v>
      </c>
      <c r="N76" s="1737" t="s">
        <v>3209</v>
      </c>
    </row>
    <row r="77" spans="2:17" ht="14.25">
      <c r="B77" s="1737" t="s">
        <v>3207</v>
      </c>
      <c r="C77" s="1737">
        <f t="shared" si="22"/>
        <v>1</v>
      </c>
      <c r="D77" s="1737">
        <v>0</v>
      </c>
      <c r="E77" s="1737">
        <v>1</v>
      </c>
      <c r="F77" s="3032" t="s">
        <v>3208</v>
      </c>
      <c r="G77" s="3020" t="s">
        <v>3206</v>
      </c>
      <c r="H77" s="3000">
        <v>409</v>
      </c>
      <c r="I77" s="3000">
        <v>828.67</v>
      </c>
      <c r="J77" s="3031">
        <f>K76+1</f>
        <v>43831</v>
      </c>
      <c r="K77" s="3031">
        <v>44196</v>
      </c>
      <c r="L77" s="3008">
        <v>6.82</v>
      </c>
      <c r="M77" s="2999">
        <f t="shared" si="24"/>
        <v>5651.5294000000004</v>
      </c>
    </row>
    <row r="78" spans="2:17" s="3009" customFormat="1" ht="14.25">
      <c r="G78" s="2994"/>
      <c r="J78" s="3033"/>
      <c r="K78" s="3033"/>
      <c r="L78" s="3008"/>
      <c r="M78" s="2999"/>
      <c r="N78" s="1737"/>
      <c r="O78" s="1737"/>
      <c r="P78" s="1737"/>
    </row>
    <row r="79" spans="2:17" s="3009" customFormat="1" ht="14.25">
      <c r="G79" s="2994"/>
      <c r="J79" s="3033"/>
      <c r="K79" s="3033"/>
      <c r="L79" s="3008"/>
      <c r="M79" s="2999"/>
      <c r="N79" s="1737"/>
      <c r="O79" s="1737"/>
      <c r="P79" s="1737"/>
    </row>
    <row r="80" spans="2:17" ht="14.25">
      <c r="J80" s="2993"/>
      <c r="K80" s="2993"/>
      <c r="L80" s="3034"/>
      <c r="M80" s="3035"/>
      <c r="Q80" s="2993"/>
    </row>
    <row r="81" spans="7:13">
      <c r="L81" s="1737"/>
      <c r="M81" s="1737"/>
    </row>
    <row r="82" spans="7:13">
      <c r="J82" s="3036"/>
      <c r="L82" s="1737"/>
      <c r="M82" s="1737"/>
    </row>
    <row r="83" spans="7:13">
      <c r="L83" s="1737"/>
      <c r="M83" s="1737"/>
    </row>
    <row r="84" spans="7:13">
      <c r="L84" s="1737"/>
      <c r="M84" s="1737"/>
    </row>
    <row r="85" spans="7:13">
      <c r="L85" s="1737"/>
      <c r="M85" s="1737"/>
    </row>
    <row r="86" spans="7:13" ht="14.25">
      <c r="G86" s="3037"/>
      <c r="H86" s="3038"/>
      <c r="I86" s="2993"/>
      <c r="L86" s="1737"/>
      <c r="M86" s="1737"/>
    </row>
    <row r="87" spans="7:13">
      <c r="L87" s="1737"/>
      <c r="M87" s="1737"/>
    </row>
    <row r="88" spans="7:13">
      <c r="L88" s="1737"/>
      <c r="M88" s="1737"/>
    </row>
  </sheetData>
  <autoFilter ref="B4:P73"/>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4"/>
  <sheetViews>
    <sheetView workbookViewId="0">
      <selection activeCell="H26" sqref="H26"/>
    </sheetView>
  </sheetViews>
  <sheetFormatPr defaultRowHeight="13.5"/>
  <cols>
    <col min="1" max="1" width="9" style="1737"/>
    <col min="2" max="2" width="12.75" style="1737" customWidth="1"/>
    <col min="3" max="16384" width="9" style="1737"/>
  </cols>
  <sheetData>
    <row r="2" spans="1:3">
      <c r="A2" s="1737" t="s">
        <v>3222</v>
      </c>
      <c r="B2" s="1737" t="s">
        <v>3223</v>
      </c>
      <c r="C2" s="1737" t="s">
        <v>3224</v>
      </c>
    </row>
    <row r="3" spans="1:3">
      <c r="A3" s="1737">
        <v>1</v>
      </c>
      <c r="B3" s="1737">
        <v>-2001</v>
      </c>
      <c r="C3" s="1737">
        <v>35.26</v>
      </c>
    </row>
    <row r="4" spans="1:3">
      <c r="A4" s="1737">
        <v>2</v>
      </c>
      <c r="B4" s="1737">
        <v>-2002</v>
      </c>
      <c r="C4" s="1737">
        <v>35.26</v>
      </c>
    </row>
    <row r="5" spans="1:3">
      <c r="A5" s="1737">
        <v>3</v>
      </c>
      <c r="B5" s="1737">
        <v>-2003</v>
      </c>
      <c r="C5" s="1737">
        <v>35.26</v>
      </c>
    </row>
    <row r="6" spans="1:3">
      <c r="A6" s="1737">
        <v>4</v>
      </c>
      <c r="B6" s="1737">
        <v>-2005</v>
      </c>
      <c r="C6" s="1737">
        <v>35.26</v>
      </c>
    </row>
    <row r="7" spans="1:3">
      <c r="A7" s="1737">
        <v>5</v>
      </c>
      <c r="B7" s="1737">
        <v>-2006</v>
      </c>
      <c r="C7" s="1737">
        <v>35.26</v>
      </c>
    </row>
    <row r="8" spans="1:3">
      <c r="A8" s="1737">
        <v>6</v>
      </c>
      <c r="B8" s="1737">
        <v>-2007</v>
      </c>
      <c r="C8" s="1737">
        <v>35.26</v>
      </c>
    </row>
    <row r="9" spans="1:3">
      <c r="A9" s="1737">
        <v>7</v>
      </c>
      <c r="B9" s="1737">
        <v>-2008</v>
      </c>
      <c r="C9" s="1737">
        <v>35.96</v>
      </c>
    </row>
    <row r="10" spans="1:3">
      <c r="A10" s="1737">
        <v>8</v>
      </c>
      <c r="B10" s="1737">
        <v>-2009</v>
      </c>
      <c r="C10" s="1737">
        <v>35.96</v>
      </c>
    </row>
    <row r="11" spans="1:3">
      <c r="A11" s="1737">
        <v>9</v>
      </c>
      <c r="B11" s="1737">
        <v>-2010</v>
      </c>
      <c r="C11" s="1737">
        <v>35.96</v>
      </c>
    </row>
    <row r="12" spans="1:3">
      <c r="A12" s="1737">
        <v>10</v>
      </c>
      <c r="B12" s="1737">
        <v>-2011</v>
      </c>
      <c r="C12" s="1737">
        <v>35.26</v>
      </c>
    </row>
    <row r="13" spans="1:3">
      <c r="A13" s="1737">
        <v>11</v>
      </c>
      <c r="B13" s="1737">
        <v>-2012</v>
      </c>
      <c r="C13" s="1737">
        <v>35.26</v>
      </c>
    </row>
    <row r="14" spans="1:3">
      <c r="A14" s="1737">
        <v>12</v>
      </c>
      <c r="B14" s="1737">
        <v>-2015</v>
      </c>
      <c r="C14" s="1737">
        <v>35.26</v>
      </c>
    </row>
    <row r="15" spans="1:3">
      <c r="A15" s="1737">
        <v>13</v>
      </c>
      <c r="B15" s="1737">
        <v>-2016</v>
      </c>
      <c r="C15" s="1737">
        <v>35.96</v>
      </c>
    </row>
    <row r="16" spans="1:3">
      <c r="A16" s="1737">
        <v>14</v>
      </c>
      <c r="B16" s="1737">
        <v>-2051</v>
      </c>
      <c r="C16" s="1737">
        <v>35.96</v>
      </c>
    </row>
    <row r="17" spans="1:3">
      <c r="A17" s="1737">
        <v>15</v>
      </c>
      <c r="B17" s="1737">
        <v>-2052</v>
      </c>
      <c r="C17" s="1737">
        <v>35.96</v>
      </c>
    </row>
    <row r="18" spans="1:3">
      <c r="A18" s="1737">
        <v>16</v>
      </c>
      <c r="B18" s="1737">
        <v>-2059</v>
      </c>
      <c r="C18" s="1737">
        <v>35.26</v>
      </c>
    </row>
    <row r="19" spans="1:3">
      <c r="A19" s="1737">
        <v>17</v>
      </c>
      <c r="B19" s="1737">
        <v>-2060</v>
      </c>
      <c r="C19" s="1737">
        <v>35.26</v>
      </c>
    </row>
    <row r="20" spans="1:3">
      <c r="A20" s="1737">
        <v>18</v>
      </c>
      <c r="B20" s="1737">
        <v>-2061</v>
      </c>
      <c r="C20" s="1737">
        <v>35.26</v>
      </c>
    </row>
    <row r="21" spans="1:3">
      <c r="A21" s="1737">
        <v>19</v>
      </c>
      <c r="B21" s="1737">
        <v>-2062</v>
      </c>
      <c r="C21" s="1737">
        <v>35.26</v>
      </c>
    </row>
    <row r="22" spans="1:3">
      <c r="A22" s="1737">
        <v>20</v>
      </c>
      <c r="B22" s="1737">
        <v>-2063</v>
      </c>
      <c r="C22" s="1737">
        <v>35.26</v>
      </c>
    </row>
    <row r="23" spans="1:3">
      <c r="A23" s="1737">
        <v>21</v>
      </c>
      <c r="B23" s="1737">
        <v>-2065</v>
      </c>
      <c r="C23" s="1737">
        <v>35.26</v>
      </c>
    </row>
    <row r="24" spans="1:3">
      <c r="A24" s="1737">
        <v>22</v>
      </c>
      <c r="B24" s="1737">
        <v>-2066</v>
      </c>
      <c r="C24" s="1737">
        <v>35.26</v>
      </c>
    </row>
    <row r="25" spans="1:3">
      <c r="A25" s="1737">
        <v>23</v>
      </c>
      <c r="B25" s="1737">
        <v>-2067</v>
      </c>
      <c r="C25" s="1737">
        <v>35.26</v>
      </c>
    </row>
    <row r="26" spans="1:3">
      <c r="A26" s="1737">
        <v>24</v>
      </c>
      <c r="B26" s="1737">
        <v>-2068</v>
      </c>
      <c r="C26" s="1737">
        <v>35.26</v>
      </c>
    </row>
    <row r="27" spans="1:3">
      <c r="A27" s="1737">
        <v>25</v>
      </c>
      <c r="B27" s="1737">
        <v>-2069</v>
      </c>
      <c r="C27" s="1737">
        <v>35.26</v>
      </c>
    </row>
    <row r="28" spans="1:3">
      <c r="A28" s="1737">
        <v>26</v>
      </c>
      <c r="B28" s="1737">
        <v>-2070</v>
      </c>
      <c r="C28" s="1737">
        <v>35.26</v>
      </c>
    </row>
    <row r="29" spans="1:3">
      <c r="A29" s="1737">
        <v>27</v>
      </c>
      <c r="B29" s="1737">
        <v>-2071</v>
      </c>
      <c r="C29" s="1737">
        <v>35.26</v>
      </c>
    </row>
    <row r="30" spans="1:3">
      <c r="A30" s="1737">
        <v>28</v>
      </c>
      <c r="B30" s="1737">
        <v>-2072</v>
      </c>
      <c r="C30" s="1737">
        <v>35.26</v>
      </c>
    </row>
    <row r="31" spans="1:3">
      <c r="A31" s="1737">
        <v>29</v>
      </c>
      <c r="B31" s="1737">
        <v>-2073</v>
      </c>
      <c r="C31" s="1737">
        <v>35.26</v>
      </c>
    </row>
    <row r="32" spans="1:3">
      <c r="A32" s="1737">
        <v>30</v>
      </c>
      <c r="B32" s="1737">
        <v>-2075</v>
      </c>
      <c r="C32" s="1737">
        <v>35.26</v>
      </c>
    </row>
    <row r="33" spans="1:3">
      <c r="A33" s="1737">
        <v>31</v>
      </c>
      <c r="B33" s="1737">
        <v>-2076</v>
      </c>
      <c r="C33" s="1737">
        <v>35.26</v>
      </c>
    </row>
    <row r="34" spans="1:3">
      <c r="A34" s="1737">
        <v>32</v>
      </c>
      <c r="B34" s="1737">
        <v>-2077</v>
      </c>
      <c r="C34" s="1737">
        <v>35.26</v>
      </c>
    </row>
    <row r="35" spans="1:3">
      <c r="A35" s="1737">
        <v>33</v>
      </c>
      <c r="B35" s="1737">
        <v>-2078</v>
      </c>
      <c r="C35" s="1737">
        <v>35.26</v>
      </c>
    </row>
    <row r="36" spans="1:3">
      <c r="A36" s="1737">
        <v>34</v>
      </c>
      <c r="B36" s="1737">
        <v>-2079</v>
      </c>
      <c r="C36" s="1737">
        <v>35.26</v>
      </c>
    </row>
    <row r="37" spans="1:3">
      <c r="A37" s="1737">
        <v>35</v>
      </c>
      <c r="B37" s="1737">
        <v>-2080</v>
      </c>
      <c r="C37" s="1737">
        <v>35.26</v>
      </c>
    </row>
    <row r="38" spans="1:3">
      <c r="A38" s="1737">
        <v>36</v>
      </c>
      <c r="B38" s="1737">
        <v>-2081</v>
      </c>
      <c r="C38" s="1737">
        <v>35.26</v>
      </c>
    </row>
    <row r="39" spans="1:3">
      <c r="A39" s="1737">
        <v>37</v>
      </c>
      <c r="B39" s="1737">
        <v>-2082</v>
      </c>
      <c r="C39" s="1737">
        <v>35.26</v>
      </c>
    </row>
    <row r="40" spans="1:3">
      <c r="A40" s="1737">
        <v>38</v>
      </c>
      <c r="B40" s="1737">
        <v>-2083</v>
      </c>
      <c r="C40" s="1737">
        <v>35.26</v>
      </c>
    </row>
    <row r="41" spans="1:3">
      <c r="A41" s="1737">
        <v>39</v>
      </c>
      <c r="B41" s="1737">
        <v>-2085</v>
      </c>
      <c r="C41" s="1737">
        <v>35.26</v>
      </c>
    </row>
    <row r="42" spans="1:3">
      <c r="A42" s="1737">
        <v>40</v>
      </c>
      <c r="B42" s="1737">
        <v>-2086</v>
      </c>
      <c r="C42" s="1737">
        <v>35.26</v>
      </c>
    </row>
    <row r="43" spans="1:3">
      <c r="A43" s="1737">
        <v>41</v>
      </c>
      <c r="B43" s="1737">
        <v>-2087</v>
      </c>
      <c r="C43" s="1737">
        <v>35.26</v>
      </c>
    </row>
    <row r="44" spans="1:3">
      <c r="A44" s="1737">
        <v>42</v>
      </c>
      <c r="B44" s="1737">
        <v>-2088</v>
      </c>
      <c r="C44" s="1737">
        <v>35.26</v>
      </c>
    </row>
    <row r="45" spans="1:3">
      <c r="A45" s="1737">
        <v>43</v>
      </c>
      <c r="B45" s="1737">
        <v>-2089</v>
      </c>
      <c r="C45" s="1737">
        <v>35.26</v>
      </c>
    </row>
    <row r="46" spans="1:3">
      <c r="A46" s="1737">
        <v>44</v>
      </c>
      <c r="B46" s="1737">
        <v>-2090</v>
      </c>
      <c r="C46" s="1737">
        <v>35.26</v>
      </c>
    </row>
    <row r="47" spans="1:3">
      <c r="A47" s="1737">
        <v>45</v>
      </c>
      <c r="B47" s="1737">
        <v>-2091</v>
      </c>
      <c r="C47" s="1737">
        <v>35.26</v>
      </c>
    </row>
    <row r="48" spans="1:3">
      <c r="A48" s="1737">
        <v>46</v>
      </c>
      <c r="B48" s="1737">
        <v>-2092</v>
      </c>
      <c r="C48" s="1737">
        <v>35.26</v>
      </c>
    </row>
    <row r="49" spans="1:3">
      <c r="A49" s="1737">
        <v>47</v>
      </c>
      <c r="B49" s="1737">
        <v>-2093</v>
      </c>
      <c r="C49" s="1737">
        <v>35.26</v>
      </c>
    </row>
    <row r="50" spans="1:3">
      <c r="A50" s="1737">
        <v>48</v>
      </c>
      <c r="B50" s="1737">
        <v>-2095</v>
      </c>
      <c r="C50" s="1737">
        <v>35.26</v>
      </c>
    </row>
    <row r="51" spans="1:3">
      <c r="A51" s="1737">
        <v>49</v>
      </c>
      <c r="B51" s="1737">
        <v>-2096</v>
      </c>
      <c r="C51" s="1737">
        <v>35.26</v>
      </c>
    </row>
    <row r="52" spans="1:3">
      <c r="A52" s="1737">
        <v>50</v>
      </c>
      <c r="B52" s="1737">
        <v>-2097</v>
      </c>
      <c r="C52" s="1737">
        <v>35.26</v>
      </c>
    </row>
    <row r="53" spans="1:3">
      <c r="A53" s="1737">
        <v>51</v>
      </c>
      <c r="B53" s="1737">
        <v>-2098</v>
      </c>
      <c r="C53" s="1737">
        <v>35.26</v>
      </c>
    </row>
    <row r="54" spans="1:3">
      <c r="A54" s="1737">
        <v>52</v>
      </c>
      <c r="B54" s="1737">
        <v>-2099</v>
      </c>
      <c r="C54" s="1737">
        <v>32.32</v>
      </c>
    </row>
    <row r="55" spans="1:3">
      <c r="A55" s="1737">
        <v>53</v>
      </c>
      <c r="B55" s="1737">
        <v>-2100</v>
      </c>
      <c r="C55" s="1737">
        <v>35.26</v>
      </c>
    </row>
    <row r="56" spans="1:3">
      <c r="A56" s="1737">
        <v>54</v>
      </c>
      <c r="B56" s="1737">
        <v>-2101</v>
      </c>
      <c r="C56" s="1737">
        <v>35.26</v>
      </c>
    </row>
    <row r="57" spans="1:3">
      <c r="A57" s="1737">
        <v>55</v>
      </c>
      <c r="B57" s="1737">
        <v>-2102</v>
      </c>
      <c r="C57" s="1737">
        <v>35.26</v>
      </c>
    </row>
    <row r="58" spans="1:3">
      <c r="A58" s="1737">
        <v>56</v>
      </c>
      <c r="B58" s="1737">
        <v>-2103</v>
      </c>
      <c r="C58" s="1737">
        <v>35.26</v>
      </c>
    </row>
    <row r="59" spans="1:3">
      <c r="A59" s="1737">
        <v>57</v>
      </c>
      <c r="B59" s="1737">
        <v>-2105</v>
      </c>
      <c r="C59" s="1737">
        <v>35.26</v>
      </c>
    </row>
    <row r="60" spans="1:3">
      <c r="A60" s="1737">
        <v>58</v>
      </c>
      <c r="B60" s="1737">
        <v>-2106</v>
      </c>
      <c r="C60" s="1737">
        <v>35.26</v>
      </c>
    </row>
    <row r="61" spans="1:3">
      <c r="A61" s="1737">
        <v>59</v>
      </c>
      <c r="B61" s="1737">
        <v>-2107</v>
      </c>
      <c r="C61" s="1737">
        <v>35.26</v>
      </c>
    </row>
    <row r="62" spans="1:3">
      <c r="A62" s="1737">
        <v>60</v>
      </c>
      <c r="B62" s="1737">
        <v>-2108</v>
      </c>
      <c r="C62" s="1737">
        <v>35.26</v>
      </c>
    </row>
    <row r="63" spans="1:3">
      <c r="A63" s="1737">
        <v>61</v>
      </c>
      <c r="B63" s="1737">
        <v>-2109</v>
      </c>
      <c r="C63" s="1737">
        <v>35.26</v>
      </c>
    </row>
    <row r="64" spans="1:3">
      <c r="A64" s="1737">
        <v>62</v>
      </c>
      <c r="B64" s="1737">
        <v>-2110</v>
      </c>
      <c r="C64" s="1737">
        <v>35.26</v>
      </c>
    </row>
    <row r="65" spans="1:3">
      <c r="A65" s="1737">
        <v>63</v>
      </c>
      <c r="B65" s="1737">
        <v>-2111</v>
      </c>
      <c r="C65" s="1737">
        <v>35.26</v>
      </c>
    </row>
    <row r="66" spans="1:3">
      <c r="A66" s="1737">
        <v>64</v>
      </c>
      <c r="B66" s="1737">
        <v>-2112</v>
      </c>
      <c r="C66" s="1737">
        <v>35.26</v>
      </c>
    </row>
    <row r="67" spans="1:3">
      <c r="A67" s="1737">
        <v>65</v>
      </c>
      <c r="B67" s="1737">
        <v>-2115</v>
      </c>
      <c r="C67" s="1737">
        <v>35.26</v>
      </c>
    </row>
    <row r="68" spans="1:3">
      <c r="A68" s="1737">
        <v>66</v>
      </c>
      <c r="B68" s="1737">
        <v>-2116</v>
      </c>
      <c r="C68" s="1737">
        <v>35.26</v>
      </c>
    </row>
    <row r="69" spans="1:3">
      <c r="A69" s="1737">
        <v>67</v>
      </c>
      <c r="B69" s="1737">
        <v>-2117</v>
      </c>
      <c r="C69" s="1737">
        <v>35.26</v>
      </c>
    </row>
    <row r="70" spans="1:3">
      <c r="A70" s="1737">
        <v>68</v>
      </c>
      <c r="B70" s="1737">
        <v>-2118</v>
      </c>
      <c r="C70" s="1737">
        <v>35.26</v>
      </c>
    </row>
    <row r="71" spans="1:3">
      <c r="A71" s="1737">
        <v>69</v>
      </c>
      <c r="B71" s="1737">
        <v>-2119</v>
      </c>
      <c r="C71" s="1737">
        <v>35.26</v>
      </c>
    </row>
    <row r="72" spans="1:3">
      <c r="A72" s="1737">
        <v>70</v>
      </c>
      <c r="B72" s="1737">
        <v>-2120</v>
      </c>
      <c r="C72" s="1737">
        <v>35.26</v>
      </c>
    </row>
    <row r="73" spans="1:3">
      <c r="A73" s="1737">
        <v>71</v>
      </c>
      <c r="B73" s="1737">
        <v>-2121</v>
      </c>
      <c r="C73" s="1737">
        <v>35.26</v>
      </c>
    </row>
    <row r="74" spans="1:3">
      <c r="A74" s="1737">
        <v>72</v>
      </c>
      <c r="B74" s="1737">
        <v>-2122</v>
      </c>
      <c r="C74" s="1737">
        <v>35.26</v>
      </c>
    </row>
    <row r="75" spans="1:3">
      <c r="A75" s="1737">
        <v>73</v>
      </c>
      <c r="B75" s="1737">
        <v>-2123</v>
      </c>
      <c r="C75" s="1737">
        <v>35.26</v>
      </c>
    </row>
    <row r="76" spans="1:3">
      <c r="A76" s="1737">
        <v>74</v>
      </c>
      <c r="B76" s="1737">
        <v>-2125</v>
      </c>
      <c r="C76" s="1737">
        <v>35.26</v>
      </c>
    </row>
    <row r="77" spans="1:3">
      <c r="A77" s="1737">
        <v>75</v>
      </c>
      <c r="B77" s="1737">
        <v>-2126</v>
      </c>
      <c r="C77" s="1737">
        <v>35.26</v>
      </c>
    </row>
    <row r="78" spans="1:3">
      <c r="A78" s="1737">
        <v>76</v>
      </c>
      <c r="B78" s="1737">
        <v>-2127</v>
      </c>
      <c r="C78" s="1737">
        <v>35.26</v>
      </c>
    </row>
    <row r="79" spans="1:3">
      <c r="A79" s="1737">
        <v>77</v>
      </c>
      <c r="B79" s="1737">
        <v>-2128</v>
      </c>
      <c r="C79" s="1737">
        <v>35.26</v>
      </c>
    </row>
    <row r="80" spans="1:3">
      <c r="A80" s="1737">
        <v>78</v>
      </c>
      <c r="B80" s="1737">
        <v>-2129</v>
      </c>
      <c r="C80" s="1737">
        <v>35.26</v>
      </c>
    </row>
    <row r="81" spans="1:3">
      <c r="A81" s="1737">
        <v>79</v>
      </c>
      <c r="B81" s="1737">
        <v>-2130</v>
      </c>
      <c r="C81" s="1737">
        <v>35.26</v>
      </c>
    </row>
    <row r="82" spans="1:3">
      <c r="A82" s="1737">
        <v>80</v>
      </c>
      <c r="B82" s="1737">
        <v>-2131</v>
      </c>
      <c r="C82" s="1737">
        <v>35.26</v>
      </c>
    </row>
    <row r="83" spans="1:3">
      <c r="A83" s="1737">
        <v>81</v>
      </c>
      <c r="B83" s="1737">
        <v>-2132</v>
      </c>
      <c r="C83" s="1737">
        <v>35.26</v>
      </c>
    </row>
    <row r="84" spans="1:3">
      <c r="A84" s="1737">
        <v>82</v>
      </c>
      <c r="B84" s="1737">
        <v>-2133</v>
      </c>
      <c r="C84" s="1737">
        <v>35.26</v>
      </c>
    </row>
    <row r="85" spans="1:3">
      <c r="A85" s="1737">
        <v>83</v>
      </c>
      <c r="B85" s="1737">
        <v>-2135</v>
      </c>
      <c r="C85" s="1737">
        <v>35.26</v>
      </c>
    </row>
    <row r="86" spans="1:3">
      <c r="A86" s="1737">
        <v>84</v>
      </c>
      <c r="B86" s="1737">
        <v>-2136</v>
      </c>
      <c r="C86" s="1737">
        <v>35.26</v>
      </c>
    </row>
    <row r="87" spans="1:3">
      <c r="A87" s="1737">
        <v>85</v>
      </c>
      <c r="B87" s="1737">
        <v>-2137</v>
      </c>
      <c r="C87" s="1737">
        <v>35.26</v>
      </c>
    </row>
    <row r="88" spans="1:3">
      <c r="A88" s="1737">
        <v>86</v>
      </c>
      <c r="B88" s="1737">
        <v>-2168</v>
      </c>
      <c r="C88" s="1737">
        <v>32.32</v>
      </c>
    </row>
    <row r="89" spans="1:3">
      <c r="A89" s="1737">
        <v>87</v>
      </c>
      <c r="B89" s="1737">
        <v>-2169</v>
      </c>
      <c r="C89" s="1737">
        <v>35.26</v>
      </c>
    </row>
    <row r="90" spans="1:3">
      <c r="A90" s="1737">
        <v>88</v>
      </c>
      <c r="B90" s="1737">
        <v>-2170</v>
      </c>
      <c r="C90" s="1737">
        <v>35.26</v>
      </c>
    </row>
    <row r="91" spans="1:3">
      <c r="A91" s="1737">
        <v>89</v>
      </c>
      <c r="B91" s="1737">
        <v>-2171</v>
      </c>
      <c r="C91" s="1737">
        <v>35.26</v>
      </c>
    </row>
    <row r="92" spans="1:3">
      <c r="A92" s="1737">
        <v>90</v>
      </c>
      <c r="B92" s="1737">
        <v>-2172</v>
      </c>
      <c r="C92" s="1737">
        <v>35.26</v>
      </c>
    </row>
    <row r="93" spans="1:3">
      <c r="A93" s="1737">
        <v>91</v>
      </c>
      <c r="B93" s="1737">
        <v>-2173</v>
      </c>
      <c r="C93" s="1737">
        <v>35.26</v>
      </c>
    </row>
    <row r="94" spans="1:3">
      <c r="A94" s="1737">
        <v>92</v>
      </c>
      <c r="B94" s="1737">
        <v>-2175</v>
      </c>
      <c r="C94" s="1737">
        <v>35.26</v>
      </c>
    </row>
    <row r="95" spans="1:3">
      <c r="A95" s="1737">
        <v>93</v>
      </c>
      <c r="B95" s="1737">
        <v>-2176</v>
      </c>
      <c r="C95" s="1737">
        <v>35.26</v>
      </c>
    </row>
    <row r="96" spans="1:3">
      <c r="A96" s="1737">
        <v>94</v>
      </c>
      <c r="B96" s="1737">
        <v>-2177</v>
      </c>
      <c r="C96" s="1737">
        <v>35.26</v>
      </c>
    </row>
    <row r="97" spans="1:3">
      <c r="A97" s="1737">
        <v>95</v>
      </c>
      <c r="B97" s="1737">
        <v>-2178</v>
      </c>
      <c r="C97" s="1737">
        <v>35.26</v>
      </c>
    </row>
    <row r="98" spans="1:3">
      <c r="A98" s="1737">
        <v>96</v>
      </c>
      <c r="B98" s="1737">
        <v>-2179</v>
      </c>
      <c r="C98" s="1737">
        <v>35.26</v>
      </c>
    </row>
    <row r="99" spans="1:3">
      <c r="A99" s="1737">
        <v>97</v>
      </c>
      <c r="B99" s="1737">
        <v>-2180</v>
      </c>
      <c r="C99" s="1737">
        <v>35.26</v>
      </c>
    </row>
    <row r="100" spans="1:3">
      <c r="A100" s="1737">
        <v>98</v>
      </c>
      <c r="B100" s="1737">
        <v>-2181</v>
      </c>
      <c r="C100" s="1737">
        <v>35.26</v>
      </c>
    </row>
    <row r="101" spans="1:3">
      <c r="A101" s="1737">
        <v>99</v>
      </c>
      <c r="B101" s="1737">
        <v>-2182</v>
      </c>
      <c r="C101" s="1737">
        <v>35.26</v>
      </c>
    </row>
    <row r="102" spans="1:3">
      <c r="A102" s="1737">
        <v>100</v>
      </c>
      <c r="B102" s="1737">
        <v>-2183</v>
      </c>
      <c r="C102" s="1737">
        <v>35.26</v>
      </c>
    </row>
    <row r="103" spans="1:3">
      <c r="A103" s="1737">
        <v>101</v>
      </c>
      <c r="B103" s="1737">
        <v>-2185</v>
      </c>
      <c r="C103" s="1737">
        <v>35.26</v>
      </c>
    </row>
    <row r="104" spans="1:3">
      <c r="C104" s="1737">
        <f>SUM(C3:C103)</f>
        <v>3559.5800000000086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86" t="s">
        <v>1658</v>
      </c>
      <c r="B1" s="3086"/>
      <c r="C1" s="3086"/>
      <c r="D1" s="3086"/>
    </row>
    <row r="2" spans="1:4" ht="18">
      <c r="A2" s="3087" t="s">
        <v>1642</v>
      </c>
      <c r="B2" s="3087"/>
      <c r="C2" s="3087"/>
      <c r="D2" s="3087"/>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王鹏</v>
      </c>
      <c r="B5" s="1978">
        <f ca="1">项目基本情况!E4</f>
        <v>1120050019</v>
      </c>
      <c r="C5" s="1981"/>
      <c r="D5" s="1980" t="s">
        <v>1647</v>
      </c>
    </row>
    <row r="6" spans="1:4" ht="18">
      <c r="A6" s="3087" t="s">
        <v>1648</v>
      </c>
      <c r="B6" s="3087"/>
      <c r="C6" s="3087"/>
      <c r="D6" s="3087"/>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3088" t="s">
        <v>1651</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2" t="s">
        <v>1652</v>
      </c>
      <c r="B16" s="3092"/>
      <c r="C16" s="3092"/>
      <c r="D16" s="3092"/>
    </row>
    <row r="17" spans="1:4" ht="144" customHeight="1">
      <c r="A17" s="3092" t="s">
        <v>1653</v>
      </c>
      <c r="B17" s="3092"/>
      <c r="C17" s="3092"/>
      <c r="D17" s="3092"/>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3"/>
      <c r="C21" s="3093"/>
      <c r="D21" s="3093"/>
    </row>
    <row r="22" spans="1:4" ht="18.75" customHeight="1">
      <c r="A22" s="3094" t="s">
        <v>1654</v>
      </c>
      <c r="B22" s="3094"/>
      <c r="C22" s="3094"/>
      <c r="D22" s="3094"/>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100" t="s">
        <v>1665</v>
      </c>
      <c r="B15" s="3095" t="s">
        <v>136</v>
      </c>
      <c r="C15" s="3096"/>
    </row>
    <row r="16" spans="1:7" ht="13.5">
      <c r="A16" s="3101"/>
      <c r="B16" s="3095" t="s">
        <v>69</v>
      </c>
      <c r="C16" s="3096"/>
    </row>
    <row r="17" spans="1:3" ht="13.5">
      <c r="A17" s="3101"/>
      <c r="B17" s="3098" t="s">
        <v>1666</v>
      </c>
      <c r="C17" s="1999" t="s">
        <v>1665</v>
      </c>
    </row>
    <row r="18" spans="1:3" ht="13.5">
      <c r="A18" s="3101"/>
      <c r="B18" s="3098"/>
      <c r="C18" s="1999" t="s">
        <v>1667</v>
      </c>
    </row>
    <row r="19" spans="1:3" ht="13.5">
      <c r="A19" s="3101"/>
      <c r="B19" s="3098"/>
      <c r="C19" s="1999" t="s">
        <v>1668</v>
      </c>
    </row>
    <row r="20" spans="1:3" ht="13.5">
      <c r="A20" s="3102"/>
      <c r="B20" s="3097" t="s">
        <v>1669</v>
      </c>
      <c r="C20" s="3096"/>
    </row>
    <row r="21" spans="1:3" ht="13.5">
      <c r="A21" s="2000" t="s">
        <v>1670</v>
      </c>
      <c r="B21" s="2001"/>
      <c r="C21" s="2002"/>
    </row>
    <row r="22" spans="1:3" ht="13.5">
      <c r="A22" s="3099" t="s">
        <v>1671</v>
      </c>
      <c r="B22" s="3097" t="s">
        <v>1672</v>
      </c>
      <c r="C22" s="3096"/>
    </row>
    <row r="23" spans="1:3" ht="13.5">
      <c r="A23" s="3099"/>
      <c r="B23" s="3097" t="s">
        <v>1673</v>
      </c>
      <c r="C23" s="3096"/>
    </row>
    <row r="24" spans="1:3" ht="13.5">
      <c r="A24" s="3099"/>
      <c r="B24" s="3097" t="s">
        <v>1674</v>
      </c>
      <c r="C24" s="3096"/>
    </row>
    <row r="25" spans="1:3" ht="13.5">
      <c r="A25" s="3099"/>
      <c r="B25" s="3098" t="s">
        <v>1675</v>
      </c>
      <c r="C25" s="1999" t="s">
        <v>1676</v>
      </c>
    </row>
    <row r="26" spans="1:3" ht="13.5">
      <c r="A26" s="3099"/>
      <c r="B26" s="3098"/>
      <c r="C26" s="1999" t="s">
        <v>1677</v>
      </c>
    </row>
    <row r="27" spans="1:3" ht="13.5">
      <c r="A27" s="3099"/>
      <c r="B27" s="3098"/>
      <c r="C27" s="1999" t="s">
        <v>1678</v>
      </c>
    </row>
    <row r="28" spans="1:3" ht="13.5">
      <c r="A28" s="3099"/>
      <c r="B28" s="3098"/>
      <c r="C28" s="1999" t="s">
        <v>1679</v>
      </c>
    </row>
    <row r="29" spans="1:3" ht="13.5">
      <c r="A29" s="3099"/>
      <c r="B29" s="3098"/>
      <c r="C29" s="1999" t="s">
        <v>1680</v>
      </c>
    </row>
    <row r="30" spans="1:3" ht="13.5">
      <c r="A30" s="3099"/>
      <c r="B30" s="3098"/>
      <c r="C30" s="1999" t="s">
        <v>1681</v>
      </c>
    </row>
    <row r="31" spans="1:3" ht="13.5">
      <c r="A31" s="3099"/>
      <c r="B31" s="3098"/>
      <c r="C31" s="1999" t="s">
        <v>1682</v>
      </c>
    </row>
    <row r="32" spans="1:3" ht="13.5">
      <c r="A32" s="3099"/>
      <c r="B32" s="3098"/>
      <c r="C32" s="1999" t="s">
        <v>1683</v>
      </c>
    </row>
    <row r="33" spans="1:3" ht="13.5">
      <c r="A33" s="3099"/>
      <c r="B33" s="3098"/>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43635</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44395</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t="str">
        <f ca="1">IF(C10&lt;B2,"已过期",1120060040)</f>
        <v>已过期</v>
      </c>
      <c r="C10" s="2345">
        <v>43483</v>
      </c>
      <c r="D10" s="2348" t="s">
        <v>838</v>
      </c>
      <c r="E10" s="1021">
        <f ca="1">IF(F10&lt;B2,"已过期",2004110096)</f>
        <v>2004110096</v>
      </c>
      <c r="F10" s="1029">
        <v>47118</v>
      </c>
    </row>
    <row r="11" spans="1:6" ht="24" customHeight="1">
      <c r="A11" s="1701" t="s">
        <v>839</v>
      </c>
      <c r="B11" s="1021" t="str">
        <f ca="1">IF(C11&lt;B2,"已过期",1120100036)</f>
        <v>已过期</v>
      </c>
      <c r="C11" s="2345">
        <v>43622</v>
      </c>
      <c r="D11" s="2348"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5">
        <v>43814</v>
      </c>
      <c r="D13" s="2348" t="s">
        <v>840</v>
      </c>
      <c r="E13" s="1021">
        <f ca="1">IF(F13&lt;B2,"已过期",2014110011)</f>
        <v>2014110011</v>
      </c>
      <c r="F13" s="1029">
        <v>49302</v>
      </c>
    </row>
    <row r="14" spans="1:6" ht="24" customHeight="1">
      <c r="A14" s="1701" t="s">
        <v>3042</v>
      </c>
      <c r="B14" s="1021">
        <f ca="1">IF(C14&lt;B2,"已过期",1120040230)</f>
        <v>1120040230</v>
      </c>
      <c r="C14" s="2345">
        <v>43835</v>
      </c>
      <c r="D14" s="2348" t="s">
        <v>3042</v>
      </c>
      <c r="E14" s="1021">
        <f ca="1">IF(F14&lt;B2,"已过期",98030020)</f>
        <v>98030020</v>
      </c>
      <c r="F14" s="1029">
        <v>47118</v>
      </c>
    </row>
    <row r="15" spans="1:6" ht="24" customHeight="1">
      <c r="A15" s="1702" t="s">
        <v>3043</v>
      </c>
      <c r="B15" s="1021">
        <f ca="1">IF(C15&lt;B2,"已过期",1120070085)</f>
        <v>1120070085</v>
      </c>
      <c r="C15" s="2345">
        <v>43814</v>
      </c>
      <c r="D15" s="2349" t="s">
        <v>3043</v>
      </c>
      <c r="E15" s="1021">
        <f ca="1">IF(F15&lt;B2,"已过期",2004110128)</f>
        <v>2004110128</v>
      </c>
      <c r="F15" s="1022">
        <v>47118</v>
      </c>
    </row>
    <row r="16" spans="1:6" ht="24" customHeight="1">
      <c r="A16" s="1701" t="s">
        <v>3044</v>
      </c>
      <c r="B16" s="1021">
        <f ca="1">IF(C16&lt;B2,"已过期",1120140022)</f>
        <v>1120140022</v>
      </c>
      <c r="C16" s="2928">
        <v>44029</v>
      </c>
      <c r="D16" s="2348" t="s">
        <v>3044</v>
      </c>
      <c r="E16" s="1021">
        <f ca="1">IF(F16&lt;B2,"已过期",2008110059)</f>
        <v>2008110059</v>
      </c>
      <c r="F16" s="1029">
        <v>47177</v>
      </c>
    </row>
    <row r="17" spans="1:7" ht="24" customHeight="1">
      <c r="A17" s="1701"/>
      <c r="B17" s="1021"/>
      <c r="C17" s="2345"/>
      <c r="D17" s="2348" t="s">
        <v>3045</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841</v>
      </c>
      <c r="E21" s="1021">
        <f ca="1">IF(F21&lt;B2,"已过期",2011110090)</f>
        <v>2011110090</v>
      </c>
      <c r="F21" s="1029">
        <v>48302</v>
      </c>
    </row>
    <row r="22" spans="1:7" ht="24" customHeight="1">
      <c r="A22" s="1701" t="s">
        <v>842</v>
      </c>
      <c r="B22" s="1021">
        <f ca="1">IF(C22&lt;B2,"已过期",1120020033)</f>
        <v>1120020033</v>
      </c>
      <c r="C22" s="2928">
        <v>44339</v>
      </c>
      <c r="D22" s="2348" t="s">
        <v>842</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1329</v>
      </c>
      <c r="B24" s="1702" t="s">
        <v>1329</v>
      </c>
      <c r="C24" s="2346" t="s">
        <v>1329</v>
      </c>
      <c r="D24" s="2349" t="s">
        <v>1329</v>
      </c>
      <c r="E24" s="1702" t="s">
        <v>1329</v>
      </c>
      <c r="F24" s="1702" t="s">
        <v>1329</v>
      </c>
    </row>
    <row r="25" spans="1:7" ht="24" customHeight="1">
      <c r="A25" s="3103" t="s">
        <v>843</v>
      </c>
      <c r="B25" s="3103"/>
      <c r="C25" s="3103"/>
      <c r="D25" s="3103"/>
      <c r="E25" s="3103"/>
      <c r="F25" s="3103"/>
      <c r="G25" s="3103"/>
    </row>
    <row r="26" spans="1:7" s="1024" customFormat="1" ht="24" customHeight="1">
      <c r="A26" s="3104" t="s">
        <v>844</v>
      </c>
      <c r="B26" s="3104"/>
      <c r="C26" s="3105"/>
      <c r="D26" s="3106" t="s">
        <v>845</v>
      </c>
      <c r="E26" s="3104"/>
      <c r="F26" s="3104"/>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典型户型修正商业</vt:lpstr>
      <vt:lpstr>结果表 (2)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典型户型修正车位</vt:lpstr>
      <vt:lpstr>结果表 (3)</vt:lpstr>
      <vt:lpstr>Sheet1</vt:lpstr>
      <vt:lpstr>Pivot</vt:lpstr>
      <vt:lpstr>Adj RR</vt:lpstr>
      <vt:lpstr>车库清单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2019-06-19T09:26:19Z</dcterms:modified>
</cp:coreProperties>
</file>