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480" yWindow="225" windowWidth="12120" windowHeight="7620" tabRatio="899" firstSheet="17"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技术指标" sheetId="77" r:id="rId14"/>
    <sheet name="预测（地下商业、车库）" sheetId="78" r:id="rId15"/>
    <sheet name="预测（T1-3）" sheetId="79" r:id="rId16"/>
    <sheet name="数据-汇总表" sheetId="6" r:id="rId17"/>
    <sheet name="数据-取费表" sheetId="1" r:id="rId18"/>
    <sheet name="估价对象房地状况" sheetId="20" state="hidden" r:id="rId19"/>
    <sheet name="系统读取表" sheetId="74" state="hidden" r:id="rId20"/>
    <sheet name="结果表" sheetId="9" r:id="rId21"/>
    <sheet name="成本测算" sheetId="93" r:id="rId22"/>
    <sheet name="成本法" sheetId="68" r:id="rId23"/>
    <sheet name="成本法 (元)" sheetId="69" state="hidden" r:id="rId24"/>
    <sheet name="土地比较法-住宅" sheetId="39" r:id="rId25"/>
    <sheet name="土地案例（住宅）" sheetId="88" r:id="rId26"/>
    <sheet name="土地比较法-商业" sheetId="86" r:id="rId27"/>
    <sheet name="土地案例（商业）" sheetId="87" r:id="rId28"/>
    <sheet name="地价增长、案例位置" sheetId="85" r:id="rId29"/>
    <sheet name="假设开发法" sheetId="12" r:id="rId30"/>
    <sheet name="收益法（地上商业）" sheetId="15" r:id="rId31"/>
    <sheet name="收益法（地下商业）" sheetId="81" r:id="rId32"/>
    <sheet name="比较法-公寓" sheetId="83" state="hidden" r:id="rId33"/>
    <sheet name="比较法-住宅 (2)" sheetId="89" state="hidden" r:id="rId34"/>
    <sheet name="收益法（办公）" sheetId="91" r:id="rId35"/>
    <sheet name="比较法-办公" sheetId="34" state="hidden" r:id="rId36"/>
    <sheet name="比较法-住宅" sheetId="21" r:id="rId37"/>
    <sheet name="收益法 (元)" sheetId="67" state="hidden" r:id="rId38"/>
    <sheet name="收益法（汇总）" sheetId="70" state="hidden" r:id="rId39"/>
    <sheet name="酒店收入计算" sheetId="66" state="hidden" r:id="rId40"/>
    <sheet name="收益法（地下车位）" sheetId="82" r:id="rId41"/>
    <sheet name="比较法-商业" sheetId="33"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4" sheetId="80" r:id="rId58"/>
    <sheet name="Sheet1" sheetId="90" r:id="rId59"/>
  </sheets>
  <externalReferences>
    <externalReference r:id="rId60"/>
    <externalReference r:id="rId61"/>
  </externalReferences>
  <definedNames>
    <definedName name="_xlnm._FilterDatabase" localSheetId="35"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2" hidden="1">'比较法-公寓'!$A$1:$L$49</definedName>
    <definedName name="_xlnm._FilterDatabase" localSheetId="41" hidden="1">'比较法-商业'!$A$1:$L$49</definedName>
    <definedName name="_xlnm._FilterDatabase" localSheetId="36" hidden="1">'比较法-住宅'!$A$1:$L$49</definedName>
    <definedName name="_xlnm._FilterDatabase" localSheetId="33" hidden="1">'比较法-住宅 (2)'!$A$1:$L$49</definedName>
    <definedName name="_xlnm._FilterDatabase" localSheetId="21" hidden="1">成本测算!$A$107:$I$225</definedName>
    <definedName name="_xlnm._FilterDatabase" localSheetId="11" hidden="1">'数据-基础表'!$A$12:$AT$587</definedName>
    <definedName name="_xlnm._FilterDatabase" localSheetId="27" hidden="1">'土地案例（商业）'!$A$1:$P$68</definedName>
    <definedName name="_xlnm._FilterDatabase" localSheetId="25" hidden="1">'土地案例（住宅）'!$A$1:$P$208</definedName>
    <definedName name="_xlnm._FilterDatabase" localSheetId="45" hidden="1">'土地比较法-工业'!$A$1:$L$43</definedName>
    <definedName name="_xlnm._FilterDatabase" localSheetId="26" hidden="1">'土地比较法-商业'!$A$1:$L$48</definedName>
    <definedName name="_xlnm._FilterDatabase" localSheetId="24" hidden="1">'土地比较法-住宅'!$A$1:$L$48</definedName>
    <definedName name="_xlnm._FilterDatabase" localSheetId="10" hidden="1">项目基本情况!$A$42:$N$42</definedName>
    <definedName name="_xlnm._FilterDatabase" hidden="1">#REF!</definedName>
    <definedName name="_Order1" hidden="1">0</definedName>
    <definedName name="AS2DocOpenMode" hidden="1">"AS2DocumentEdit"</definedName>
    <definedName name="AS2ReportLS" hidden="1">1</definedName>
    <definedName name="AS2StaticLS" hidden="1">#REF!</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mj_1">#N/A</definedName>
    <definedName name="mj_2">#N/A</definedName>
    <definedName name="_xlnm.Print_Area" localSheetId="21">成本测算!#REF!</definedName>
    <definedName name="_xlnm.Print_Area" localSheetId="8">估价师及机构信息!$A$1:$F$29</definedName>
    <definedName name="_xlnm.Print_Area" localSheetId="37">'收益法 (元)'!$A$1:$AK$69</definedName>
    <definedName name="_xlnm.Print_Area" localSheetId="34">'收益法（办公）'!$A$1:$AK$69</definedName>
    <definedName name="_xlnm.Print_Area" localSheetId="30">'收益法（地上商业）'!$A$1:$AK$69</definedName>
    <definedName name="_xlnm.Print_Area" localSheetId="40">'收益法（地下车位）'!$A$1:$AK$69</definedName>
    <definedName name="_xlnm.Print_Area" localSheetId="31">'收益法（地下商业）'!$A$1:$AK$69</definedName>
    <definedName name="_xlnm.Print_Area" localSheetId="16">'数据-汇总表'!$A$1:$P$32</definedName>
    <definedName name="SAPBEXsysID" hidden="1">"BW1"</definedName>
    <definedName name="SAPBEXwbID" hidden="1">"8DZFG4M4NA6MVVGNLO7J4SRAY"</definedName>
    <definedName name="TextRefCopyRangeCount" hidden="1">5</definedName>
    <definedName name="x" localSheetId="21">[1]成本测算!#REF!</definedName>
    <definedName name="x">#REF!</definedName>
    <definedName name="XREF_COLUMN_1" hidden="1">#REF!</definedName>
    <definedName name="XREF_COLUMN_2" hidden="1">#REF!</definedName>
    <definedName name="XRefActiveRow" hidden="1">#REF!</definedName>
    <definedName name="XRefColumnsCount" hidden="1">2</definedName>
    <definedName name="XRefCopy1" hidden="1">#REF!</definedName>
    <definedName name="XRefCopy1Row" hidden="1">#REF!</definedName>
    <definedName name="XRefCopyRangeCount" hidden="1">1</definedName>
    <definedName name="XRefPaste1" hidden="1">#REF!</definedName>
    <definedName name="XRefPaste1Row" hidden="1">#REF!</definedName>
    <definedName name="XRefPasteRangeCount" hidden="1">1</definedName>
    <definedName name="八级">区片价!$O$1:$O$40</definedName>
    <definedName name="板式住宅" localSheetId="21">'[2]基础资料（B）'!$C$8</definedName>
    <definedName name="板式住宅">'[2]基础资料（B）'!$C$8</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滨江路写字楼" localSheetId="21">'[2]基础资料（B）'!$C$16</definedName>
    <definedName name="滨江路写字楼">'[2]基础资料（B）'!$C$16</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超高层塔式住宅" localSheetId="21">'[2]基础资料（B）'!$C$9</definedName>
    <definedName name="超高层塔式住宅">'[2]基础资料（B）'!$C$9</definedName>
    <definedName name="超高层写字楼" localSheetId="21">'[2]基础资料（B）'!$C$15</definedName>
    <definedName name="超高层写字楼">'[2]基础资料（B）'!$C$15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大梯坎商业" localSheetId="21">'[2]基础资料（B）'!$C$13</definedName>
    <definedName name="大梯坎商业">'[2]基础资料（B）'!$C$13</definedName>
    <definedName name="单价内涵">定义!$V$1:$V$3</definedName>
    <definedName name="道路面积" localSheetId="21">'[2]基础资料（B）'!$C$21</definedName>
    <definedName name="道路面积">'[2]基础资料（B）'!$C$21</definedName>
    <definedName name="地类判定">定义!$H$1:$H$9</definedName>
    <definedName name="地下车库" localSheetId="21">'[2]基础资料（B）'!$C$17</definedName>
    <definedName name="地下车库">'[2]基础资料（B）'!$C$17</definedName>
    <definedName name="二级">区片价!$I$1:$I$20</definedName>
    <definedName name="二级分类">修正!$C$17:$C$39</definedName>
    <definedName name="法定最高年限">定义!$G$1:$G$4</definedName>
    <definedName name="高层塔式住宅" localSheetId="21">'[2]基础资料（B）'!$C$10</definedName>
    <definedName name="高层塔式住宅">'[2]基础资料（B）'!$C$10</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豪华装修" localSheetId="21">'[2]基础资料（B）'!$C$31</definedName>
    <definedName name="豪华装修">'[2]基础资料（B）'!$C$31</definedName>
    <definedName name="环境">定义!$S$1:$S$6</definedName>
    <definedName name="会所" localSheetId="21">'[2]基础资料（B）'!$C$23</definedName>
    <definedName name="会所">'[2]基础资料（B）'!$C$23</definedName>
    <definedName name="基础设施水平">定义!$R$1:$R$6</definedName>
    <definedName name="季度">基准地价修正!$Q$19:$AD$19</definedName>
    <definedName name="价值类型2">定义!$B$54:$B$56</definedName>
    <definedName name="交通便捷度">定义!$O$1:$O$6</definedName>
    <definedName name="景观面积" localSheetId="21">'[2]基础资料（B）'!$C$32</definedName>
    <definedName name="景观面积">'[2]基础资料（B）'!$C$32</definedName>
    <definedName name="九级">区片价!$P$1:$P$46</definedName>
    <definedName name="酒店式公寓" localSheetId="21">'[2]基础资料（B）'!$C$11</definedName>
    <definedName name="酒店式公寓">'[2]基础资料（B）'!$C$11</definedName>
    <definedName name="居住户数" localSheetId="21">'[2]基础资料（B）'!$C$35</definedName>
    <definedName name="居住户数">'[2]基础资料（B）'!$C$35</definedName>
    <definedName name="居住社区成熟度">定义!$K$1:$K$6</definedName>
    <definedName name="开发成本" localSheetId="21">[1]成本测算!#REF!</definedName>
    <definedName name="开发成本">#REF!</definedName>
    <definedName name="类别">定义!$J$1:$J$3</definedName>
    <definedName name="临规划路商业" localSheetId="21">'[2]基础资料（B）'!$C$14</definedName>
    <definedName name="临规划路商业">'[2]基础资料（B）'!$C$14</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汽车展示厅" localSheetId="21">'[2]基础资料（B）'!$C$12</definedName>
    <definedName name="汽车展示厅">'[2]基础资料（B）'!$C$12</definedName>
    <definedName name="区域土地利用方向">定义!$P$1:$P$6</definedName>
    <definedName name="人防" localSheetId="21">'[2]基础资料（B）'!$C$26</definedName>
    <definedName name="人防">'[2]基础资料（B）'!$C$26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6">'土地比较法-商业'!$A$73:$M$73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6">'土地比较法-商业'!$B$106:$M$106</definedName>
    <definedName name="套综道路等级">'土地比较法-住宅'!$B$106:$M$106</definedName>
    <definedName name="套综工程地质条件" localSheetId="26">'土地比较法-商业'!$B$125:$M$125</definedName>
    <definedName name="套综工程地质条件">'土地比较法-住宅'!$B$125:$M$125</definedName>
    <definedName name="套综交易情况" localSheetId="26">'土地比较法-商业'!$A$73:$M$73</definedName>
    <definedName name="套综交易情况">'土地比较法-住宅'!$A$73:$M$73</definedName>
    <definedName name="套综临街宽度及深度" localSheetId="26">'土地比较法-商业'!$B$121:$M$121</definedName>
    <definedName name="套综临街宽度及深度">'土地比较法-住宅'!$B$121:$M$121</definedName>
    <definedName name="套综土地级别" localSheetId="26">'土地比较法-商业'!$B$108:$M$108</definedName>
    <definedName name="套综土地级别">'土地比较法-住宅'!$B$108:$M$108</definedName>
    <definedName name="套综用途" localSheetId="26">'土地比较法-商业'!$B$75:$M$75</definedName>
    <definedName name="套综用途">'土地比较法-住宅'!$B$75:$M$75</definedName>
    <definedName name="套综宗地内开发程度" localSheetId="26">'土地比较法-商业'!$B$123:$M$123</definedName>
    <definedName name="套综宗地内开发程度">'土地比较法-住宅'!$B$123:$M$123</definedName>
    <definedName name="套综宗地形状" localSheetId="26">'土地比较法-商业'!$B$119:$M$119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物管用房" localSheetId="21">'[2]基础资料（B）'!$C$24</definedName>
    <definedName name="物管用房">'[2]基础资料（B）'!$C$24</definedName>
    <definedName name="项目类型">'数据-汇总表'!$C$17:$C$26</definedName>
    <definedName name="项目总用地面积" localSheetId="21">'[2]基础资料（B）'!$C$4</definedName>
    <definedName name="项目总用地面积">'[2]基础资料（B）'!$C$4</definedName>
    <definedName name="写字楼等级">'比较法-办公'!$B$113:$M$113</definedName>
    <definedName name="学校" localSheetId="21">'[2]基础资料（B）'!$C$27</definedName>
    <definedName name="学校">'[2]基础资料（B）'!$C$27</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电容量" localSheetId="21">'[2]基础资料（B）'!$C$40</definedName>
    <definedName name="用电容量">'[2]基础资料（B）'!$C$40</definedName>
    <definedName name="用途明细">定义!$A$1:$A$50</definedName>
    <definedName name="有无电梯">'比较法-仓储'!$B$84:$M$84</definedName>
    <definedName name="幼儿园" localSheetId="21">'[2]基础资料（B）'!$C$25</definedName>
    <definedName name="幼儿园">'[2]基础资料（B）'!$C$25</definedName>
    <definedName name="周界长度" localSheetId="21">'[2]基础资料（B）'!$C$39</definedName>
    <definedName name="周界长度">'[2]基础资料（B）'!$C$39</definedName>
    <definedName name="主用途">定义!$F$1:$F$10</definedName>
    <definedName name="住宅朝向" localSheetId="32">'比较法-公寓'!$B$88:$M$88</definedName>
    <definedName name="住宅朝向" localSheetId="33">'比较法-住宅 (2)'!$B$88:$M$88</definedName>
    <definedName name="住宅朝向">'比较法-住宅'!$B$88:$M$88</definedName>
    <definedName name="住宅房型" localSheetId="32">'比较法-公寓'!$B$118:$M$118</definedName>
    <definedName name="住宅房型" localSheetId="33">'比较法-住宅 (2)'!$B$118:$M$118</definedName>
    <definedName name="住宅房型">'比较法-住宅'!$B$118:$M$118</definedName>
    <definedName name="住宅公共部分装修" localSheetId="32">'比较法-公寓'!$B$109:$M$109</definedName>
    <definedName name="住宅公共部分装修" localSheetId="33">'比较法-住宅 (2)'!$B$109:$M$109</definedName>
    <definedName name="住宅公共部分装修">'比较法-住宅'!$B$109:$M$109</definedName>
    <definedName name="住宅基础设施水平" localSheetId="32">'比较法-公寓'!$B$116:$M$116</definedName>
    <definedName name="住宅基础设施水平" localSheetId="33">'比较法-住宅 (2)'!$B$116:$M$116</definedName>
    <definedName name="住宅基础设施水平">'比较法-住宅'!$B$116:$M$116</definedName>
    <definedName name="住宅建筑结构" localSheetId="32">'比较法-公寓'!$B$105:$M$105</definedName>
    <definedName name="住宅建筑结构" localSheetId="33">'比较法-住宅 (2)'!$B$105:$M$105</definedName>
    <definedName name="住宅建筑结构">'比较法-住宅'!$B$105:$M$105</definedName>
    <definedName name="住宅建筑类型" localSheetId="32">'比较法-公寓'!$B$100:$M$100</definedName>
    <definedName name="住宅建筑类型" localSheetId="33">'比较法-住宅 (2)'!$B$100:$M$100</definedName>
    <definedName name="住宅建筑类型">'比较法-住宅'!$B$100:$M$100</definedName>
    <definedName name="住宅建筑品质" localSheetId="32">'比较法-公寓'!$B$107:$M$107</definedName>
    <definedName name="住宅建筑品质" localSheetId="33">'比较法-住宅 (2)'!$B$107:$M$107</definedName>
    <definedName name="住宅建筑品质">'比较法-住宅'!$B$107:$M$107</definedName>
    <definedName name="住宅交易情况" localSheetId="32">'比较法-公寓'!$A$61:$M$61</definedName>
    <definedName name="住宅交易情况" localSheetId="33">'比较法-住宅 (2)'!$A$61:$M$61</definedName>
    <definedName name="住宅交易情况">'比较法-住宅'!$A$61:$M$61</definedName>
    <definedName name="住宅楼层" localSheetId="32">'比较法-公寓'!$B$86:$M$86</definedName>
    <definedName name="住宅楼层" localSheetId="33">'比较法-住宅 (2)'!$B$86:$M$86</definedName>
    <definedName name="住宅楼层">'比较法-住宅'!$B$86:$M$86</definedName>
    <definedName name="住宅内部装修" localSheetId="32">'比较法-公寓'!$B$122:$M$122</definedName>
    <definedName name="住宅内部装修" localSheetId="33">'比较法-住宅 (2)'!$B$122:$M$122</definedName>
    <definedName name="住宅内部装修">'比较法-住宅'!$B$122:$M$122</definedName>
    <definedName name="住宅物业管理" localSheetId="32">'比较法-公寓'!$B$114:$M$114</definedName>
    <definedName name="住宅物业管理" localSheetId="33">'比较法-住宅 (2)'!$B$114:$M$114</definedName>
    <definedName name="住宅物业管理">'比较法-住宅'!$B$114:$M$114</definedName>
    <definedName name="住宅用途" localSheetId="32">'比较法-公寓'!$B$63:$M$63</definedName>
    <definedName name="住宅用途" localSheetId="33">'比较法-住宅 (2)'!$B$63:$M$63</definedName>
    <definedName name="住宅用途">'比较法-住宅'!$B$63:$M$63</definedName>
    <definedName name="住宅主力户型面积" localSheetId="32">'比较法-公寓'!$B$120:$M$120</definedName>
    <definedName name="住宅主力户型面积" localSheetId="33">'比较法-住宅 (2)'!$B$120:$M$120</definedName>
    <definedName name="住宅主力户型面积">'比较法-住宅'!$B$120:$M$120</definedName>
    <definedName name="注册房地产估价师">估价师及机构信息!$A$3:$A$24</definedName>
    <definedName name="总建筑面积" localSheetId="21">'[2]基础资料（B）'!$C$7</definedName>
    <definedName name="总建筑面积">'[2]基础资料（B）'!$C$7</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88" i="9" l="1"/>
  <c r="K32" i="86"/>
  <c r="K11" i="86"/>
  <c r="D80" i="39"/>
  <c r="E80" i="39" s="1"/>
  <c r="F80" i="39" s="1"/>
  <c r="G80" i="39" s="1"/>
  <c r="H80" i="39" s="1"/>
  <c r="I80" i="39" s="1"/>
  <c r="J80" i="39" s="1"/>
  <c r="K80" i="39" s="1"/>
  <c r="L80" i="39" s="1"/>
  <c r="M80" i="39" s="1"/>
  <c r="X26" i="1" l="1"/>
  <c r="X25" i="1"/>
  <c r="W26" i="1"/>
  <c r="W25" i="1"/>
  <c r="I13" i="21" l="1"/>
  <c r="G13" i="21"/>
  <c r="E13" i="21"/>
  <c r="C234" i="93"/>
  <c r="C231" i="93"/>
  <c r="J223" i="93"/>
  <c r="I222" i="93"/>
  <c r="I220" i="93" s="1"/>
  <c r="I221" i="93"/>
  <c r="J220" i="93"/>
  <c r="I219" i="93"/>
  <c r="I218" i="93"/>
  <c r="I217" i="93"/>
  <c r="I216" i="93" s="1"/>
  <c r="J216" i="93"/>
  <c r="I215" i="93"/>
  <c r="I214" i="93"/>
  <c r="J214" i="93" s="1"/>
  <c r="J213" i="93" s="1"/>
  <c r="I212" i="93"/>
  <c r="I211" i="93"/>
  <c r="I209" i="93"/>
  <c r="I208" i="93"/>
  <c r="I207" i="93"/>
  <c r="I206" i="93"/>
  <c r="I205" i="93"/>
  <c r="I204" i="93"/>
  <c r="I203" i="93" s="1"/>
  <c r="I202" i="93"/>
  <c r="I201" i="93"/>
  <c r="I200" i="93"/>
  <c r="I199" i="93"/>
  <c r="I198" i="93"/>
  <c r="I197" i="93"/>
  <c r="I196" i="93"/>
  <c r="I195" i="93"/>
  <c r="I194" i="93"/>
  <c r="I193" i="93"/>
  <c r="I191" i="93"/>
  <c r="I190" i="93"/>
  <c r="I189" i="93"/>
  <c r="I188" i="93"/>
  <c r="I186" i="93"/>
  <c r="I185" i="93"/>
  <c r="I184" i="93"/>
  <c r="I183" i="93"/>
  <c r="I182" i="93" s="1"/>
  <c r="I180" i="93"/>
  <c r="I179" i="93"/>
  <c r="I178" i="93"/>
  <c r="I177" i="93"/>
  <c r="I176" i="93"/>
  <c r="I175" i="93"/>
  <c r="I174" i="93"/>
  <c r="I173" i="93"/>
  <c r="I172" i="93"/>
  <c r="I170" i="93"/>
  <c r="I169" i="93"/>
  <c r="I168" i="93"/>
  <c r="I166" i="93"/>
  <c r="I165" i="93"/>
  <c r="I164" i="93"/>
  <c r="I163" i="93"/>
  <c r="I162" i="93" s="1"/>
  <c r="I160" i="93"/>
  <c r="I159" i="93"/>
  <c r="I158" i="93"/>
  <c r="I157" i="93"/>
  <c r="I156" i="93"/>
  <c r="I155" i="93"/>
  <c r="I154" i="93"/>
  <c r="I153" i="93"/>
  <c r="I152" i="93"/>
  <c r="I150" i="93"/>
  <c r="I149" i="93"/>
  <c r="I147" i="93"/>
  <c r="I146" i="93"/>
  <c r="I145" i="93"/>
  <c r="I144" i="93"/>
  <c r="I143" i="93"/>
  <c r="I141" i="93"/>
  <c r="I140" i="93"/>
  <c r="I139" i="93"/>
  <c r="I138" i="93"/>
  <c r="I137" i="93"/>
  <c r="I136" i="93"/>
  <c r="I135" i="93"/>
  <c r="I134" i="93"/>
  <c r="I133" i="93"/>
  <c r="I131" i="93"/>
  <c r="I130" i="93"/>
  <c r="I128" i="93"/>
  <c r="I127" i="93"/>
  <c r="I126" i="93"/>
  <c r="I125" i="93" s="1"/>
  <c r="I123" i="93"/>
  <c r="I122" i="93"/>
  <c r="I121" i="93"/>
  <c r="I120" i="93"/>
  <c r="I119" i="93"/>
  <c r="I118" i="93"/>
  <c r="I117" i="93"/>
  <c r="I116" i="93"/>
  <c r="I115" i="93"/>
  <c r="I113" i="93"/>
  <c r="I112" i="93"/>
  <c r="I111" i="93"/>
  <c r="I110" i="93"/>
  <c r="I109" i="93"/>
  <c r="AR108" i="93"/>
  <c r="J107" i="93"/>
  <c r="I106" i="93"/>
  <c r="I105" i="93"/>
  <c r="I104" i="93"/>
  <c r="I103" i="93"/>
  <c r="I102" i="93"/>
  <c r="I101" i="93"/>
  <c r="I100" i="93"/>
  <c r="I99" i="93"/>
  <c r="I98" i="93"/>
  <c r="I97" i="93"/>
  <c r="I96" i="93"/>
  <c r="I94" i="93"/>
  <c r="I92" i="93" s="1"/>
  <c r="I93" i="93"/>
  <c r="J92" i="93"/>
  <c r="I91" i="93"/>
  <c r="I89" i="93"/>
  <c r="I88" i="93"/>
  <c r="I87" i="93"/>
  <c r="I86" i="93"/>
  <c r="I85" i="93"/>
  <c r="I84" i="93"/>
  <c r="I83" i="93"/>
  <c r="I82" i="93"/>
  <c r="I81" i="93"/>
  <c r="I80"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2" i="93"/>
  <c r="I51" i="93"/>
  <c r="I50" i="93"/>
  <c r="I49" i="93"/>
  <c r="I48" i="93"/>
  <c r="I47" i="93"/>
  <c r="I46" i="93" s="1"/>
  <c r="I45" i="93"/>
  <c r="I44" i="93"/>
  <c r="I43" i="93"/>
  <c r="I42" i="93"/>
  <c r="I41" i="93"/>
  <c r="I40" i="93"/>
  <c r="I39" i="93"/>
  <c r="J37" i="93"/>
  <c r="I36" i="93"/>
  <c r="I35" i="93"/>
  <c r="I33" i="93"/>
  <c r="I32" i="93"/>
  <c r="I31" i="93"/>
  <c r="I30" i="93"/>
  <c r="I29" i="93"/>
  <c r="I28" i="93"/>
  <c r="I27" i="93"/>
  <c r="I26" i="93"/>
  <c r="I25" i="93"/>
  <c r="I24" i="93"/>
  <c r="I23" i="93"/>
  <c r="I22" i="93"/>
  <c r="I21" i="93"/>
  <c r="I20" i="93"/>
  <c r="I19" i="93"/>
  <c r="I18" i="93"/>
  <c r="I16" i="93"/>
  <c r="I15" i="93"/>
  <c r="I12" i="93"/>
  <c r="J11" i="93"/>
  <c r="I11" i="93"/>
  <c r="I10" i="93"/>
  <c r="I9" i="93"/>
  <c r="I8" i="93"/>
  <c r="J7" i="93"/>
  <c r="J5" i="93"/>
  <c r="J4" i="93"/>
  <c r="I7" i="93"/>
  <c r="I6" i="93"/>
  <c r="I5" i="93"/>
  <c r="Q72" i="91"/>
  <c r="Q59" i="91"/>
  <c r="K59" i="91"/>
  <c r="P74" i="91" s="1"/>
  <c r="F59" i="91"/>
  <c r="Q58" i="91"/>
  <c r="Q51" i="91"/>
  <c r="J50" i="91"/>
  <c r="J51" i="91" s="1"/>
  <c r="M47" i="91"/>
  <c r="D46" i="91"/>
  <c r="F33" i="91"/>
  <c r="F61" i="91" s="1"/>
  <c r="F31" i="91"/>
  <c r="F23" i="91"/>
  <c r="F21" i="91"/>
  <c r="F20" i="91"/>
  <c r="M19" i="91"/>
  <c r="F18" i="91"/>
  <c r="M17" i="91"/>
  <c r="F17" i="91"/>
  <c r="F15" i="91"/>
  <c r="X21" i="1"/>
  <c r="X22" i="1"/>
  <c r="X23" i="1"/>
  <c r="X20" i="1"/>
  <c r="I4" i="93"/>
  <c r="I38" i="93"/>
  <c r="I114" i="93"/>
  <c r="I108" i="93"/>
  <c r="I171" i="93"/>
  <c r="I192" i="93"/>
  <c r="I210" i="93"/>
  <c r="I213" i="93"/>
  <c r="D23" i="91"/>
  <c r="D22" i="91"/>
  <c r="D24" i="91"/>
  <c r="P61" i="91"/>
  <c r="D41" i="9"/>
  <c r="D40" i="9"/>
  <c r="B41" i="9"/>
  <c r="B40" i="9"/>
  <c r="H9" i="68"/>
  <c r="H18" i="12"/>
  <c r="I48" i="34"/>
  <c r="G48" i="34"/>
  <c r="E48" i="34"/>
  <c r="B7" i="4"/>
  <c r="B5" i="4"/>
  <c r="BB13" i="3"/>
  <c r="BD13" i="3"/>
  <c r="BE13" i="3"/>
  <c r="BF13" i="3"/>
  <c r="BQ13" i="3"/>
  <c r="BS13" i="3"/>
  <c r="BM13" i="3"/>
  <c r="BO13" i="3"/>
  <c r="BC13" i="3"/>
  <c r="BG13" i="3"/>
  <c r="BH13" i="3"/>
  <c r="BI13" i="3"/>
  <c r="BJ13" i="3"/>
  <c r="BK13" i="3"/>
  <c r="BN13" i="3"/>
  <c r="BP13" i="3"/>
  <c r="BR13" i="3"/>
  <c r="BT13" i="3"/>
  <c r="BL13" i="3"/>
  <c r="W21" i="1"/>
  <c r="W22" i="1"/>
  <c r="W23" i="1"/>
  <c r="W20" i="1"/>
  <c r="G7" i="21"/>
  <c r="I7" i="21"/>
  <c r="F17" i="34"/>
  <c r="AA17" i="34" s="1"/>
  <c r="D70" i="34"/>
  <c r="H17" i="34"/>
  <c r="AB17" i="34" s="1"/>
  <c r="J17" i="34"/>
  <c r="AC17" i="34" s="1"/>
  <c r="R48" i="34"/>
  <c r="V48" i="34"/>
  <c r="G11" i="34"/>
  <c r="I7" i="34"/>
  <c r="G7" i="34"/>
  <c r="J140" i="89"/>
  <c r="C145" i="89"/>
  <c r="K139" i="89" s="1"/>
  <c r="J142" i="89"/>
  <c r="B130" i="89"/>
  <c r="B128" i="89"/>
  <c r="J45" i="89" s="1"/>
  <c r="B126" i="89"/>
  <c r="H44" i="89" s="1"/>
  <c r="AB44" i="89" s="1"/>
  <c r="D125" i="89"/>
  <c r="E125" i="89" s="1"/>
  <c r="F125" i="89"/>
  <c r="G125" i="89" s="1"/>
  <c r="D123" i="89"/>
  <c r="E123" i="89" s="1"/>
  <c r="F123" i="89"/>
  <c r="G123" i="89" s="1"/>
  <c r="H123" i="89" s="1"/>
  <c r="I123" i="89" s="1"/>
  <c r="J123" i="89" s="1"/>
  <c r="K123" i="89" s="1"/>
  <c r="L123" i="89" s="1"/>
  <c r="M123" i="89" s="1"/>
  <c r="D119" i="89"/>
  <c r="E119" i="89" s="1"/>
  <c r="F119" i="89" s="1"/>
  <c r="G119" i="89" s="1"/>
  <c r="H119" i="89" s="1"/>
  <c r="I119" i="89" s="1"/>
  <c r="J119" i="89" s="1"/>
  <c r="K119" i="89" s="1"/>
  <c r="L119" i="89" s="1"/>
  <c r="M119"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H111" i="89"/>
  <c r="G111" i="89"/>
  <c r="F111" i="89"/>
  <c r="E111" i="89"/>
  <c r="D111" i="89"/>
  <c r="C111" i="89"/>
  <c r="D110" i="89"/>
  <c r="E110" i="89"/>
  <c r="F110" i="89" s="1"/>
  <c r="G110" i="89" s="1"/>
  <c r="H110" i="89" s="1"/>
  <c r="I110" i="89" s="1"/>
  <c r="J110" i="89" s="1"/>
  <c r="K110" i="89" s="1"/>
  <c r="L110" i="89" s="1"/>
  <c r="M110" i="89" s="1"/>
  <c r="D108" i="89"/>
  <c r="E108" i="89"/>
  <c r="F108" i="89" s="1"/>
  <c r="G108" i="89" s="1"/>
  <c r="H108" i="89" s="1"/>
  <c r="I108" i="89" s="1"/>
  <c r="J108" i="89" s="1"/>
  <c r="K108" i="89" s="1"/>
  <c r="L108" i="89" s="1"/>
  <c r="M108" i="89" s="1"/>
  <c r="D106" i="89"/>
  <c r="E106" i="89"/>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B92" i="89"/>
  <c r="B90" i="89"/>
  <c r="D89" i="89"/>
  <c r="E89" i="89" s="1"/>
  <c r="F89" i="89" s="1"/>
  <c r="G89" i="89" s="1"/>
  <c r="H89" i="89" s="1"/>
  <c r="I89" i="89" s="1"/>
  <c r="J89" i="89" s="1"/>
  <c r="K89" i="89" s="1"/>
  <c r="L89" i="89" s="1"/>
  <c r="M89" i="89" s="1"/>
  <c r="M87" i="89"/>
  <c r="L87" i="89"/>
  <c r="K87" i="89"/>
  <c r="J87" i="89"/>
  <c r="I87" i="89"/>
  <c r="H87" i="89"/>
  <c r="G87" i="89"/>
  <c r="F87" i="89"/>
  <c r="E87" i="89"/>
  <c r="D87" i="89"/>
  <c r="D85" i="89"/>
  <c r="E85" i="89"/>
  <c r="F85" i="89" s="1"/>
  <c r="G85" i="89" s="1"/>
  <c r="D83" i="89"/>
  <c r="E83" i="89" s="1"/>
  <c r="F83" i="89" s="1"/>
  <c r="G83" i="89" s="1"/>
  <c r="D81" i="89"/>
  <c r="E81" i="89" s="1"/>
  <c r="F81" i="89" s="1"/>
  <c r="G81" i="89" s="1"/>
  <c r="D79" i="89"/>
  <c r="E79" i="89"/>
  <c r="F79" i="89" s="1"/>
  <c r="G79" i="89" s="1"/>
  <c r="D77" i="89"/>
  <c r="E77" i="89"/>
  <c r="F77" i="89" s="1"/>
  <c r="G77" i="89" s="1"/>
  <c r="B74" i="89"/>
  <c r="B72" i="89"/>
  <c r="B70" i="89"/>
  <c r="D69" i="89"/>
  <c r="E69" i="89" s="1"/>
  <c r="F69" i="89" s="1"/>
  <c r="G69" i="89" s="1"/>
  <c r="H69" i="89" s="1"/>
  <c r="I69" i="89" s="1"/>
  <c r="J69" i="89" s="1"/>
  <c r="K69" i="89" s="1"/>
  <c r="L69" i="89" s="1"/>
  <c r="M69" i="89" s="1"/>
  <c r="M67" i="89"/>
  <c r="L67" i="89"/>
  <c r="K67" i="89"/>
  <c r="J67" i="89"/>
  <c r="I67" i="89"/>
  <c r="H67" i="89"/>
  <c r="G67" i="89"/>
  <c r="F67" i="89"/>
  <c r="E67" i="89"/>
  <c r="D67" i="89"/>
  <c r="C67" i="89"/>
  <c r="D66" i="89"/>
  <c r="E66" i="89"/>
  <c r="F66" i="89" s="1"/>
  <c r="G66" i="89" s="1"/>
  <c r="H66" i="89" s="1"/>
  <c r="I66" i="89" s="1"/>
  <c r="C63" i="89"/>
  <c r="I54" i="89"/>
  <c r="J54" i="89" s="1"/>
  <c r="G54" i="89"/>
  <c r="H54" i="89" s="1"/>
  <c r="E54" i="89"/>
  <c r="F54" i="89" s="1"/>
  <c r="V47" i="89"/>
  <c r="R47" i="89"/>
  <c r="T47" i="89"/>
  <c r="P49" i="89"/>
  <c r="P48" i="89"/>
  <c r="P47" i="89"/>
  <c r="J46" i="89"/>
  <c r="AC46" i="89" s="1"/>
  <c r="H46" i="89"/>
  <c r="AB46" i="89" s="1"/>
  <c r="F46" i="89"/>
  <c r="Q46" i="89"/>
  <c r="Z46" i="89" s="1"/>
  <c r="W46" i="89"/>
  <c r="Q45" i="89"/>
  <c r="Z45" i="89" s="1"/>
  <c r="J44" i="89"/>
  <c r="AC44" i="89" s="1"/>
  <c r="F44" i="89"/>
  <c r="AA44" i="89" s="1"/>
  <c r="Q44" i="89"/>
  <c r="Z44" i="89" s="1"/>
  <c r="W44" i="89"/>
  <c r="J43" i="89"/>
  <c r="AC43" i="89" s="1"/>
  <c r="H43" i="89"/>
  <c r="AB43" i="89" s="1"/>
  <c r="F43" i="89"/>
  <c r="AA43" i="89" s="1"/>
  <c r="Q43" i="89"/>
  <c r="Z43" i="89" s="1"/>
  <c r="W43" i="89"/>
  <c r="J42" i="89"/>
  <c r="AC42" i="89" s="1"/>
  <c r="H42" i="89"/>
  <c r="AB42" i="89" s="1"/>
  <c r="F42" i="89"/>
  <c r="Q42" i="89"/>
  <c r="Z42" i="89" s="1"/>
  <c r="W42" i="89"/>
  <c r="J41" i="89"/>
  <c r="AC41" i="89" s="1"/>
  <c r="H41" i="89"/>
  <c r="AB41" i="89" s="1"/>
  <c r="F41" i="89"/>
  <c r="AA41" i="89" s="1"/>
  <c r="Q41" i="89"/>
  <c r="Z41" i="89" s="1"/>
  <c r="W41" i="89"/>
  <c r="J40" i="89"/>
  <c r="AC40" i="89" s="1"/>
  <c r="H40" i="89"/>
  <c r="AB40" i="89" s="1"/>
  <c r="F40" i="89"/>
  <c r="AA40" i="89" s="1"/>
  <c r="Q40" i="89"/>
  <c r="Z40" i="89" s="1"/>
  <c r="S40" i="89"/>
  <c r="J39" i="89"/>
  <c r="AC39" i="89" s="1"/>
  <c r="H39" i="89"/>
  <c r="AB39" i="89" s="1"/>
  <c r="F39" i="89"/>
  <c r="AA39" i="89" s="1"/>
  <c r="Q39" i="89"/>
  <c r="Z39" i="89" s="1"/>
  <c r="W39" i="89"/>
  <c r="J38" i="89"/>
  <c r="AC38" i="89" s="1"/>
  <c r="H38" i="89"/>
  <c r="AB38" i="89" s="1"/>
  <c r="F38" i="89"/>
  <c r="AA38" i="89" s="1"/>
  <c r="Q38" i="89"/>
  <c r="Z38" i="89" s="1"/>
  <c r="W38" i="89"/>
  <c r="J37" i="89"/>
  <c r="AC37" i="89" s="1"/>
  <c r="H37" i="89"/>
  <c r="AB37" i="89" s="1"/>
  <c r="F37" i="89"/>
  <c r="AA37" i="89" s="1"/>
  <c r="Q37" i="89"/>
  <c r="Z37" i="89" s="1"/>
  <c r="W37" i="89"/>
  <c r="J36" i="89"/>
  <c r="AC36" i="89" s="1"/>
  <c r="H36" i="89"/>
  <c r="AB36" i="89" s="1"/>
  <c r="F36" i="89"/>
  <c r="AA36" i="89" s="1"/>
  <c r="Q36" i="89"/>
  <c r="Z36" i="89" s="1"/>
  <c r="J35" i="89"/>
  <c r="AC35" i="89" s="1"/>
  <c r="H35" i="89"/>
  <c r="AB35" i="89" s="1"/>
  <c r="F35" i="89"/>
  <c r="AA35" i="89" s="1"/>
  <c r="Q35" i="89"/>
  <c r="Z35" i="89" s="1"/>
  <c r="W35" i="89"/>
  <c r="J34" i="89"/>
  <c r="AC34" i="89"/>
  <c r="H34" i="89"/>
  <c r="AB34" i="89"/>
  <c r="F34" i="89"/>
  <c r="AA34" i="89"/>
  <c r="Q34" i="89"/>
  <c r="Z34" i="89"/>
  <c r="W34" i="89"/>
  <c r="J33" i="89"/>
  <c r="AC33" i="89" s="1"/>
  <c r="H33" i="89"/>
  <c r="AB33" i="89" s="1"/>
  <c r="F33" i="89"/>
  <c r="AA33" i="89" s="1"/>
  <c r="Q33" i="89"/>
  <c r="Z33" i="89" s="1"/>
  <c r="W33" i="89"/>
  <c r="J32" i="89"/>
  <c r="AC32" i="89"/>
  <c r="H32" i="89"/>
  <c r="AB32" i="89" s="1"/>
  <c r="F32" i="89"/>
  <c r="AA32" i="89" s="1"/>
  <c r="Q32" i="89"/>
  <c r="Z32" i="89" s="1"/>
  <c r="W32" i="89"/>
  <c r="J31" i="89"/>
  <c r="AC31" i="89" s="1"/>
  <c r="H31" i="89"/>
  <c r="AB31" i="89" s="1"/>
  <c r="F31" i="89"/>
  <c r="AA31" i="89" s="1"/>
  <c r="Q31" i="89"/>
  <c r="Z31" i="89" s="1"/>
  <c r="W31" i="89"/>
  <c r="J30" i="89"/>
  <c r="AC30" i="89" s="1"/>
  <c r="H30" i="89"/>
  <c r="AB30" i="89" s="1"/>
  <c r="F30" i="89"/>
  <c r="AA30" i="89" s="1"/>
  <c r="Q30" i="89"/>
  <c r="Z30" i="89" s="1"/>
  <c r="U30" i="89"/>
  <c r="J29" i="89"/>
  <c r="AC29" i="89" s="1"/>
  <c r="H29" i="89"/>
  <c r="AB29" i="89" s="1"/>
  <c r="F29" i="89"/>
  <c r="AA29" i="89" s="1"/>
  <c r="Q29" i="89"/>
  <c r="Z29" i="89" s="1"/>
  <c r="W29" i="89"/>
  <c r="J28" i="89"/>
  <c r="AC28" i="89" s="1"/>
  <c r="H28" i="89"/>
  <c r="AB28" i="89" s="1"/>
  <c r="F28" i="89"/>
  <c r="AA28" i="89" s="1"/>
  <c r="Q28" i="89"/>
  <c r="Z28" i="89" s="1"/>
  <c r="W28" i="89"/>
  <c r="J27" i="89"/>
  <c r="AC27" i="89" s="1"/>
  <c r="H27" i="89"/>
  <c r="AB27" i="89" s="1"/>
  <c r="F27" i="89"/>
  <c r="AA27" i="89" s="1"/>
  <c r="Q27" i="89"/>
  <c r="Z27" i="89" s="1"/>
  <c r="W27" i="89"/>
  <c r="J26" i="89"/>
  <c r="AC26" i="89" s="1"/>
  <c r="H26" i="89"/>
  <c r="AB26" i="89" s="1"/>
  <c r="F26" i="89"/>
  <c r="AA26" i="89" s="1"/>
  <c r="Q26" i="89"/>
  <c r="Z26" i="89" s="1"/>
  <c r="W26" i="89"/>
  <c r="J25" i="89"/>
  <c r="AC25" i="89" s="1"/>
  <c r="H25" i="89"/>
  <c r="AB25" i="89" s="1"/>
  <c r="F25" i="89"/>
  <c r="AA25" i="89" s="1"/>
  <c r="Q25" i="89"/>
  <c r="Z25" i="89" s="1"/>
  <c r="S25" i="89"/>
  <c r="J23" i="89"/>
  <c r="AC23" i="89" s="1"/>
  <c r="H23" i="89"/>
  <c r="AB23" i="89" s="1"/>
  <c r="F23" i="89"/>
  <c r="AA23" i="89" s="1"/>
  <c r="Q23" i="89"/>
  <c r="Z23" i="89" s="1"/>
  <c r="W23" i="89"/>
  <c r="C23" i="89"/>
  <c r="J21" i="89"/>
  <c r="AC21" i="89" s="1"/>
  <c r="H21" i="89"/>
  <c r="AB21" i="89" s="1"/>
  <c r="F21" i="89"/>
  <c r="AA21" i="89" s="1"/>
  <c r="Q21" i="89"/>
  <c r="Z21" i="89" s="1"/>
  <c r="W21" i="89"/>
  <c r="C21" i="89"/>
  <c r="J19" i="89"/>
  <c r="AC19" i="89" s="1"/>
  <c r="H19" i="89"/>
  <c r="AB19" i="89" s="1"/>
  <c r="F19" i="89"/>
  <c r="AA19" i="89" s="1"/>
  <c r="Q19" i="89"/>
  <c r="Z19" i="89" s="1"/>
  <c r="W19" i="89"/>
  <c r="C19" i="89"/>
  <c r="J17" i="89"/>
  <c r="AC17" i="89" s="1"/>
  <c r="H17" i="89"/>
  <c r="AB17" i="89" s="1"/>
  <c r="F17" i="89"/>
  <c r="AA17" i="89" s="1"/>
  <c r="Q17" i="89"/>
  <c r="Z17" i="89" s="1"/>
  <c r="W17" i="89"/>
  <c r="C17" i="89"/>
  <c r="J15" i="89"/>
  <c r="H15" i="89"/>
  <c r="F15" i="89"/>
  <c r="AA15" i="89" s="1"/>
  <c r="Q15" i="89"/>
  <c r="Z15" i="89" s="1"/>
  <c r="C15" i="89"/>
  <c r="J14" i="89"/>
  <c r="AC14" i="89"/>
  <c r="H14" i="89"/>
  <c r="F14" i="89"/>
  <c r="Q14" i="89"/>
  <c r="Z14" i="89" s="1"/>
  <c r="W14" i="89"/>
  <c r="J13" i="89"/>
  <c r="AC13" i="89" s="1"/>
  <c r="H13" i="89"/>
  <c r="F13" i="89"/>
  <c r="AA13" i="89" s="1"/>
  <c r="Q13" i="89"/>
  <c r="Z13" i="89" s="1"/>
  <c r="W13" i="89"/>
  <c r="S13" i="89"/>
  <c r="J12" i="89"/>
  <c r="AC12" i="89"/>
  <c r="H12" i="89"/>
  <c r="F12" i="89"/>
  <c r="AA12" i="89" s="1"/>
  <c r="Q12" i="89"/>
  <c r="Z12" i="89" s="1"/>
  <c r="W12" i="89"/>
  <c r="J11" i="89"/>
  <c r="AC11" i="89"/>
  <c r="H11" i="89"/>
  <c r="AB11" i="89"/>
  <c r="F11" i="89"/>
  <c r="AA11" i="89"/>
  <c r="Q11" i="89"/>
  <c r="Z11" i="89"/>
  <c r="W11" i="89"/>
  <c r="U11" i="89"/>
  <c r="S11" i="89"/>
  <c r="J10" i="89"/>
  <c r="H10" i="89"/>
  <c r="F10" i="89"/>
  <c r="AA10" i="89" s="1"/>
  <c r="Q10" i="89"/>
  <c r="Z10" i="89" s="1"/>
  <c r="J9" i="89"/>
  <c r="AC9" i="89" s="1"/>
  <c r="H9" i="89"/>
  <c r="F9" i="89"/>
  <c r="AA9" i="89" s="1"/>
  <c r="Q9" i="89"/>
  <c r="Z9" i="89" s="1"/>
  <c r="W9" i="89"/>
  <c r="J8" i="89"/>
  <c r="AC8" i="89"/>
  <c r="H8" i="89"/>
  <c r="F8" i="89"/>
  <c r="AA8" i="89" s="1"/>
  <c r="I46" i="86"/>
  <c r="G46" i="86"/>
  <c r="T46" i="86" s="1"/>
  <c r="E46" i="86"/>
  <c r="I38" i="86"/>
  <c r="G38" i="86"/>
  <c r="E38" i="86"/>
  <c r="E75" i="86"/>
  <c r="F9" i="86" s="1"/>
  <c r="AA9" i="86" s="1"/>
  <c r="D75" i="86"/>
  <c r="I7" i="86"/>
  <c r="G7" i="86"/>
  <c r="E7" i="86"/>
  <c r="I6" i="86"/>
  <c r="I5" i="86"/>
  <c r="G6" i="86"/>
  <c r="G5" i="86"/>
  <c r="E6" i="86"/>
  <c r="E5" i="86"/>
  <c r="D75" i="39"/>
  <c r="F9" i="39"/>
  <c r="AA9" i="39" s="1"/>
  <c r="I6" i="39"/>
  <c r="G6" i="39"/>
  <c r="E6" i="39"/>
  <c r="I46" i="39"/>
  <c r="V46" i="39" s="1"/>
  <c r="G46" i="39"/>
  <c r="T46" i="39" s="1"/>
  <c r="E46" i="39"/>
  <c r="R46" i="39" s="1"/>
  <c r="I38" i="39"/>
  <c r="G38" i="39"/>
  <c r="E38" i="39"/>
  <c r="I7" i="39"/>
  <c r="G7" i="39"/>
  <c r="E7" i="39"/>
  <c r="I5" i="39"/>
  <c r="G5" i="39"/>
  <c r="E5" i="39"/>
  <c r="D80" i="86"/>
  <c r="E80" i="86"/>
  <c r="F80" i="86" s="1"/>
  <c r="G80" i="86" s="1"/>
  <c r="C32" i="86"/>
  <c r="D107" i="39"/>
  <c r="E107" i="39" s="1"/>
  <c r="F107" i="39" s="1"/>
  <c r="J32" i="39" s="1"/>
  <c r="AC32" i="39" s="1"/>
  <c r="D81" i="39"/>
  <c r="E81" i="39" s="1"/>
  <c r="F81" i="39" s="1"/>
  <c r="G81" i="39" s="1"/>
  <c r="H81" i="39" s="1"/>
  <c r="D89" i="39"/>
  <c r="F15" i="39"/>
  <c r="AA15" i="39" s="1"/>
  <c r="D71" i="39"/>
  <c r="E71" i="39" s="1"/>
  <c r="F71" i="39" s="1"/>
  <c r="G71" i="39" s="1"/>
  <c r="H71" i="39" s="1"/>
  <c r="F17" i="39"/>
  <c r="AA17" i="39" s="1"/>
  <c r="F19" i="39"/>
  <c r="AA19" i="39" s="1"/>
  <c r="D101" i="39"/>
  <c r="E101" i="39" s="1"/>
  <c r="F27" i="39" s="1"/>
  <c r="AA27" i="39" s="1"/>
  <c r="E89" i="39"/>
  <c r="H17" i="39"/>
  <c r="AB17" i="39" s="1"/>
  <c r="H19" i="39"/>
  <c r="AB19" i="39" s="1"/>
  <c r="J17" i="39"/>
  <c r="AC17" i="39" s="1"/>
  <c r="J19" i="39"/>
  <c r="AC19" i="39" s="1"/>
  <c r="D107" i="86"/>
  <c r="E107" i="86" s="1"/>
  <c r="F107" i="86" s="1"/>
  <c r="D93" i="86"/>
  <c r="E93" i="86" s="1"/>
  <c r="D81" i="86"/>
  <c r="E81" i="86" s="1"/>
  <c r="F81" i="86" s="1"/>
  <c r="G81" i="86" s="1"/>
  <c r="H81" i="86" s="1"/>
  <c r="I81" i="86" s="1"/>
  <c r="J81" i="86" s="1"/>
  <c r="K81" i="86" s="1"/>
  <c r="L81" i="86" s="1"/>
  <c r="M81" i="86" s="1"/>
  <c r="R46" i="86"/>
  <c r="D71" i="86"/>
  <c r="E71" i="86" s="1"/>
  <c r="F71" i="86" s="1"/>
  <c r="G71" i="86" s="1"/>
  <c r="H71" i="86" s="1"/>
  <c r="I71" i="86" s="1"/>
  <c r="J71" i="86" s="1"/>
  <c r="K71" i="86" s="1"/>
  <c r="L71" i="86" s="1"/>
  <c r="M71" i="86" s="1"/>
  <c r="N71" i="86" s="1"/>
  <c r="O71" i="86" s="1"/>
  <c r="F15" i="86"/>
  <c r="AA15" i="86"/>
  <c r="H15" i="86"/>
  <c r="AB15" i="86" s="1"/>
  <c r="V46" i="86"/>
  <c r="J9" i="86"/>
  <c r="AC9" i="86"/>
  <c r="J15" i="86"/>
  <c r="AC15" i="86" s="1"/>
  <c r="B131" i="86"/>
  <c r="F45" i="86" s="1"/>
  <c r="AA45" i="86" s="1"/>
  <c r="B129" i="86"/>
  <c r="F44" i="86"/>
  <c r="B127" i="86"/>
  <c r="D126" i="86"/>
  <c r="E126" i="86" s="1"/>
  <c r="F126" i="86" s="1"/>
  <c r="G126" i="86" s="1"/>
  <c r="H126" i="86" s="1"/>
  <c r="I126" i="86" s="1"/>
  <c r="J126" i="86" s="1"/>
  <c r="K126" i="86" s="1"/>
  <c r="L126" i="86" s="1"/>
  <c r="M126" i="86" s="1"/>
  <c r="D124" i="86"/>
  <c r="E124" i="86" s="1"/>
  <c r="F124" i="86" s="1"/>
  <c r="G124" i="86" s="1"/>
  <c r="H124" i="86" s="1"/>
  <c r="I124" i="86" s="1"/>
  <c r="J124" i="86" s="1"/>
  <c r="K124" i="86" s="1"/>
  <c r="L124" i="86" s="1"/>
  <c r="M124" i="86" s="1"/>
  <c r="D122" i="86"/>
  <c r="E122" i="86" s="1"/>
  <c r="F122" i="86" s="1"/>
  <c r="G122" i="86" s="1"/>
  <c r="H122" i="86" s="1"/>
  <c r="I122" i="86" s="1"/>
  <c r="J122" i="86" s="1"/>
  <c r="K122" i="86" s="1"/>
  <c r="L122" i="86" s="1"/>
  <c r="M122" i="86" s="1"/>
  <c r="D120" i="86"/>
  <c r="E120" i="86" s="1"/>
  <c r="F120" i="86" s="1"/>
  <c r="G120" i="86" s="1"/>
  <c r="H120" i="86" s="1"/>
  <c r="I120" i="86" s="1"/>
  <c r="J120" i="86" s="1"/>
  <c r="K120" i="86" s="1"/>
  <c r="L120" i="86" s="1"/>
  <c r="M120" i="86" s="1"/>
  <c r="M116" i="86"/>
  <c r="L116" i="86"/>
  <c r="K116" i="86"/>
  <c r="J116" i="86"/>
  <c r="I116" i="86"/>
  <c r="H116" i="86"/>
  <c r="G116" i="86"/>
  <c r="F116" i="86"/>
  <c r="E116" i="86"/>
  <c r="D116" i="86"/>
  <c r="C116" i="86"/>
  <c r="B114" i="86"/>
  <c r="F37" i="86"/>
  <c r="B112" i="86"/>
  <c r="B110" i="86"/>
  <c r="F35" i="86" s="1"/>
  <c r="D109" i="86"/>
  <c r="E109" i="86" s="1"/>
  <c r="F109" i="86" s="1"/>
  <c r="G109" i="86" s="1"/>
  <c r="H109" i="86" s="1"/>
  <c r="I109" i="86" s="1"/>
  <c r="J109" i="86" s="1"/>
  <c r="K109" i="86" s="1"/>
  <c r="L109" i="86" s="1"/>
  <c r="M109" i="86" s="1"/>
  <c r="D105" i="86"/>
  <c r="E105" i="86" s="1"/>
  <c r="F105" i="86" s="1"/>
  <c r="G105" i="86" s="1"/>
  <c r="H105" i="86" s="1"/>
  <c r="I105" i="86" s="1"/>
  <c r="J105" i="86" s="1"/>
  <c r="K105" i="86" s="1"/>
  <c r="L105" i="86" s="1"/>
  <c r="M105" i="86" s="1"/>
  <c r="B104" i="86"/>
  <c r="H31" i="86" s="1"/>
  <c r="AB31" i="86" s="1"/>
  <c r="D103" i="86"/>
  <c r="E103" i="86" s="1"/>
  <c r="F103" i="86" s="1"/>
  <c r="G103" i="86" s="1"/>
  <c r="D101" i="86"/>
  <c r="J27" i="86" s="1"/>
  <c r="D99" i="86"/>
  <c r="E99" i="86" s="1"/>
  <c r="F99" i="86" s="1"/>
  <c r="G99" i="86" s="1"/>
  <c r="D97" i="86"/>
  <c r="E97" i="86" s="1"/>
  <c r="F97" i="86" s="1"/>
  <c r="G97" i="86" s="1"/>
  <c r="D95" i="86"/>
  <c r="E95" i="86" s="1"/>
  <c r="H21" i="86" s="1"/>
  <c r="AB21" i="86" s="1"/>
  <c r="D91" i="86"/>
  <c r="E91" i="86" s="1"/>
  <c r="H17" i="86" s="1"/>
  <c r="AB17" i="86" s="1"/>
  <c r="D89" i="86"/>
  <c r="E89" i="86" s="1"/>
  <c r="F89" i="86" s="1"/>
  <c r="G89" i="86" s="1"/>
  <c r="B86" i="86"/>
  <c r="F14" i="86" s="1"/>
  <c r="AA14" i="86" s="1"/>
  <c r="B84" i="86"/>
  <c r="H13" i="86" s="1"/>
  <c r="B82" i="86"/>
  <c r="F12" i="86" s="1"/>
  <c r="E79" i="86"/>
  <c r="D79" i="86"/>
  <c r="C79" i="86"/>
  <c r="F8" i="86"/>
  <c r="AA8" i="86" s="1"/>
  <c r="F13" i="86"/>
  <c r="AA13" i="86" s="1"/>
  <c r="F34" i="86"/>
  <c r="AA34" i="86" s="1"/>
  <c r="F36" i="86"/>
  <c r="AA36" i="86" s="1"/>
  <c r="F39" i="86"/>
  <c r="AA39" i="86" s="1"/>
  <c r="F40" i="86"/>
  <c r="AA40" i="86" s="1"/>
  <c r="F41" i="86"/>
  <c r="AA41" i="86" s="1"/>
  <c r="F42" i="86"/>
  <c r="AA42" i="86" s="1"/>
  <c r="F43" i="86"/>
  <c r="AA43" i="86" s="1"/>
  <c r="H8" i="86"/>
  <c r="AB8" i="86" s="1"/>
  <c r="H12" i="86"/>
  <c r="H14" i="86"/>
  <c r="H34" i="86"/>
  <c r="AB34" i="86" s="1"/>
  <c r="H35" i="86"/>
  <c r="H36" i="86"/>
  <c r="AB36" i="86"/>
  <c r="H37" i="86"/>
  <c r="H39" i="86"/>
  <c r="AB39" i="86" s="1"/>
  <c r="H40" i="86"/>
  <c r="H42" i="86"/>
  <c r="H43" i="86"/>
  <c r="AB43" i="86" s="1"/>
  <c r="H45" i="86"/>
  <c r="AB45" i="86" s="1"/>
  <c r="J8" i="86"/>
  <c r="J14" i="86"/>
  <c r="AC14" i="86" s="1"/>
  <c r="J31" i="86"/>
  <c r="J34" i="86"/>
  <c r="J35" i="86"/>
  <c r="AC35" i="86" s="1"/>
  <c r="J36" i="86"/>
  <c r="J37" i="86"/>
  <c r="J39" i="86"/>
  <c r="J40" i="86"/>
  <c r="AC40" i="86"/>
  <c r="J41" i="86"/>
  <c r="J42" i="86"/>
  <c r="J43" i="86"/>
  <c r="J44" i="86"/>
  <c r="AC44" i="86" s="1"/>
  <c r="J45" i="86"/>
  <c r="H57" i="86"/>
  <c r="I57" i="86" s="1"/>
  <c r="C57" i="86"/>
  <c r="H58" i="86"/>
  <c r="I58" i="86"/>
  <c r="C58" i="86"/>
  <c r="H59" i="86"/>
  <c r="I59" i="86" s="1"/>
  <c r="C59" i="86"/>
  <c r="H60" i="86"/>
  <c r="I60" i="86" s="1"/>
  <c r="C60" i="86"/>
  <c r="H61" i="86"/>
  <c r="I61" i="86" s="1"/>
  <c r="C61" i="86"/>
  <c r="H62" i="86"/>
  <c r="I62" i="86"/>
  <c r="C62" i="86"/>
  <c r="H63" i="86"/>
  <c r="I63" i="86" s="1"/>
  <c r="C63" i="86"/>
  <c r="H64" i="86"/>
  <c r="I64" i="86" s="1"/>
  <c r="C64" i="86"/>
  <c r="H65" i="86"/>
  <c r="I65" i="86" s="1"/>
  <c r="C65" i="86"/>
  <c r="F35" i="4"/>
  <c r="J55" i="86"/>
  <c r="I53" i="86"/>
  <c r="J53" i="86"/>
  <c r="G53" i="86"/>
  <c r="H53" i="86"/>
  <c r="E53" i="86"/>
  <c r="F53" i="86"/>
  <c r="P48" i="86"/>
  <c r="P47" i="86"/>
  <c r="P46" i="86"/>
  <c r="Q45" i="86"/>
  <c r="Z45" i="86" s="1"/>
  <c r="Q44" i="86"/>
  <c r="Z44" i="86" s="1"/>
  <c r="W44" i="86"/>
  <c r="Q43" i="86"/>
  <c r="Z43" i="86" s="1"/>
  <c r="U43" i="86"/>
  <c r="Q42" i="86"/>
  <c r="Z42" i="86"/>
  <c r="S42" i="86"/>
  <c r="Q41" i="86"/>
  <c r="Z41" i="86" s="1"/>
  <c r="Q40" i="86"/>
  <c r="Z40" i="86" s="1"/>
  <c r="S40" i="86"/>
  <c r="Q39" i="86"/>
  <c r="Z39" i="86" s="1"/>
  <c r="U39" i="86"/>
  <c r="Q38" i="86"/>
  <c r="Z38" i="86"/>
  <c r="Q37" i="86"/>
  <c r="Z37" i="86"/>
  <c r="Q36" i="86"/>
  <c r="Z36" i="86" s="1"/>
  <c r="U36" i="86"/>
  <c r="Q35" i="86"/>
  <c r="Z35" i="86"/>
  <c r="Q34" i="86"/>
  <c r="Z34" i="86"/>
  <c r="Q32" i="86"/>
  <c r="Z32" i="86" s="1"/>
  <c r="Q31" i="86"/>
  <c r="Z31" i="86" s="1"/>
  <c r="U31" i="86"/>
  <c r="Q29" i="86"/>
  <c r="Z29" i="86" s="1"/>
  <c r="C22" i="20"/>
  <c r="C29" i="86"/>
  <c r="Q27" i="86"/>
  <c r="Z27" i="86"/>
  <c r="C21" i="20"/>
  <c r="C27" i="86" s="1"/>
  <c r="Q25" i="86"/>
  <c r="Z25" i="86" s="1"/>
  <c r="C20" i="20"/>
  <c r="C25" i="86" s="1"/>
  <c r="Q23" i="86"/>
  <c r="Z23" i="86" s="1"/>
  <c r="C23" i="86"/>
  <c r="Q21" i="86"/>
  <c r="Z21" i="86" s="1"/>
  <c r="C18" i="20"/>
  <c r="C21" i="86" s="1"/>
  <c r="Q19" i="86"/>
  <c r="Z19" i="86" s="1"/>
  <c r="C17" i="20"/>
  <c r="C19" i="86" s="1"/>
  <c r="Q17" i="86"/>
  <c r="Z17" i="86" s="1"/>
  <c r="C16" i="20"/>
  <c r="C17" i="86" s="1"/>
  <c r="Q15" i="86"/>
  <c r="Z15" i="86" s="1"/>
  <c r="W15" i="86"/>
  <c r="U15" i="86"/>
  <c r="S15" i="86"/>
  <c r="C15" i="20"/>
  <c r="C15" i="86" s="1"/>
  <c r="Q14" i="86"/>
  <c r="Z14" i="86" s="1"/>
  <c r="S14" i="86"/>
  <c r="Q13" i="86"/>
  <c r="Z13" i="86" s="1"/>
  <c r="Q12" i="86"/>
  <c r="Z12" i="86" s="1"/>
  <c r="Q11" i="86"/>
  <c r="Z11" i="86" s="1"/>
  <c r="Q10" i="86"/>
  <c r="Z10" i="86" s="1"/>
  <c r="C10" i="86"/>
  <c r="Q9" i="86"/>
  <c r="Z9" i="86" s="1"/>
  <c r="W9" i="86"/>
  <c r="S9" i="86"/>
  <c r="H8" i="39"/>
  <c r="AB8" i="39" s="1"/>
  <c r="J8" i="39"/>
  <c r="AC8" i="39" s="1"/>
  <c r="C10" i="39"/>
  <c r="I71" i="39"/>
  <c r="J71" i="39" s="1"/>
  <c r="K71" i="39" s="1"/>
  <c r="L71" i="39" s="1"/>
  <c r="M71" i="39" s="1"/>
  <c r="N71" i="39" s="1"/>
  <c r="O71" i="39" s="1"/>
  <c r="L23" i="6"/>
  <c r="F21" i="82"/>
  <c r="B24" i="1"/>
  <c r="F8" i="21"/>
  <c r="AA8" i="21" s="1"/>
  <c r="C63" i="21"/>
  <c r="R47" i="21"/>
  <c r="F42" i="21"/>
  <c r="AA42" i="21" s="1"/>
  <c r="D69" i="21"/>
  <c r="E69" i="21" s="1"/>
  <c r="F69" i="21"/>
  <c r="G69" i="21" s="1"/>
  <c r="H69" i="21" s="1"/>
  <c r="I69" i="21" s="1"/>
  <c r="J69" i="21" s="1"/>
  <c r="K69" i="21" s="1"/>
  <c r="L69" i="21" s="1"/>
  <c r="M69" i="21" s="1"/>
  <c r="D85" i="21"/>
  <c r="J23" i="21" s="1"/>
  <c r="AC23" i="21" s="1"/>
  <c r="F15" i="21"/>
  <c r="AA15" i="21" s="1"/>
  <c r="D81" i="21"/>
  <c r="D83" i="21"/>
  <c r="T47" i="21"/>
  <c r="H8" i="21"/>
  <c r="AB8" i="21" s="1"/>
  <c r="H15" i="21"/>
  <c r="AB15" i="21" s="1"/>
  <c r="D79" i="21"/>
  <c r="H17" i="21" s="1"/>
  <c r="AB17" i="21"/>
  <c r="H42" i="21"/>
  <c r="AB42" i="21"/>
  <c r="J8" i="21"/>
  <c r="AC8" i="21"/>
  <c r="J15" i="21"/>
  <c r="AC15" i="21"/>
  <c r="V47" i="21"/>
  <c r="J17" i="21"/>
  <c r="AC17" i="21" s="1"/>
  <c r="J21" i="21"/>
  <c r="AC21" i="21" s="1"/>
  <c r="J34" i="21"/>
  <c r="AC34" i="21" s="1"/>
  <c r="J36" i="21"/>
  <c r="AC36" i="21" s="1"/>
  <c r="J38" i="21"/>
  <c r="AC38" i="21" s="1"/>
  <c r="J39" i="21"/>
  <c r="AC39" i="21" s="1"/>
  <c r="J40" i="21"/>
  <c r="AC40" i="21" s="1"/>
  <c r="J41" i="21"/>
  <c r="AC41" i="21" s="1"/>
  <c r="J42" i="21"/>
  <c r="AC42" i="21" s="1"/>
  <c r="L20" i="6"/>
  <c r="F21" i="81"/>
  <c r="L19" i="6"/>
  <c r="F21" i="15"/>
  <c r="J140" i="83"/>
  <c r="C145" i="83"/>
  <c r="K139" i="83" s="1"/>
  <c r="J142" i="83"/>
  <c r="B130" i="83"/>
  <c r="B128" i="83"/>
  <c r="B126" i="83"/>
  <c r="D125" i="83"/>
  <c r="E125" i="83" s="1"/>
  <c r="F125" i="83" s="1"/>
  <c r="G125" i="83" s="1"/>
  <c r="D123" i="83"/>
  <c r="E123" i="83" s="1"/>
  <c r="F123" i="83" s="1"/>
  <c r="G123" i="83" s="1"/>
  <c r="H123" i="83" s="1"/>
  <c r="I123" i="83" s="1"/>
  <c r="J123" i="83" s="1"/>
  <c r="K123" i="83" s="1"/>
  <c r="L123" i="83" s="1"/>
  <c r="M123" i="83" s="1"/>
  <c r="D119" i="83"/>
  <c r="E119" i="83" s="1"/>
  <c r="F119" i="83"/>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D113" i="83"/>
  <c r="E113" i="83" s="1"/>
  <c r="F113" i="83"/>
  <c r="G113" i="83" s="1"/>
  <c r="H113" i="83" s="1"/>
  <c r="H111" i="83"/>
  <c r="G111" i="83"/>
  <c r="F111" i="83"/>
  <c r="E111" i="83"/>
  <c r="D111" i="83"/>
  <c r="C111" i="83"/>
  <c r="D110" i="83"/>
  <c r="E110" i="83"/>
  <c r="F110" i="83" s="1"/>
  <c r="G110" i="83" s="1"/>
  <c r="H110" i="83" s="1"/>
  <c r="I110" i="83" s="1"/>
  <c r="J110" i="83" s="1"/>
  <c r="K110" i="83" s="1"/>
  <c r="L110" i="83" s="1"/>
  <c r="M110" i="83" s="1"/>
  <c r="D108" i="83"/>
  <c r="E108" i="83" s="1"/>
  <c r="F108" i="83" s="1"/>
  <c r="G108" i="83"/>
  <c r="H108" i="83" s="1"/>
  <c r="I108" i="83" s="1"/>
  <c r="J108" i="83" s="1"/>
  <c r="K108" i="83" s="1"/>
  <c r="L108" i="83" s="1"/>
  <c r="M108" i="83" s="1"/>
  <c r="D106" i="83"/>
  <c r="E106" i="83"/>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J30" i="83" s="1"/>
  <c r="B94" i="83"/>
  <c r="B92" i="83"/>
  <c r="H28" i="83" s="1"/>
  <c r="AB28" i="83" s="1"/>
  <c r="B90" i="83"/>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D66" i="83"/>
  <c r="E66" i="83" s="1"/>
  <c r="F66" i="83" s="1"/>
  <c r="G66" i="83" s="1"/>
  <c r="H66" i="83" s="1"/>
  <c r="I66" i="83" s="1"/>
  <c r="C63" i="83"/>
  <c r="I54" i="83"/>
  <c r="J54" i="83"/>
  <c r="G54" i="83"/>
  <c r="H54" i="83"/>
  <c r="E54" i="83"/>
  <c r="F54" i="83"/>
  <c r="V47" i="83"/>
  <c r="R47" i="83"/>
  <c r="T47" i="83"/>
  <c r="P49" i="83"/>
  <c r="P48" i="83"/>
  <c r="P47" i="83"/>
  <c r="Q46" i="83"/>
  <c r="Z46" i="83"/>
  <c r="Q45" i="83"/>
  <c r="Z45" i="83" s="1"/>
  <c r="Q44" i="83"/>
  <c r="Z44" i="83" s="1"/>
  <c r="J43" i="83"/>
  <c r="AC43" i="83" s="1"/>
  <c r="H43" i="83"/>
  <c r="F43" i="83"/>
  <c r="AA43" i="83" s="1"/>
  <c r="Q43" i="83"/>
  <c r="Z43" i="83"/>
  <c r="J42" i="83"/>
  <c r="AC42" i="83" s="1"/>
  <c r="H42" i="83"/>
  <c r="AB42" i="83" s="1"/>
  <c r="F42" i="83"/>
  <c r="AA42" i="83" s="1"/>
  <c r="Q42" i="83"/>
  <c r="Z42" i="83" s="1"/>
  <c r="S42" i="83"/>
  <c r="J41" i="83"/>
  <c r="AC41" i="83" s="1"/>
  <c r="H41" i="83"/>
  <c r="F41" i="83"/>
  <c r="AA41" i="83" s="1"/>
  <c r="Q41" i="83"/>
  <c r="Z41" i="83" s="1"/>
  <c r="J40" i="83"/>
  <c r="AC40" i="83" s="1"/>
  <c r="H40" i="83"/>
  <c r="AB40" i="83" s="1"/>
  <c r="F40" i="83"/>
  <c r="AA40" i="83" s="1"/>
  <c r="Q40" i="83"/>
  <c r="Z40" i="83" s="1"/>
  <c r="W40" i="83"/>
  <c r="J39" i="83"/>
  <c r="AC39" i="83" s="1"/>
  <c r="H39" i="83"/>
  <c r="AB39" i="83" s="1"/>
  <c r="F39" i="83"/>
  <c r="AA39" i="83" s="1"/>
  <c r="Q39" i="83"/>
  <c r="Z39" i="83" s="1"/>
  <c r="W39" i="83"/>
  <c r="J38" i="83"/>
  <c r="AC38" i="83" s="1"/>
  <c r="H38" i="83"/>
  <c r="AB38" i="83" s="1"/>
  <c r="F38" i="83"/>
  <c r="AA38" i="83" s="1"/>
  <c r="Q38" i="83"/>
  <c r="Z38" i="83" s="1"/>
  <c r="W38" i="83"/>
  <c r="J37" i="83"/>
  <c r="AC37" i="83" s="1"/>
  <c r="H37" i="83"/>
  <c r="AB37" i="83" s="1"/>
  <c r="F37" i="83"/>
  <c r="AA37" i="83" s="1"/>
  <c r="Q37" i="83"/>
  <c r="Z37" i="83" s="1"/>
  <c r="W37" i="83"/>
  <c r="S37" i="83"/>
  <c r="J36" i="83"/>
  <c r="AC36" i="83"/>
  <c r="H36" i="83"/>
  <c r="AB36" i="83"/>
  <c r="F36" i="83"/>
  <c r="AA36" i="83"/>
  <c r="Q36" i="83"/>
  <c r="Z36" i="83"/>
  <c r="W36" i="83"/>
  <c r="J35" i="83"/>
  <c r="AC35" i="83" s="1"/>
  <c r="H35" i="83"/>
  <c r="AB35" i="83" s="1"/>
  <c r="F35" i="83"/>
  <c r="AA35" i="83" s="1"/>
  <c r="Q35" i="83"/>
  <c r="Z35" i="83" s="1"/>
  <c r="W35" i="83"/>
  <c r="J34" i="83"/>
  <c r="AC34" i="83" s="1"/>
  <c r="H34" i="83"/>
  <c r="AB34" i="83" s="1"/>
  <c r="F34" i="83"/>
  <c r="AA34" i="83" s="1"/>
  <c r="Q34" i="83"/>
  <c r="Z34" i="83" s="1"/>
  <c r="W34" i="83"/>
  <c r="J33" i="83"/>
  <c r="AC33" i="83" s="1"/>
  <c r="H33" i="83"/>
  <c r="AB33" i="83" s="1"/>
  <c r="F33" i="83"/>
  <c r="AA33" i="83" s="1"/>
  <c r="Q33" i="83"/>
  <c r="Z33" i="83" s="1"/>
  <c r="W33" i="83"/>
  <c r="J32" i="83"/>
  <c r="AC32" i="83" s="1"/>
  <c r="H32" i="83"/>
  <c r="AB32" i="83" s="1"/>
  <c r="F32" i="83"/>
  <c r="AA32" i="83" s="1"/>
  <c r="Q32" i="83"/>
  <c r="Z32" i="83" s="1"/>
  <c r="W32" i="83"/>
  <c r="J31" i="83"/>
  <c r="AC31" i="83" s="1"/>
  <c r="H31" i="83"/>
  <c r="AB31" i="83" s="1"/>
  <c r="F31" i="83"/>
  <c r="AA31" i="83" s="1"/>
  <c r="Q31" i="83"/>
  <c r="Z31" i="83" s="1"/>
  <c r="W31" i="83"/>
  <c r="H30" i="83"/>
  <c r="AB30" i="83" s="1"/>
  <c r="Q30" i="83"/>
  <c r="Z30" i="83" s="1"/>
  <c r="J29" i="83"/>
  <c r="AC29" i="83" s="1"/>
  <c r="H29" i="83"/>
  <c r="AB29" i="83" s="1"/>
  <c r="F29" i="83"/>
  <c r="AA29" i="83" s="1"/>
  <c r="Q29" i="83"/>
  <c r="Z29" i="83" s="1"/>
  <c r="W29" i="83"/>
  <c r="J28" i="83"/>
  <c r="AC28" i="83" s="1"/>
  <c r="F28" i="83"/>
  <c r="AA28" i="83" s="1"/>
  <c r="Q28" i="83"/>
  <c r="Z28" i="83" s="1"/>
  <c r="W28" i="83"/>
  <c r="J27" i="83"/>
  <c r="AC27" i="83" s="1"/>
  <c r="H27" i="83"/>
  <c r="AB27" i="83" s="1"/>
  <c r="F27" i="83"/>
  <c r="AA27" i="83" s="1"/>
  <c r="Q27" i="83"/>
  <c r="Z27" i="83" s="1"/>
  <c r="W27" i="83"/>
  <c r="J26" i="83"/>
  <c r="AC26" i="83" s="1"/>
  <c r="H26" i="83"/>
  <c r="AB26" i="83" s="1"/>
  <c r="F26" i="83"/>
  <c r="AA26" i="83" s="1"/>
  <c r="Q26" i="83"/>
  <c r="Z26" i="83" s="1"/>
  <c r="W26" i="83"/>
  <c r="J25" i="83"/>
  <c r="AC25" i="83" s="1"/>
  <c r="H25" i="83"/>
  <c r="AB25" i="83" s="1"/>
  <c r="F25" i="83"/>
  <c r="AA25" i="83" s="1"/>
  <c r="Q25" i="83"/>
  <c r="Z25" i="83" s="1"/>
  <c r="W25" i="83"/>
  <c r="S25" i="83"/>
  <c r="J23" i="83"/>
  <c r="AC23" i="83"/>
  <c r="H23" i="83"/>
  <c r="AB23" i="83"/>
  <c r="F23" i="83"/>
  <c r="AA23" i="83" s="1"/>
  <c r="Q23" i="83"/>
  <c r="Z23" i="83" s="1"/>
  <c r="W23" i="83"/>
  <c r="C23" i="83"/>
  <c r="J21" i="83"/>
  <c r="AC21" i="83" s="1"/>
  <c r="H21" i="83"/>
  <c r="AB21" i="83" s="1"/>
  <c r="F21" i="83"/>
  <c r="AA21" i="83" s="1"/>
  <c r="Q21" i="83"/>
  <c r="Z21" i="83" s="1"/>
  <c r="C21" i="83"/>
  <c r="J19" i="83"/>
  <c r="AC19" i="83" s="1"/>
  <c r="H19" i="83"/>
  <c r="AB19" i="83" s="1"/>
  <c r="F19" i="83"/>
  <c r="AA19" i="83" s="1"/>
  <c r="Q19" i="83"/>
  <c r="Z19" i="83" s="1"/>
  <c r="W19" i="83"/>
  <c r="C19" i="83"/>
  <c r="J17" i="83"/>
  <c r="AC17" i="83" s="1"/>
  <c r="H17" i="83"/>
  <c r="AB17" i="83" s="1"/>
  <c r="F17" i="83"/>
  <c r="AA17" i="83" s="1"/>
  <c r="Q17" i="83"/>
  <c r="Z17" i="83" s="1"/>
  <c r="W17" i="83"/>
  <c r="C17" i="83"/>
  <c r="J15" i="83"/>
  <c r="AC15" i="83" s="1"/>
  <c r="H15" i="83"/>
  <c r="AB15" i="83" s="1"/>
  <c r="F15" i="83"/>
  <c r="AA15" i="83" s="1"/>
  <c r="Q15" i="83"/>
  <c r="Z15" i="83" s="1"/>
  <c r="W15" i="83"/>
  <c r="C15" i="83"/>
  <c r="J14" i="83"/>
  <c r="AC14" i="83" s="1"/>
  <c r="H14" i="83"/>
  <c r="AB14" i="83" s="1"/>
  <c r="F14" i="83"/>
  <c r="AA14" i="83" s="1"/>
  <c r="Q14" i="83"/>
  <c r="Z14" i="83" s="1"/>
  <c r="W14" i="83"/>
  <c r="J13" i="83"/>
  <c r="AC13" i="83" s="1"/>
  <c r="H13" i="83"/>
  <c r="AB13" i="83" s="1"/>
  <c r="F13" i="83"/>
  <c r="AA13" i="83" s="1"/>
  <c r="Q13" i="83"/>
  <c r="Z13" i="83" s="1"/>
  <c r="W13" i="83"/>
  <c r="J12" i="83"/>
  <c r="AC12" i="83" s="1"/>
  <c r="H12" i="83"/>
  <c r="AB12" i="83" s="1"/>
  <c r="F12" i="83"/>
  <c r="AA12" i="83" s="1"/>
  <c r="Q12" i="83"/>
  <c r="Z12" i="83" s="1"/>
  <c r="W12" i="83"/>
  <c r="J11" i="83"/>
  <c r="AC11" i="83"/>
  <c r="H11" i="83"/>
  <c r="AB11" i="83"/>
  <c r="F11" i="83"/>
  <c r="AA11" i="83"/>
  <c r="Q11" i="83"/>
  <c r="Z11" i="83"/>
  <c r="W11" i="83"/>
  <c r="J10" i="83"/>
  <c r="AC10" i="83" s="1"/>
  <c r="H10" i="83"/>
  <c r="AB10" i="83" s="1"/>
  <c r="F10" i="83"/>
  <c r="AA10" i="83" s="1"/>
  <c r="Q10" i="83"/>
  <c r="Z10" i="83" s="1"/>
  <c r="W10" i="83"/>
  <c r="J9" i="83"/>
  <c r="AC9" i="83"/>
  <c r="H9" i="83"/>
  <c r="AB9" i="83"/>
  <c r="F9" i="83"/>
  <c r="AA9" i="83"/>
  <c r="Q9" i="83"/>
  <c r="Z9" i="83"/>
  <c r="W9" i="83"/>
  <c r="S9" i="83"/>
  <c r="J8" i="83"/>
  <c r="AC8" i="83"/>
  <c r="H8" i="83"/>
  <c r="AB8" i="83"/>
  <c r="F8" i="83"/>
  <c r="AA8" i="83"/>
  <c r="S8" i="83"/>
  <c r="F15" i="82"/>
  <c r="F17" i="82"/>
  <c r="F18" i="82"/>
  <c r="F20" i="82"/>
  <c r="F23" i="82"/>
  <c r="D23" i="82" s="1"/>
  <c r="F33" i="82"/>
  <c r="F61" i="82"/>
  <c r="M47" i="82"/>
  <c r="J50" i="82"/>
  <c r="J51" i="82" s="1"/>
  <c r="D10" i="1"/>
  <c r="K59" i="82"/>
  <c r="P74" i="82" s="1"/>
  <c r="Q72" i="82"/>
  <c r="Q59" i="82"/>
  <c r="F59" i="82"/>
  <c r="Q58" i="82"/>
  <c r="Q51" i="82"/>
  <c r="D46" i="82"/>
  <c r="F31" i="82"/>
  <c r="M19" i="82"/>
  <c r="D22" i="82"/>
  <c r="M17" i="82"/>
  <c r="F15" i="81"/>
  <c r="F17" i="81"/>
  <c r="F18" i="81"/>
  <c r="F20" i="81"/>
  <c r="F23" i="81"/>
  <c r="D23" i="81" s="1"/>
  <c r="F33" i="81"/>
  <c r="F61" i="81" s="1"/>
  <c r="AE11" i="1"/>
  <c r="M47" i="81"/>
  <c r="J50" i="81"/>
  <c r="J51" i="81" s="1"/>
  <c r="D7" i="1"/>
  <c r="K59" i="81"/>
  <c r="P74" i="81" s="1"/>
  <c r="Q72" i="81"/>
  <c r="Q59" i="81"/>
  <c r="F59" i="81"/>
  <c r="Q58" i="81"/>
  <c r="Q51" i="81"/>
  <c r="D46" i="81"/>
  <c r="F31" i="81"/>
  <c r="M19" i="81"/>
  <c r="M17" i="81"/>
  <c r="F22" i="6"/>
  <c r="F2" i="79"/>
  <c r="C7" i="79"/>
  <c r="M14" i="3" s="1"/>
  <c r="B7" i="79"/>
  <c r="I14" i="3" s="1"/>
  <c r="D4" i="79"/>
  <c r="D7" i="79" s="1"/>
  <c r="O14" i="3" s="1"/>
  <c r="BE14" i="3" s="1"/>
  <c r="E2" i="79"/>
  <c r="E7" i="79" s="1"/>
  <c r="AL14" i="3" s="1"/>
  <c r="D2" i="78"/>
  <c r="D9" i="78"/>
  <c r="E9" i="78"/>
  <c r="AT14" i="3"/>
  <c r="F2" i="78"/>
  <c r="C9" i="78"/>
  <c r="S14" i="3" s="1"/>
  <c r="G23" i="6" s="1"/>
  <c r="B9" i="78"/>
  <c r="K14" i="3"/>
  <c r="G20" i="6" s="1"/>
  <c r="N6" i="71"/>
  <c r="N5" i="71"/>
  <c r="N7" i="71"/>
  <c r="N8" i="71"/>
  <c r="N9" i="71"/>
  <c r="N10" i="71"/>
  <c r="N11" i="71"/>
  <c r="N12" i="71"/>
  <c r="B13" i="71" s="1"/>
  <c r="N13" i="71"/>
  <c r="N14" i="71"/>
  <c r="N15" i="71"/>
  <c r="N16" i="71"/>
  <c r="B17" i="71" s="1"/>
  <c r="N17" i="71"/>
  <c r="N18" i="71"/>
  <c r="N19" i="71"/>
  <c r="N20" i="71"/>
  <c r="B21" i="71"/>
  <c r="N21" i="71"/>
  <c r="N22" i="71"/>
  <c r="AH5" i="71"/>
  <c r="AG5" i="71"/>
  <c r="AE5" i="71"/>
  <c r="AF5" i="71"/>
  <c r="AD5" i="71"/>
  <c r="Q6" i="71"/>
  <c r="Q5" i="71"/>
  <c r="Q7" i="71"/>
  <c r="F7" i="71" s="1"/>
  <c r="F6" i="71" s="1"/>
  <c r="F5" i="71" s="1"/>
  <c r="Q8" i="71"/>
  <c r="Q9" i="71"/>
  <c r="Q10" i="71"/>
  <c r="Q11" i="71"/>
  <c r="F11" i="71" s="1"/>
  <c r="F10" i="71" s="1"/>
  <c r="F9" i="71" s="1"/>
  <c r="Q12" i="71"/>
  <c r="F13" i="71" s="1"/>
  <c r="Q13" i="71"/>
  <c r="Q14" i="71"/>
  <c r="Q15" i="71"/>
  <c r="Q16" i="71"/>
  <c r="F17" i="71"/>
  <c r="Q17" i="71"/>
  <c r="Q18" i="71"/>
  <c r="Q19" i="71"/>
  <c r="Q20" i="71"/>
  <c r="F21" i="71" s="1"/>
  <c r="Q21" i="71"/>
  <c r="Q22" i="71"/>
  <c r="P6" i="71"/>
  <c r="P5" i="71"/>
  <c r="P7" i="71"/>
  <c r="E7" i="71" s="1"/>
  <c r="E6" i="71" s="1"/>
  <c r="P8" i="71"/>
  <c r="P9" i="71"/>
  <c r="P10" i="71"/>
  <c r="P11" i="71"/>
  <c r="P12" i="71"/>
  <c r="E13" i="71" s="1"/>
  <c r="E14" i="71" s="1"/>
  <c r="P13" i="71"/>
  <c r="P14" i="71"/>
  <c r="P15" i="71"/>
  <c r="P16" i="71"/>
  <c r="E17" i="71" s="1"/>
  <c r="P17" i="71"/>
  <c r="P18" i="71"/>
  <c r="P19" i="71"/>
  <c r="P20" i="71"/>
  <c r="P21" i="71"/>
  <c r="P22" i="71"/>
  <c r="O6" i="71"/>
  <c r="O5" i="71"/>
  <c r="O7" i="71"/>
  <c r="C7" i="71" s="1"/>
  <c r="O8" i="71"/>
  <c r="O9" i="71"/>
  <c r="O10" i="71"/>
  <c r="O11" i="71"/>
  <c r="C11" i="71"/>
  <c r="C10" i="71" s="1"/>
  <c r="O12" i="71"/>
  <c r="C13" i="71" s="1"/>
  <c r="D13" i="71" s="1"/>
  <c r="O13" i="71"/>
  <c r="O14" i="71"/>
  <c r="O15" i="71"/>
  <c r="O16" i="71"/>
  <c r="C17" i="71" s="1"/>
  <c r="D17" i="71" s="1"/>
  <c r="O17" i="71"/>
  <c r="O18" i="71"/>
  <c r="O19" i="71"/>
  <c r="O20" i="71"/>
  <c r="O21" i="71"/>
  <c r="O22" i="71"/>
  <c r="B7" i="71"/>
  <c r="B6" i="71" s="1"/>
  <c r="B5" i="71" s="1"/>
  <c r="B2" i="1"/>
  <c r="G19" i="43"/>
  <c r="D8" i="71"/>
  <c r="B11" i="71"/>
  <c r="B10" i="71" s="1"/>
  <c r="B9" i="71" s="1"/>
  <c r="E11" i="71"/>
  <c r="D12" i="71"/>
  <c r="D16" i="71"/>
  <c r="D20" i="71"/>
  <c r="C21" i="71"/>
  <c r="D21" i="71" s="1"/>
  <c r="E21" i="71"/>
  <c r="M19" i="43"/>
  <c r="G2" i="43"/>
  <c r="C6" i="43" s="1"/>
  <c r="I17" i="43"/>
  <c r="G20" i="43"/>
  <c r="J20" i="43"/>
  <c r="I20" i="43"/>
  <c r="C24" i="43"/>
  <c r="F38" i="43"/>
  <c r="D5" i="43"/>
  <c r="F35" i="43"/>
  <c r="M47" i="67"/>
  <c r="J53" i="67" s="1"/>
  <c r="M47" i="15"/>
  <c r="C18" i="43"/>
  <c r="AD5" i="3"/>
  <c r="AH5" i="3"/>
  <c r="AP5" i="3"/>
  <c r="Q5" i="3"/>
  <c r="F33" i="43"/>
  <c r="H33" i="43"/>
  <c r="D1" i="43"/>
  <c r="C10" i="43"/>
  <c r="C11" i="43" s="1"/>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H113" i="43"/>
  <c r="AH6" i="71"/>
  <c r="AG6" i="71"/>
  <c r="AE6" i="71"/>
  <c r="AF6" i="71" s="1"/>
  <c r="AD6" i="71"/>
  <c r="L3" i="71"/>
  <c r="K3" i="71"/>
  <c r="I3" i="71"/>
  <c r="J3" i="71"/>
  <c r="BC14" i="3"/>
  <c r="BF14" i="3"/>
  <c r="BG14" i="3"/>
  <c r="BH14" i="3"/>
  <c r="BI14" i="3"/>
  <c r="BJ14" i="3"/>
  <c r="BK14" i="3"/>
  <c r="BM14" i="3"/>
  <c r="BN14" i="3"/>
  <c r="BO14" i="3"/>
  <c r="BP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L209" i="3" s="1"/>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A257" i="3" s="1"/>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A267" i="3" s="1"/>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A275" i="3" s="1"/>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A283" i="3" s="1"/>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A363" i="3" s="1"/>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L380" i="3" s="1"/>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L412" i="3" s="1"/>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L426" i="3" s="1"/>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s="1"/>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s="1"/>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s="1"/>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s="1"/>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s="1"/>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L466" i="3" s="1"/>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L474" i="3" s="1"/>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s="1"/>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s="1"/>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L490" i="3" s="1"/>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s="1"/>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s="1"/>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s="1"/>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A529" i="3" s="1"/>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s="1"/>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A557" i="3" s="1"/>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A577" i="3" s="1"/>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3" i="3"/>
  <c r="AC13" i="3"/>
  <c r="G13" i="3"/>
  <c r="H14" i="3"/>
  <c r="H15" i="3"/>
  <c r="AC15" i="3"/>
  <c r="H16" i="3"/>
  <c r="AC16" i="3"/>
  <c r="H17" i="3"/>
  <c r="AC17" i="3"/>
  <c r="G17" i="3"/>
  <c r="H18" i="3"/>
  <c r="AC18" i="3"/>
  <c r="G18" i="3" s="1"/>
  <c r="H19" i="3"/>
  <c r="AC19" i="3"/>
  <c r="G19" i="3" s="1"/>
  <c r="H20" i="3"/>
  <c r="AC20" i="3"/>
  <c r="H21" i="3"/>
  <c r="AC21" i="3"/>
  <c r="H22" i="3"/>
  <c r="AC22" i="3"/>
  <c r="H23" i="3"/>
  <c r="AC23" i="3"/>
  <c r="H24" i="3"/>
  <c r="AC24" i="3"/>
  <c r="H25" i="3"/>
  <c r="AC25" i="3"/>
  <c r="G25" i="3"/>
  <c r="H26" i="3"/>
  <c r="AC26" i="3"/>
  <c r="G26" i="3" s="1"/>
  <c r="H27" i="3"/>
  <c r="AC27" i="3"/>
  <c r="G27" i="3" s="1"/>
  <c r="H28" i="3"/>
  <c r="AC28" i="3"/>
  <c r="H29" i="3"/>
  <c r="AC29" i="3"/>
  <c r="H30" i="3"/>
  <c r="AC30" i="3"/>
  <c r="H31" i="3"/>
  <c r="AC31" i="3"/>
  <c r="H32" i="3"/>
  <c r="AC32" i="3"/>
  <c r="H33" i="3"/>
  <c r="AC33" i="3"/>
  <c r="G33" i="3"/>
  <c r="H34" i="3"/>
  <c r="AC34" i="3"/>
  <c r="G34" i="3" s="1"/>
  <c r="H35" i="3"/>
  <c r="AC35" i="3"/>
  <c r="G35" i="3" s="1"/>
  <c r="H36" i="3"/>
  <c r="AC36" i="3"/>
  <c r="H37" i="3"/>
  <c r="AC37" i="3"/>
  <c r="H38" i="3"/>
  <c r="AC38" i="3"/>
  <c r="H39" i="3"/>
  <c r="AC39" i="3"/>
  <c r="H40" i="3"/>
  <c r="AC40" i="3"/>
  <c r="H41" i="3"/>
  <c r="AC41" i="3"/>
  <c r="G41" i="3"/>
  <c r="H42" i="3"/>
  <c r="AC42" i="3"/>
  <c r="G42" i="3" s="1"/>
  <c r="H43" i="3"/>
  <c r="AC43" i="3"/>
  <c r="G43" i="3" s="1"/>
  <c r="H44" i="3"/>
  <c r="AC44" i="3"/>
  <c r="H45" i="3"/>
  <c r="AC45" i="3"/>
  <c r="H46" i="3"/>
  <c r="AC46" i="3"/>
  <c r="H47" i="3"/>
  <c r="AC47" i="3"/>
  <c r="H48" i="3"/>
  <c r="AC48" i="3"/>
  <c r="H49" i="3"/>
  <c r="AC49" i="3"/>
  <c r="G49" i="3"/>
  <c r="H50" i="3"/>
  <c r="AC50" i="3"/>
  <c r="G50" i="3" s="1"/>
  <c r="H51" i="3"/>
  <c r="AC51" i="3"/>
  <c r="G51" i="3" s="1"/>
  <c r="H52" i="3"/>
  <c r="AC52" i="3"/>
  <c r="H53" i="3"/>
  <c r="AC53" i="3"/>
  <c r="H54" i="3"/>
  <c r="AC54" i="3"/>
  <c r="H55" i="3"/>
  <c r="AC55" i="3"/>
  <c r="H56" i="3"/>
  <c r="AC56" i="3"/>
  <c r="H57" i="3"/>
  <c r="AC57" i="3"/>
  <c r="G57" i="3"/>
  <c r="H58" i="3"/>
  <c r="AC58" i="3"/>
  <c r="G58" i="3" s="1"/>
  <c r="H59" i="3"/>
  <c r="AC59" i="3"/>
  <c r="G59" i="3" s="1"/>
  <c r="H60" i="3"/>
  <c r="AC60" i="3"/>
  <c r="H61" i="3"/>
  <c r="AC61" i="3"/>
  <c r="H62" i="3"/>
  <c r="AC62" i="3"/>
  <c r="H63" i="3"/>
  <c r="AC63" i="3"/>
  <c r="H64" i="3"/>
  <c r="AC64" i="3"/>
  <c r="H65" i="3"/>
  <c r="AC65" i="3"/>
  <c r="G65" i="3"/>
  <c r="H66" i="3"/>
  <c r="AC66" i="3"/>
  <c r="G66" i="3" s="1"/>
  <c r="H67" i="3"/>
  <c r="AC67" i="3"/>
  <c r="G67" i="3" s="1"/>
  <c r="H68" i="3"/>
  <c r="AC68" i="3"/>
  <c r="H69" i="3"/>
  <c r="AC69" i="3"/>
  <c r="H70" i="3"/>
  <c r="AC70" i="3"/>
  <c r="H71" i="3"/>
  <c r="AC71" i="3"/>
  <c r="H72" i="3"/>
  <c r="AC72" i="3"/>
  <c r="H73" i="3"/>
  <c r="AC73" i="3"/>
  <c r="G73" i="3"/>
  <c r="H74" i="3"/>
  <c r="AC74" i="3"/>
  <c r="G74" i="3" s="1"/>
  <c r="H75" i="3"/>
  <c r="AC75" i="3"/>
  <c r="G75" i="3" s="1"/>
  <c r="H76" i="3"/>
  <c r="AC76" i="3"/>
  <c r="H77" i="3"/>
  <c r="AC77" i="3"/>
  <c r="H78" i="3"/>
  <c r="AC78" i="3"/>
  <c r="H79" i="3"/>
  <c r="AC79" i="3"/>
  <c r="H80" i="3"/>
  <c r="AC80" i="3"/>
  <c r="H81" i="3"/>
  <c r="AC81" i="3"/>
  <c r="G81" i="3"/>
  <c r="H82" i="3"/>
  <c r="AC82" i="3"/>
  <c r="G82" i="3" s="1"/>
  <c r="H83" i="3"/>
  <c r="AC83" i="3"/>
  <c r="G83" i="3" s="1"/>
  <c r="H84" i="3"/>
  <c r="AC84" i="3"/>
  <c r="H85" i="3"/>
  <c r="AC85" i="3"/>
  <c r="H86" i="3"/>
  <c r="AC86" i="3"/>
  <c r="H87" i="3"/>
  <c r="AC87" i="3"/>
  <c r="H88" i="3"/>
  <c r="AC88" i="3"/>
  <c r="H89" i="3"/>
  <c r="AC89" i="3"/>
  <c r="G89" i="3"/>
  <c r="H90" i="3"/>
  <c r="AC90" i="3"/>
  <c r="G90" i="3" s="1"/>
  <c r="H91" i="3"/>
  <c r="AC91" i="3"/>
  <c r="G91" i="3" s="1"/>
  <c r="H92" i="3"/>
  <c r="AC92" i="3"/>
  <c r="H93" i="3"/>
  <c r="AC93" i="3"/>
  <c r="H94" i="3"/>
  <c r="AC94" i="3"/>
  <c r="H95" i="3"/>
  <c r="AC95" i="3"/>
  <c r="H96" i="3"/>
  <c r="AC96" i="3"/>
  <c r="H97" i="3"/>
  <c r="AC97" i="3"/>
  <c r="G97" i="3"/>
  <c r="H98" i="3"/>
  <c r="AC98" i="3"/>
  <c r="G98" i="3" s="1"/>
  <c r="H99" i="3"/>
  <c r="AC99" i="3"/>
  <c r="G99" i="3" s="1"/>
  <c r="H100" i="3"/>
  <c r="AC100" i="3"/>
  <c r="H101" i="3"/>
  <c r="AC101" i="3"/>
  <c r="H102" i="3"/>
  <c r="AC102" i="3"/>
  <c r="H103" i="3"/>
  <c r="AC103" i="3"/>
  <c r="H104" i="3"/>
  <c r="AC104" i="3"/>
  <c r="H105" i="3"/>
  <c r="AC105" i="3"/>
  <c r="G105" i="3"/>
  <c r="H106" i="3"/>
  <c r="AC106" i="3"/>
  <c r="G106" i="3" s="1"/>
  <c r="H107" i="3"/>
  <c r="AC107" i="3"/>
  <c r="G107" i="3" s="1"/>
  <c r="H108" i="3"/>
  <c r="AC108" i="3"/>
  <c r="H109" i="3"/>
  <c r="AC109" i="3"/>
  <c r="H110" i="3"/>
  <c r="AC110" i="3"/>
  <c r="H111" i="3"/>
  <c r="AC111" i="3"/>
  <c r="H112" i="3"/>
  <c r="AC112" i="3"/>
  <c r="H113" i="3"/>
  <c r="AC113" i="3"/>
  <c r="G113" i="3"/>
  <c r="H114" i="3"/>
  <c r="AC114" i="3"/>
  <c r="G114" i="3" s="1"/>
  <c r="H115" i="3"/>
  <c r="AC115" i="3"/>
  <c r="G115" i="3" s="1"/>
  <c r="H116" i="3"/>
  <c r="AC116" i="3"/>
  <c r="H117" i="3"/>
  <c r="AC117" i="3"/>
  <c r="H118" i="3"/>
  <c r="AC118" i="3"/>
  <c r="H119" i="3"/>
  <c r="AC119" i="3"/>
  <c r="H120" i="3"/>
  <c r="AC120" i="3"/>
  <c r="H121" i="3"/>
  <c r="AC121" i="3"/>
  <c r="G121" i="3"/>
  <c r="H122" i="3"/>
  <c r="AC122" i="3"/>
  <c r="G122" i="3" s="1"/>
  <c r="H123" i="3"/>
  <c r="AC123" i="3"/>
  <c r="G123" i="3" s="1"/>
  <c r="H124" i="3"/>
  <c r="AC124" i="3"/>
  <c r="H125" i="3"/>
  <c r="AC125" i="3"/>
  <c r="H126" i="3"/>
  <c r="AC126" i="3"/>
  <c r="H127" i="3"/>
  <c r="AC127" i="3"/>
  <c r="H128" i="3"/>
  <c r="AC128" i="3"/>
  <c r="H129" i="3"/>
  <c r="AC129" i="3"/>
  <c r="G129" i="3"/>
  <c r="H130" i="3"/>
  <c r="AC130" i="3"/>
  <c r="G130" i="3" s="1"/>
  <c r="H131" i="3"/>
  <c r="AC131" i="3"/>
  <c r="G131" i="3" s="1"/>
  <c r="H132" i="3"/>
  <c r="AC132" i="3"/>
  <c r="H133" i="3"/>
  <c r="AC133" i="3"/>
  <c r="H134" i="3"/>
  <c r="AC134" i="3"/>
  <c r="H135" i="3"/>
  <c r="AC135" i="3"/>
  <c r="H136" i="3"/>
  <c r="AC136" i="3"/>
  <c r="H137" i="3"/>
  <c r="AC137" i="3"/>
  <c r="G137" i="3"/>
  <c r="H138" i="3"/>
  <c r="AC138" i="3"/>
  <c r="G138" i="3" s="1"/>
  <c r="H139" i="3"/>
  <c r="AC139" i="3"/>
  <c r="G139" i="3" s="1"/>
  <c r="H140" i="3"/>
  <c r="AC140" i="3"/>
  <c r="H141" i="3"/>
  <c r="AC141" i="3"/>
  <c r="H142" i="3"/>
  <c r="AC142" i="3"/>
  <c r="H143" i="3"/>
  <c r="AC143" i="3"/>
  <c r="H144" i="3"/>
  <c r="AC144" i="3"/>
  <c r="H145" i="3"/>
  <c r="AC145" i="3"/>
  <c r="G145" i="3"/>
  <c r="H146" i="3"/>
  <c r="AC146" i="3"/>
  <c r="G146" i="3" s="1"/>
  <c r="H147" i="3"/>
  <c r="AC147" i="3"/>
  <c r="G147" i="3" s="1"/>
  <c r="H148" i="3"/>
  <c r="AC148" i="3"/>
  <c r="H149" i="3"/>
  <c r="AC149" i="3"/>
  <c r="H150" i="3"/>
  <c r="AC150" i="3"/>
  <c r="H151" i="3"/>
  <c r="AC151" i="3"/>
  <c r="H152" i="3"/>
  <c r="AC152" i="3"/>
  <c r="H153" i="3"/>
  <c r="AC153" i="3"/>
  <c r="G153" i="3"/>
  <c r="H154" i="3"/>
  <c r="AC154" i="3"/>
  <c r="G154" i="3" s="1"/>
  <c r="H155" i="3"/>
  <c r="AC155" i="3"/>
  <c r="G155" i="3" s="1"/>
  <c r="H156" i="3"/>
  <c r="AC156" i="3"/>
  <c r="H157" i="3"/>
  <c r="AC157" i="3"/>
  <c r="H158" i="3"/>
  <c r="AC158" i="3"/>
  <c r="H159" i="3"/>
  <c r="AC159" i="3"/>
  <c r="H160" i="3"/>
  <c r="AC160" i="3"/>
  <c r="H161" i="3"/>
  <c r="AC161" i="3"/>
  <c r="G161" i="3"/>
  <c r="H162" i="3"/>
  <c r="AC162" i="3"/>
  <c r="G162" i="3" s="1"/>
  <c r="H163" i="3"/>
  <c r="AC163" i="3"/>
  <c r="G163" i="3" s="1"/>
  <c r="H164" i="3"/>
  <c r="AC164" i="3"/>
  <c r="H165" i="3"/>
  <c r="AC165" i="3"/>
  <c r="H166" i="3"/>
  <c r="AC166" i="3"/>
  <c r="H167" i="3"/>
  <c r="AC167" i="3"/>
  <c r="H168" i="3"/>
  <c r="AC168" i="3"/>
  <c r="H169" i="3"/>
  <c r="AC169" i="3"/>
  <c r="G169" i="3"/>
  <c r="H170" i="3"/>
  <c r="AC170" i="3"/>
  <c r="G170" i="3" s="1"/>
  <c r="H171" i="3"/>
  <c r="AC171" i="3"/>
  <c r="G171" i="3" s="1"/>
  <c r="H172" i="3"/>
  <c r="AC172" i="3"/>
  <c r="H173" i="3"/>
  <c r="AC173" i="3"/>
  <c r="H174" i="3"/>
  <c r="AC174" i="3"/>
  <c r="H175" i="3"/>
  <c r="AC175" i="3"/>
  <c r="H176" i="3"/>
  <c r="AC176" i="3"/>
  <c r="H177" i="3"/>
  <c r="AC177" i="3"/>
  <c r="G177" i="3"/>
  <c r="H178" i="3"/>
  <c r="AC178" i="3"/>
  <c r="G178" i="3" s="1"/>
  <c r="H179" i="3"/>
  <c r="AC179" i="3"/>
  <c r="G179" i="3" s="1"/>
  <c r="H180" i="3"/>
  <c r="AC180" i="3"/>
  <c r="H181" i="3"/>
  <c r="AC181" i="3"/>
  <c r="H182" i="3"/>
  <c r="AC182" i="3"/>
  <c r="H183" i="3"/>
  <c r="AC183" i="3"/>
  <c r="H184" i="3"/>
  <c r="AC184" i="3"/>
  <c r="H185" i="3"/>
  <c r="AC185" i="3"/>
  <c r="G185" i="3"/>
  <c r="H186" i="3"/>
  <c r="AC186" i="3"/>
  <c r="G186" i="3" s="1"/>
  <c r="H187" i="3"/>
  <c r="AC187" i="3"/>
  <c r="G187" i="3" s="1"/>
  <c r="H188" i="3"/>
  <c r="AC188" i="3"/>
  <c r="H189" i="3"/>
  <c r="AC189" i="3"/>
  <c r="H190" i="3"/>
  <c r="AC190" i="3"/>
  <c r="H191" i="3"/>
  <c r="AC191" i="3"/>
  <c r="H192" i="3"/>
  <c r="AC192" i="3"/>
  <c r="H193" i="3"/>
  <c r="AC193" i="3"/>
  <c r="G193" i="3"/>
  <c r="H194" i="3"/>
  <c r="AC194" i="3"/>
  <c r="G194" i="3" s="1"/>
  <c r="H195" i="3"/>
  <c r="AC195" i="3"/>
  <c r="G195" i="3" s="1"/>
  <c r="H196" i="3"/>
  <c r="AC196" i="3"/>
  <c r="H197" i="3"/>
  <c r="AC197" i="3"/>
  <c r="H198" i="3"/>
  <c r="AC198" i="3"/>
  <c r="H199" i="3"/>
  <c r="AC199" i="3"/>
  <c r="H200" i="3"/>
  <c r="AC200" i="3"/>
  <c r="H201" i="3"/>
  <c r="AC201" i="3"/>
  <c r="G201" i="3"/>
  <c r="H202" i="3"/>
  <c r="AC202" i="3"/>
  <c r="G202" i="3" s="1"/>
  <c r="H203" i="3"/>
  <c r="AC203" i="3"/>
  <c r="G203" i="3" s="1"/>
  <c r="H204" i="3"/>
  <c r="AC204" i="3"/>
  <c r="H205" i="3"/>
  <c r="AC205" i="3"/>
  <c r="H206" i="3"/>
  <c r="AC206" i="3"/>
  <c r="H207" i="3"/>
  <c r="AC207" i="3"/>
  <c r="H208" i="3"/>
  <c r="AC208" i="3"/>
  <c r="H209" i="3"/>
  <c r="AC209" i="3"/>
  <c r="G209" i="3"/>
  <c r="H210" i="3"/>
  <c r="AC210" i="3"/>
  <c r="G210" i="3" s="1"/>
  <c r="H211" i="3"/>
  <c r="AC211" i="3"/>
  <c r="G211" i="3" s="1"/>
  <c r="H212" i="3"/>
  <c r="AC212" i="3"/>
  <c r="H213" i="3"/>
  <c r="AC213" i="3"/>
  <c r="H214" i="3"/>
  <c r="AC214" i="3"/>
  <c r="H215" i="3"/>
  <c r="AC215" i="3"/>
  <c r="H216" i="3"/>
  <c r="AC216" i="3"/>
  <c r="H217" i="3"/>
  <c r="AC217" i="3"/>
  <c r="G217" i="3"/>
  <c r="H218" i="3"/>
  <c r="AC218" i="3"/>
  <c r="G218" i="3" s="1"/>
  <c r="H219" i="3"/>
  <c r="AC219" i="3"/>
  <c r="G219" i="3" s="1"/>
  <c r="H220" i="3"/>
  <c r="AC220" i="3"/>
  <c r="H221" i="3"/>
  <c r="AC221" i="3"/>
  <c r="H222" i="3"/>
  <c r="AC222" i="3"/>
  <c r="H223" i="3"/>
  <c r="AC223" i="3"/>
  <c r="H224" i="3"/>
  <c r="AC224" i="3"/>
  <c r="H225" i="3"/>
  <c r="AC225" i="3"/>
  <c r="G225" i="3"/>
  <c r="H226" i="3"/>
  <c r="AC226" i="3"/>
  <c r="G226" i="3" s="1"/>
  <c r="H227" i="3"/>
  <c r="AC227" i="3"/>
  <c r="G227" i="3" s="1"/>
  <c r="H228" i="3"/>
  <c r="AC228" i="3"/>
  <c r="H229" i="3"/>
  <c r="AC229" i="3"/>
  <c r="H230" i="3"/>
  <c r="AC230" i="3"/>
  <c r="H231" i="3"/>
  <c r="AC231" i="3"/>
  <c r="H232" i="3"/>
  <c r="AC232" i="3"/>
  <c r="H233" i="3"/>
  <c r="AC233" i="3"/>
  <c r="G233" i="3"/>
  <c r="H234" i="3"/>
  <c r="AC234" i="3"/>
  <c r="G234" i="3" s="1"/>
  <c r="H235" i="3"/>
  <c r="AC235" i="3"/>
  <c r="G235" i="3" s="1"/>
  <c r="H236" i="3"/>
  <c r="AC236" i="3"/>
  <c r="H237" i="3"/>
  <c r="AC237" i="3"/>
  <c r="H238" i="3"/>
  <c r="AC238" i="3"/>
  <c r="H239" i="3"/>
  <c r="AC239" i="3"/>
  <c r="H240" i="3"/>
  <c r="AC240" i="3"/>
  <c r="H241" i="3"/>
  <c r="AC241" i="3"/>
  <c r="G241" i="3"/>
  <c r="H242" i="3"/>
  <c r="AC242" i="3"/>
  <c r="G242" i="3" s="1"/>
  <c r="H243" i="3"/>
  <c r="AC243" i="3"/>
  <c r="G243" i="3" s="1"/>
  <c r="H244" i="3"/>
  <c r="AC244" i="3"/>
  <c r="H245" i="3"/>
  <c r="AC245" i="3"/>
  <c r="H246" i="3"/>
  <c r="AC246" i="3"/>
  <c r="H247" i="3"/>
  <c r="AC247" i="3"/>
  <c r="H248" i="3"/>
  <c r="AC248" i="3"/>
  <c r="H249" i="3"/>
  <c r="AC249" i="3"/>
  <c r="G249" i="3"/>
  <c r="H250" i="3"/>
  <c r="AC250" i="3"/>
  <c r="G250" i="3" s="1"/>
  <c r="H251" i="3"/>
  <c r="AC251" i="3"/>
  <c r="G251" i="3" s="1"/>
  <c r="H252" i="3"/>
  <c r="AC252" i="3"/>
  <c r="H253" i="3"/>
  <c r="AC253" i="3"/>
  <c r="H254" i="3"/>
  <c r="AC254" i="3"/>
  <c r="H255" i="3"/>
  <c r="AC255" i="3"/>
  <c r="H256" i="3"/>
  <c r="AC256" i="3"/>
  <c r="H257" i="3"/>
  <c r="AC257" i="3"/>
  <c r="G257" i="3"/>
  <c r="H258" i="3"/>
  <c r="AC258" i="3"/>
  <c r="G258" i="3" s="1"/>
  <c r="H259" i="3"/>
  <c r="AC259" i="3"/>
  <c r="G259" i="3" s="1"/>
  <c r="H260" i="3"/>
  <c r="AC260" i="3"/>
  <c r="H261" i="3"/>
  <c r="AC261" i="3"/>
  <c r="H262" i="3"/>
  <c r="AC262" i="3"/>
  <c r="H263" i="3"/>
  <c r="AC263" i="3"/>
  <c r="H264" i="3"/>
  <c r="AC264" i="3"/>
  <c r="H265" i="3"/>
  <c r="AC265" i="3"/>
  <c r="G265" i="3"/>
  <c r="H266" i="3"/>
  <c r="AC266" i="3"/>
  <c r="G266" i="3" s="1"/>
  <c r="H267" i="3"/>
  <c r="AC267" i="3"/>
  <c r="G267" i="3" s="1"/>
  <c r="H268" i="3"/>
  <c r="AC268" i="3"/>
  <c r="H269" i="3"/>
  <c r="AC269" i="3"/>
  <c r="H270" i="3"/>
  <c r="AC270" i="3"/>
  <c r="H271" i="3"/>
  <c r="AC271" i="3"/>
  <c r="H272" i="3"/>
  <c r="AC272" i="3"/>
  <c r="H273" i="3"/>
  <c r="AC273" i="3"/>
  <c r="G273" i="3"/>
  <c r="H274" i="3"/>
  <c r="AC274" i="3"/>
  <c r="G274" i="3" s="1"/>
  <c r="H275" i="3"/>
  <c r="AC275" i="3"/>
  <c r="G275" i="3" s="1"/>
  <c r="H276" i="3"/>
  <c r="AC276" i="3"/>
  <c r="H277" i="3"/>
  <c r="AC277" i="3"/>
  <c r="H278" i="3"/>
  <c r="AC278" i="3"/>
  <c r="H279" i="3"/>
  <c r="AC279" i="3"/>
  <c r="H280" i="3"/>
  <c r="AC280" i="3"/>
  <c r="H281" i="3"/>
  <c r="AC281" i="3"/>
  <c r="G281" i="3"/>
  <c r="H282" i="3"/>
  <c r="AC282" i="3"/>
  <c r="G282" i="3" s="1"/>
  <c r="H283" i="3"/>
  <c r="AC283" i="3"/>
  <c r="G283" i="3" s="1"/>
  <c r="H284" i="3"/>
  <c r="AC284" i="3"/>
  <c r="H285" i="3"/>
  <c r="AC285" i="3"/>
  <c r="H286" i="3"/>
  <c r="AC286" i="3"/>
  <c r="H287" i="3"/>
  <c r="AC287" i="3"/>
  <c r="H288" i="3"/>
  <c r="AC288" i="3"/>
  <c r="H289" i="3"/>
  <c r="AC289" i="3"/>
  <c r="G289" i="3"/>
  <c r="H290" i="3"/>
  <c r="AC290" i="3"/>
  <c r="G290" i="3" s="1"/>
  <c r="H291" i="3"/>
  <c r="AC291" i="3"/>
  <c r="G291" i="3" s="1"/>
  <c r="H292" i="3"/>
  <c r="AC292" i="3"/>
  <c r="H293" i="3"/>
  <c r="AC293" i="3"/>
  <c r="H294" i="3"/>
  <c r="AC294" i="3"/>
  <c r="H295" i="3"/>
  <c r="AC295" i="3"/>
  <c r="H296" i="3"/>
  <c r="AC296" i="3"/>
  <c r="H297" i="3"/>
  <c r="AC297" i="3"/>
  <c r="G297" i="3"/>
  <c r="H298" i="3"/>
  <c r="AC298" i="3"/>
  <c r="G298" i="3" s="1"/>
  <c r="H299" i="3"/>
  <c r="AC299" i="3"/>
  <c r="G299" i="3" s="1"/>
  <c r="H300" i="3"/>
  <c r="AC300" i="3"/>
  <c r="H301" i="3"/>
  <c r="AC301" i="3"/>
  <c r="H302" i="3"/>
  <c r="AC302" i="3"/>
  <c r="H303" i="3"/>
  <c r="AC303" i="3"/>
  <c r="H304" i="3"/>
  <c r="AC304" i="3"/>
  <c r="H305" i="3"/>
  <c r="AC305" i="3"/>
  <c r="G305" i="3"/>
  <c r="H306" i="3"/>
  <c r="AC306" i="3"/>
  <c r="G306" i="3" s="1"/>
  <c r="H307" i="3"/>
  <c r="AC307" i="3"/>
  <c r="G307" i="3" s="1"/>
  <c r="H308" i="3"/>
  <c r="AC308" i="3"/>
  <c r="H309" i="3"/>
  <c r="AC309" i="3"/>
  <c r="H310" i="3"/>
  <c r="AC310" i="3"/>
  <c r="H311" i="3"/>
  <c r="AC311" i="3"/>
  <c r="H312" i="3"/>
  <c r="AC312" i="3"/>
  <c r="H313" i="3"/>
  <c r="AC313" i="3"/>
  <c r="G313" i="3"/>
  <c r="H314" i="3"/>
  <c r="AC314" i="3"/>
  <c r="G314" i="3" s="1"/>
  <c r="H315" i="3"/>
  <c r="AC315" i="3"/>
  <c r="G315" i="3" s="1"/>
  <c r="H316" i="3"/>
  <c r="AC316" i="3"/>
  <c r="H317" i="3"/>
  <c r="AC317" i="3"/>
  <c r="H318" i="3"/>
  <c r="AC318" i="3"/>
  <c r="H319" i="3"/>
  <c r="AC319" i="3"/>
  <c r="H320" i="3"/>
  <c r="AC320" i="3"/>
  <c r="H321" i="3"/>
  <c r="AC321" i="3"/>
  <c r="G321" i="3"/>
  <c r="H322" i="3"/>
  <c r="AC322" i="3"/>
  <c r="G322" i="3" s="1"/>
  <c r="H323" i="3"/>
  <c r="AC323" i="3"/>
  <c r="G323" i="3" s="1"/>
  <c r="H324" i="3"/>
  <c r="AC324" i="3"/>
  <c r="H325" i="3"/>
  <c r="AC325" i="3"/>
  <c r="H326" i="3"/>
  <c r="AC326" i="3"/>
  <c r="H327" i="3"/>
  <c r="AC327" i="3"/>
  <c r="H328" i="3"/>
  <c r="AC328" i="3"/>
  <c r="H329" i="3"/>
  <c r="AC329" i="3"/>
  <c r="G329" i="3"/>
  <c r="H330" i="3"/>
  <c r="AC330" i="3"/>
  <c r="G330" i="3" s="1"/>
  <c r="H331" i="3"/>
  <c r="AC331" i="3"/>
  <c r="G331" i="3" s="1"/>
  <c r="H332" i="3"/>
  <c r="AC332" i="3"/>
  <c r="H333" i="3"/>
  <c r="AC333" i="3"/>
  <c r="H334" i="3"/>
  <c r="AC334" i="3"/>
  <c r="H335" i="3"/>
  <c r="AC335" i="3"/>
  <c r="H336" i="3"/>
  <c r="AC336" i="3"/>
  <c r="H337" i="3"/>
  <c r="AC337" i="3"/>
  <c r="G337" i="3"/>
  <c r="H338" i="3"/>
  <c r="AC338" i="3"/>
  <c r="G338" i="3" s="1"/>
  <c r="H339" i="3"/>
  <c r="AC339" i="3"/>
  <c r="G339" i="3" s="1"/>
  <c r="H340" i="3"/>
  <c r="AC340" i="3"/>
  <c r="H341" i="3"/>
  <c r="AC341" i="3"/>
  <c r="H342" i="3"/>
  <c r="AC342" i="3"/>
  <c r="H343" i="3"/>
  <c r="AC343" i="3"/>
  <c r="H344" i="3"/>
  <c r="AC344" i="3"/>
  <c r="H345" i="3"/>
  <c r="AC345" i="3"/>
  <c r="G345" i="3"/>
  <c r="H346" i="3"/>
  <c r="AC346" i="3"/>
  <c r="G346" i="3" s="1"/>
  <c r="H347" i="3"/>
  <c r="AC347" i="3"/>
  <c r="G347" i="3" s="1"/>
  <c r="H348" i="3"/>
  <c r="AC348" i="3"/>
  <c r="H349" i="3"/>
  <c r="AC349" i="3"/>
  <c r="H350" i="3"/>
  <c r="AC350" i="3"/>
  <c r="H351" i="3"/>
  <c r="AC351" i="3"/>
  <c r="H352" i="3"/>
  <c r="AC352" i="3"/>
  <c r="H353" i="3"/>
  <c r="AC353" i="3"/>
  <c r="G353" i="3"/>
  <c r="H354" i="3"/>
  <c r="AC354" i="3"/>
  <c r="G354" i="3" s="1"/>
  <c r="H355" i="3"/>
  <c r="AC355" i="3"/>
  <c r="G355" i="3" s="1"/>
  <c r="H356" i="3"/>
  <c r="AC356" i="3"/>
  <c r="H357" i="3"/>
  <c r="AC357" i="3"/>
  <c r="H358" i="3"/>
  <c r="AC358" i="3"/>
  <c r="H359" i="3"/>
  <c r="AC359" i="3"/>
  <c r="H360" i="3"/>
  <c r="AC360" i="3"/>
  <c r="H361" i="3"/>
  <c r="AC361" i="3"/>
  <c r="H362" i="3"/>
  <c r="AC362" i="3"/>
  <c r="G362" i="3"/>
  <c r="H363" i="3"/>
  <c r="AC363" i="3"/>
  <c r="G363" i="3" s="1"/>
  <c r="H364" i="3"/>
  <c r="AC364" i="3"/>
  <c r="G364" i="3" s="1"/>
  <c r="H365" i="3"/>
  <c r="AC365" i="3"/>
  <c r="H366" i="3"/>
  <c r="AC366" i="3"/>
  <c r="H367" i="3"/>
  <c r="AC367" i="3"/>
  <c r="H368" i="3"/>
  <c r="AC368" i="3"/>
  <c r="H369" i="3"/>
  <c r="AC369" i="3"/>
  <c r="H370" i="3"/>
  <c r="AC370" i="3"/>
  <c r="G370" i="3"/>
  <c r="H371" i="3"/>
  <c r="AC371" i="3"/>
  <c r="G371" i="3" s="1"/>
  <c r="H372" i="3"/>
  <c r="AC372" i="3"/>
  <c r="G372" i="3" s="1"/>
  <c r="H373" i="3"/>
  <c r="AC373" i="3"/>
  <c r="H374" i="3"/>
  <c r="AC374" i="3"/>
  <c r="H375" i="3"/>
  <c r="AC375" i="3"/>
  <c r="H376" i="3"/>
  <c r="AC376" i="3"/>
  <c r="H377" i="3"/>
  <c r="AC377" i="3"/>
  <c r="H378" i="3"/>
  <c r="AC378" i="3"/>
  <c r="G378" i="3"/>
  <c r="H379" i="3"/>
  <c r="AC379" i="3"/>
  <c r="G379" i="3" s="1"/>
  <c r="H380" i="3"/>
  <c r="AC380" i="3"/>
  <c r="G380" i="3" s="1"/>
  <c r="H381" i="3"/>
  <c r="AC381" i="3"/>
  <c r="H382" i="3"/>
  <c r="AC382" i="3"/>
  <c r="H383" i="3"/>
  <c r="AC383" i="3"/>
  <c r="H384" i="3"/>
  <c r="AC384" i="3"/>
  <c r="H385" i="3"/>
  <c r="AC385" i="3"/>
  <c r="H386" i="3"/>
  <c r="AC386" i="3"/>
  <c r="G386" i="3"/>
  <c r="H387" i="3"/>
  <c r="AC387" i="3"/>
  <c r="G387" i="3" s="1"/>
  <c r="H388" i="3"/>
  <c r="AC388" i="3"/>
  <c r="G388" i="3" s="1"/>
  <c r="H389" i="3"/>
  <c r="AC389" i="3"/>
  <c r="H390" i="3"/>
  <c r="AC390" i="3"/>
  <c r="H391" i="3"/>
  <c r="AC391" i="3"/>
  <c r="H392" i="3"/>
  <c r="AC392" i="3"/>
  <c r="H393" i="3"/>
  <c r="AC393" i="3"/>
  <c r="H394" i="3"/>
  <c r="AC394" i="3"/>
  <c r="G394" i="3"/>
  <c r="H395" i="3"/>
  <c r="AC395" i="3"/>
  <c r="G395" i="3" s="1"/>
  <c r="H396" i="3"/>
  <c r="AC396" i="3"/>
  <c r="G396" i="3" s="1"/>
  <c r="H397" i="3"/>
  <c r="AC397" i="3"/>
  <c r="H398" i="3"/>
  <c r="AC398" i="3"/>
  <c r="H399" i="3"/>
  <c r="AC399" i="3"/>
  <c r="H400" i="3"/>
  <c r="AC400" i="3"/>
  <c r="H401" i="3"/>
  <c r="AC401" i="3"/>
  <c r="H402" i="3"/>
  <c r="AC402" i="3"/>
  <c r="G402" i="3"/>
  <c r="H403" i="3"/>
  <c r="AC403" i="3"/>
  <c r="G403" i="3" s="1"/>
  <c r="H404" i="3"/>
  <c r="AC404" i="3"/>
  <c r="G404" i="3" s="1"/>
  <c r="H405" i="3"/>
  <c r="AC405" i="3"/>
  <c r="H406" i="3"/>
  <c r="AC406" i="3"/>
  <c r="H407" i="3"/>
  <c r="AC407" i="3"/>
  <c r="H408" i="3"/>
  <c r="AC408" i="3"/>
  <c r="H409" i="3"/>
  <c r="AC409" i="3"/>
  <c r="H410" i="3"/>
  <c r="AC410" i="3"/>
  <c r="G410" i="3"/>
  <c r="H411" i="3"/>
  <c r="AC411" i="3"/>
  <c r="G411" i="3" s="1"/>
  <c r="H412" i="3"/>
  <c r="AC412" i="3"/>
  <c r="G412" i="3" s="1"/>
  <c r="H413" i="3"/>
  <c r="AC413" i="3"/>
  <c r="H414" i="3"/>
  <c r="AC414" i="3"/>
  <c r="H415" i="3"/>
  <c r="AC415" i="3"/>
  <c r="H416" i="3"/>
  <c r="AC416" i="3"/>
  <c r="H417" i="3"/>
  <c r="AC417" i="3"/>
  <c r="H418" i="3"/>
  <c r="AC418" i="3"/>
  <c r="G418" i="3"/>
  <c r="H419" i="3"/>
  <c r="AC419" i="3"/>
  <c r="G419" i="3" s="1"/>
  <c r="H420" i="3"/>
  <c r="AC420" i="3"/>
  <c r="G420" i="3" s="1"/>
  <c r="H421" i="3"/>
  <c r="AC421" i="3"/>
  <c r="H422" i="3"/>
  <c r="AC422" i="3"/>
  <c r="H423" i="3"/>
  <c r="AC423" i="3"/>
  <c r="H424" i="3"/>
  <c r="AC424" i="3"/>
  <c r="H425" i="3"/>
  <c r="AC425" i="3"/>
  <c r="H426" i="3"/>
  <c r="AC426" i="3"/>
  <c r="G426" i="3"/>
  <c r="H427" i="3"/>
  <c r="AC427" i="3"/>
  <c r="G427" i="3" s="1"/>
  <c r="H428" i="3"/>
  <c r="AC428" i="3"/>
  <c r="G428" i="3" s="1"/>
  <c r="H429" i="3"/>
  <c r="AC429" i="3"/>
  <c r="H430" i="3"/>
  <c r="AC430" i="3"/>
  <c r="H431" i="3"/>
  <c r="AC431" i="3"/>
  <c r="H432" i="3"/>
  <c r="AC432" i="3"/>
  <c r="H433" i="3"/>
  <c r="AC433" i="3"/>
  <c r="H434" i="3"/>
  <c r="AC434" i="3"/>
  <c r="G434" i="3"/>
  <c r="H435" i="3"/>
  <c r="AC435" i="3"/>
  <c r="G435" i="3" s="1"/>
  <c r="H436" i="3"/>
  <c r="AC436" i="3"/>
  <c r="G436" i="3" s="1"/>
  <c r="H437" i="3"/>
  <c r="AC437" i="3"/>
  <c r="H438" i="3"/>
  <c r="AC438" i="3"/>
  <c r="H439" i="3"/>
  <c r="AC439" i="3"/>
  <c r="H440" i="3"/>
  <c r="AC440" i="3"/>
  <c r="H441" i="3"/>
  <c r="AC441" i="3"/>
  <c r="H442" i="3"/>
  <c r="AC442" i="3"/>
  <c r="G442" i="3"/>
  <c r="H443" i="3"/>
  <c r="AC443" i="3"/>
  <c r="G443" i="3" s="1"/>
  <c r="H444" i="3"/>
  <c r="AC444" i="3"/>
  <c r="G444" i="3" s="1"/>
  <c r="H445" i="3"/>
  <c r="AC445" i="3"/>
  <c r="H446" i="3"/>
  <c r="AC446" i="3"/>
  <c r="H447" i="3"/>
  <c r="AC447" i="3"/>
  <c r="H448" i="3"/>
  <c r="AC448" i="3"/>
  <c r="H449" i="3"/>
  <c r="AC449" i="3"/>
  <c r="H450" i="3"/>
  <c r="AC450" i="3"/>
  <c r="G450" i="3"/>
  <c r="H451" i="3"/>
  <c r="AC451" i="3"/>
  <c r="G451" i="3" s="1"/>
  <c r="H452" i="3"/>
  <c r="AC452" i="3"/>
  <c r="G452" i="3" s="1"/>
  <c r="H453" i="3"/>
  <c r="AC453" i="3"/>
  <c r="H454" i="3"/>
  <c r="AC454" i="3"/>
  <c r="H455" i="3"/>
  <c r="AC455" i="3"/>
  <c r="H456" i="3"/>
  <c r="AC456" i="3"/>
  <c r="H457" i="3"/>
  <c r="AC457" i="3"/>
  <c r="H458" i="3"/>
  <c r="AC458" i="3"/>
  <c r="G458" i="3"/>
  <c r="H459" i="3"/>
  <c r="AC459" i="3"/>
  <c r="G459" i="3" s="1"/>
  <c r="H460" i="3"/>
  <c r="AC460" i="3"/>
  <c r="G460" i="3" s="1"/>
  <c r="H461" i="3"/>
  <c r="AC461" i="3"/>
  <c r="H462" i="3"/>
  <c r="AC462" i="3"/>
  <c r="H463" i="3"/>
  <c r="AC463" i="3"/>
  <c r="H464" i="3"/>
  <c r="AC464" i="3"/>
  <c r="H465" i="3"/>
  <c r="AC465" i="3"/>
  <c r="H466" i="3"/>
  <c r="AC466" i="3"/>
  <c r="G466" i="3"/>
  <c r="H467" i="3"/>
  <c r="AC467" i="3"/>
  <c r="G467" i="3" s="1"/>
  <c r="H468" i="3"/>
  <c r="AC468" i="3"/>
  <c r="G468" i="3" s="1"/>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G482" i="3"/>
  <c r="H483" i="3"/>
  <c r="AC483" i="3"/>
  <c r="G483" i="3" s="1"/>
  <c r="H484" i="3"/>
  <c r="AC484" i="3"/>
  <c r="G484" i="3" s="1"/>
  <c r="H485" i="3"/>
  <c r="AC485" i="3"/>
  <c r="H486" i="3"/>
  <c r="AC486" i="3"/>
  <c r="H487" i="3"/>
  <c r="AC487" i="3"/>
  <c r="H488" i="3"/>
  <c r="AC488" i="3"/>
  <c r="H489" i="3"/>
  <c r="AC489" i="3"/>
  <c r="H490" i="3"/>
  <c r="AC490" i="3"/>
  <c r="G490" i="3"/>
  <c r="H491" i="3"/>
  <c r="AC491" i="3"/>
  <c r="G491" i="3" s="1"/>
  <c r="H492" i="3"/>
  <c r="AC492" i="3"/>
  <c r="G492" i="3" s="1"/>
  <c r="H493" i="3"/>
  <c r="AC493" i="3"/>
  <c r="H494" i="3"/>
  <c r="AC494" i="3"/>
  <c r="H495" i="3"/>
  <c r="AC495" i="3"/>
  <c r="H496" i="3"/>
  <c r="AC496" i="3"/>
  <c r="H497" i="3"/>
  <c r="AC497" i="3"/>
  <c r="H498" i="3"/>
  <c r="AC498" i="3"/>
  <c r="G498" i="3"/>
  <c r="H499" i="3"/>
  <c r="AC499" i="3"/>
  <c r="G499" i="3" s="1"/>
  <c r="H500" i="3"/>
  <c r="AC500" i="3"/>
  <c r="G500" i="3" s="1"/>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G514" i="3"/>
  <c r="H515" i="3"/>
  <c r="AC515" i="3"/>
  <c r="G515" i="3" s="1"/>
  <c r="H516" i="3"/>
  <c r="AC516" i="3"/>
  <c r="G516" i="3" s="1"/>
  <c r="H517" i="3"/>
  <c r="AC517" i="3"/>
  <c r="H518" i="3"/>
  <c r="AC518" i="3"/>
  <c r="H519" i="3"/>
  <c r="AC519" i="3"/>
  <c r="H520" i="3"/>
  <c r="AC520" i="3"/>
  <c r="H521" i="3"/>
  <c r="AC521" i="3"/>
  <c r="H522" i="3"/>
  <c r="AC522" i="3"/>
  <c r="G522" i="3"/>
  <c r="H523" i="3"/>
  <c r="AC523" i="3"/>
  <c r="G523" i="3" s="1"/>
  <c r="H524" i="3"/>
  <c r="AC524" i="3"/>
  <c r="G524" i="3" s="1"/>
  <c r="H525" i="3"/>
  <c r="AC525" i="3"/>
  <c r="H526" i="3"/>
  <c r="AC526" i="3"/>
  <c r="H527" i="3"/>
  <c r="AC527" i="3"/>
  <c r="H528" i="3"/>
  <c r="AC528" i="3"/>
  <c r="H529" i="3"/>
  <c r="AC529" i="3"/>
  <c r="H530" i="3"/>
  <c r="AC530" i="3"/>
  <c r="G530" i="3"/>
  <c r="H531" i="3"/>
  <c r="AC531" i="3"/>
  <c r="G531" i="3" s="1"/>
  <c r="H532" i="3"/>
  <c r="AC532" i="3"/>
  <c r="G532" i="3" s="1"/>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G546" i="3"/>
  <c r="H547" i="3"/>
  <c r="AC547" i="3"/>
  <c r="G547" i="3" s="1"/>
  <c r="H548" i="3"/>
  <c r="AC548" i="3"/>
  <c r="G548" i="3" s="1"/>
  <c r="H549" i="3"/>
  <c r="AC549" i="3"/>
  <c r="H550" i="3"/>
  <c r="AC550" i="3"/>
  <c r="H551" i="3"/>
  <c r="AC551" i="3"/>
  <c r="H552" i="3"/>
  <c r="AC552" i="3"/>
  <c r="H553" i="3"/>
  <c r="AC553" i="3"/>
  <c r="H554" i="3"/>
  <c r="AC554" i="3"/>
  <c r="G554" i="3"/>
  <c r="H555" i="3"/>
  <c r="AC555" i="3"/>
  <c r="G555" i="3" s="1"/>
  <c r="H556" i="3"/>
  <c r="AC556" i="3"/>
  <c r="G556" i="3" s="1"/>
  <c r="H557" i="3"/>
  <c r="AC557" i="3"/>
  <c r="H558" i="3"/>
  <c r="AC558" i="3"/>
  <c r="H559" i="3"/>
  <c r="AC559" i="3"/>
  <c r="H560" i="3"/>
  <c r="AC560" i="3"/>
  <c r="H561" i="3"/>
  <c r="AC561" i="3"/>
  <c r="H562" i="3"/>
  <c r="AC562" i="3"/>
  <c r="G562" i="3"/>
  <c r="H563" i="3"/>
  <c r="AC563" i="3"/>
  <c r="G563" i="3" s="1"/>
  <c r="H564" i="3"/>
  <c r="AC564" i="3"/>
  <c r="G564" i="3" s="1"/>
  <c r="H565" i="3"/>
  <c r="AC565" i="3"/>
  <c r="H566" i="3"/>
  <c r="AC566" i="3"/>
  <c r="H567" i="3"/>
  <c r="AC567" i="3"/>
  <c r="H568" i="3"/>
  <c r="AC568" i="3"/>
  <c r="H569" i="3"/>
  <c r="AC569" i="3"/>
  <c r="H570" i="3"/>
  <c r="AC570" i="3"/>
  <c r="G570" i="3"/>
  <c r="H571" i="3"/>
  <c r="AC571" i="3"/>
  <c r="G571" i="3" s="1"/>
  <c r="H572" i="3"/>
  <c r="AC572" i="3"/>
  <c r="G572" i="3" s="1"/>
  <c r="H573" i="3"/>
  <c r="AC573" i="3"/>
  <c r="H574" i="3"/>
  <c r="AC574" i="3"/>
  <c r="H575" i="3"/>
  <c r="AC575" i="3"/>
  <c r="H576" i="3"/>
  <c r="AC576" i="3"/>
  <c r="H577" i="3"/>
  <c r="AC577" i="3"/>
  <c r="H578" i="3"/>
  <c r="AC578" i="3"/>
  <c r="G578" i="3"/>
  <c r="H579" i="3"/>
  <c r="AC579" i="3"/>
  <c r="G579" i="3" s="1"/>
  <c r="H580" i="3"/>
  <c r="AC580" i="3"/>
  <c r="G580" i="3" s="1"/>
  <c r="H581" i="3"/>
  <c r="AC581" i="3"/>
  <c r="H582" i="3"/>
  <c r="AC582" i="3"/>
  <c r="H583" i="3"/>
  <c r="AC583" i="3"/>
  <c r="H584" i="3"/>
  <c r="AC584" i="3"/>
  <c r="H585" i="3"/>
  <c r="AC585" i="3"/>
  <c r="H586" i="3"/>
  <c r="AC586" i="3"/>
  <c r="G586" i="3"/>
  <c r="H587" i="3"/>
  <c r="AC587" i="3"/>
  <c r="G587" i="3" s="1"/>
  <c r="AT5" i="3"/>
  <c r="AD7" i="71"/>
  <c r="AG7" i="71"/>
  <c r="AH7" i="71"/>
  <c r="AE7" i="71"/>
  <c r="AF7" i="71" s="1"/>
  <c r="X6" i="71"/>
  <c r="AB6" i="71"/>
  <c r="AA6" i="71"/>
  <c r="Y6" i="71"/>
  <c r="Z6" i="71"/>
  <c r="T7" i="71"/>
  <c r="S7" i="71"/>
  <c r="V7" i="71"/>
  <c r="AB7" i="71"/>
  <c r="Y7" i="71"/>
  <c r="Z7" i="71"/>
  <c r="X7" i="71"/>
  <c r="AA7" i="71"/>
  <c r="A2" i="53"/>
  <c r="K59" i="67"/>
  <c r="P61" i="67" s="1"/>
  <c r="K59" i="15"/>
  <c r="P74" i="15" s="1"/>
  <c r="D116" i="39"/>
  <c r="E116" i="39"/>
  <c r="F116" i="39"/>
  <c r="G116" i="39"/>
  <c r="H116" i="39"/>
  <c r="I116" i="39"/>
  <c r="J116" i="39"/>
  <c r="K116" i="39"/>
  <c r="L116" i="39"/>
  <c r="M116" i="39"/>
  <c r="C116" i="39"/>
  <c r="A21" i="62"/>
  <c r="A20" i="62"/>
  <c r="B66" i="72" s="1"/>
  <c r="A22" i="51"/>
  <c r="A21" i="51"/>
  <c r="A20" i="51"/>
  <c r="L20" i="4"/>
  <c r="L21" i="4"/>
  <c r="A14" i="62"/>
  <c r="B60" i="72"/>
  <c r="A13" i="62"/>
  <c r="A19" i="62"/>
  <c r="B65" i="72" s="1"/>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I9" i="43"/>
  <c r="AH9" i="43"/>
  <c r="AH12" i="43" s="1"/>
  <c r="AG9" i="43"/>
  <c r="AG12" i="43" s="1"/>
  <c r="AF9" i="43"/>
  <c r="AF12" i="43" s="1"/>
  <c r="AE9" i="43"/>
  <c r="AE12" i="43" s="1"/>
  <c r="AD9" i="43"/>
  <c r="AD12" i="43" s="1"/>
  <c r="AC9" i="43"/>
  <c r="AC12" i="43" s="1"/>
  <c r="AB9" i="43"/>
  <c r="AB12" i="43" s="1"/>
  <c r="AA9" i="43"/>
  <c r="AA12" i="43" s="1"/>
  <c r="Z9" i="43"/>
  <c r="Z12" i="43" s="1"/>
  <c r="AA10" i="43"/>
  <c r="K49" i="9"/>
  <c r="E107" i="9"/>
  <c r="A122" i="9"/>
  <c r="A8" i="52" s="1"/>
  <c r="E111" i="9"/>
  <c r="A126" i="9" s="1"/>
  <c r="E109" i="9"/>
  <c r="A124" i="9" s="1"/>
  <c r="B44" i="72"/>
  <c r="B42" i="72"/>
  <c r="B69" i="72"/>
  <c r="B68" i="72"/>
  <c r="B63" i="72"/>
  <c r="B62" i="72"/>
  <c r="B16" i="72"/>
  <c r="B59" i="72"/>
  <c r="B58" i="72"/>
  <c r="B67" i="72"/>
  <c r="B10" i="72"/>
  <c r="C53" i="10"/>
  <c r="B51" i="10"/>
  <c r="B19" i="72"/>
  <c r="A18" i="51"/>
  <c r="B13" i="72" s="1"/>
  <c r="C8" i="68"/>
  <c r="B49" i="48"/>
  <c r="B5" i="72"/>
  <c r="I19" i="43"/>
  <c r="D72" i="71"/>
  <c r="F71" i="71"/>
  <c r="F70" i="71"/>
  <c r="F69" i="71" s="1"/>
  <c r="E71" i="71"/>
  <c r="E70" i="71" s="1"/>
  <c r="E69" i="71" s="1"/>
  <c r="C71" i="71"/>
  <c r="D71" i="71" s="1"/>
  <c r="B71" i="71"/>
  <c r="B70" i="71" s="1"/>
  <c r="B69" i="71" s="1"/>
  <c r="D68" i="71"/>
  <c r="F67" i="71"/>
  <c r="F66" i="71"/>
  <c r="F65" i="71" s="1"/>
  <c r="E67" i="71"/>
  <c r="E66" i="71" s="1"/>
  <c r="E65" i="71" s="1"/>
  <c r="C67" i="71"/>
  <c r="D67" i="71" s="1"/>
  <c r="B67" i="71"/>
  <c r="B66" i="71" s="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s="1"/>
  <c r="F50" i="71"/>
  <c r="F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s="1"/>
  <c r="C38" i="71" s="1"/>
  <c r="Q36" i="71"/>
  <c r="F37" i="71" s="1"/>
  <c r="P36" i="71"/>
  <c r="E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O24" i="71"/>
  <c r="C25" i="71"/>
  <c r="N24" i="71"/>
  <c r="B25" i="71"/>
  <c r="B26" i="71" s="1"/>
  <c r="B27" i="71" s="1"/>
  <c r="S27" i="71" s="1"/>
  <c r="D24" i="71"/>
  <c r="Q23" i="71"/>
  <c r="P23" i="71"/>
  <c r="O23" i="71"/>
  <c r="N23" i="71"/>
  <c r="AB22" i="71"/>
  <c r="AA22" i="71"/>
  <c r="Y22" i="71"/>
  <c r="Z22" i="71" s="1"/>
  <c r="X22" i="71"/>
  <c r="AB21" i="71"/>
  <c r="Y21" i="71"/>
  <c r="Z21" i="71" s="1"/>
  <c r="AB19" i="71"/>
  <c r="Y19" i="71"/>
  <c r="Z19" i="71" s="1"/>
  <c r="AB18" i="71"/>
  <c r="Y18" i="71"/>
  <c r="Z18" i="71"/>
  <c r="AB17" i="71"/>
  <c r="Y17" i="71"/>
  <c r="Z17" i="71" s="1"/>
  <c r="AB15" i="71"/>
  <c r="Y15" i="71"/>
  <c r="Z15" i="71" s="1"/>
  <c r="AB14" i="71"/>
  <c r="Y14" i="71"/>
  <c r="Z14" i="71" s="1"/>
  <c r="AB13" i="71"/>
  <c r="Y13" i="71"/>
  <c r="Z13" i="71"/>
  <c r="X12" i="71"/>
  <c r="AA12" i="71"/>
  <c r="X16" i="71"/>
  <c r="X20" i="71"/>
  <c r="AA20" i="71"/>
  <c r="N51" i="71"/>
  <c r="AA16" i="71"/>
  <c r="Y12" i="71"/>
  <c r="Z12" i="71"/>
  <c r="AB12" i="71"/>
  <c r="X13" i="71"/>
  <c r="AA13" i="71"/>
  <c r="X14" i="71"/>
  <c r="AA14" i="71"/>
  <c r="X15" i="71"/>
  <c r="AA15" i="71"/>
  <c r="Y16" i="71"/>
  <c r="Z16" i="71" s="1"/>
  <c r="AB16" i="71"/>
  <c r="X17" i="71"/>
  <c r="AA17" i="71"/>
  <c r="X18" i="71"/>
  <c r="AA18" i="71"/>
  <c r="X19" i="71"/>
  <c r="AA19" i="71"/>
  <c r="Y20" i="71"/>
  <c r="Z20" i="71" s="1"/>
  <c r="AB20" i="71"/>
  <c r="X21" i="71"/>
  <c r="AA21" i="71"/>
  <c r="Y3" i="71"/>
  <c r="Z3" i="71" s="1"/>
  <c r="Y8" i="71"/>
  <c r="Z8" i="71" s="1"/>
  <c r="Y9" i="71"/>
  <c r="Z9" i="71" s="1"/>
  <c r="Y10" i="71"/>
  <c r="Z10" i="71" s="1"/>
  <c r="Y11" i="71"/>
  <c r="Z11" i="71" s="1"/>
  <c r="X8" i="71"/>
  <c r="X9" i="71"/>
  <c r="X10" i="71"/>
  <c r="X3" i="71"/>
  <c r="X11" i="71"/>
  <c r="U51" i="71"/>
  <c r="E50" i="71"/>
  <c r="E49" i="71" s="1"/>
  <c r="D51" i="71"/>
  <c r="E54" i="71"/>
  <c r="E53" i="71" s="1"/>
  <c r="C58" i="71"/>
  <c r="D58" i="71" s="1"/>
  <c r="E58" i="71"/>
  <c r="E57" i="71" s="1"/>
  <c r="D59" i="71"/>
  <c r="E62" i="71"/>
  <c r="E61" i="71" s="1"/>
  <c r="D63" i="71"/>
  <c r="C70" i="71"/>
  <c r="D70" i="71"/>
  <c r="T11" i="71"/>
  <c r="S11" i="71"/>
  <c r="AB3" i="71"/>
  <c r="AB8" i="71"/>
  <c r="AB9" i="71"/>
  <c r="AB10" i="71"/>
  <c r="AB11" i="71"/>
  <c r="AA3" i="71"/>
  <c r="AA8" i="71"/>
  <c r="AA9" i="71"/>
  <c r="AA10" i="71"/>
  <c r="AA11" i="71"/>
  <c r="C69" i="71"/>
  <c r="D69" i="71"/>
  <c r="V11" i="71"/>
  <c r="O27" i="6"/>
  <c r="N27" i="6"/>
  <c r="P20" i="6"/>
  <c r="P21" i="6"/>
  <c r="P22" i="6"/>
  <c r="P23" i="6"/>
  <c r="P24" i="6"/>
  <c r="P25" i="6"/>
  <c r="P26" i="6"/>
  <c r="P19" i="6"/>
  <c r="AP8" i="1"/>
  <c r="E22" i="6"/>
  <c r="AP10" i="1"/>
  <c r="AP11" i="1"/>
  <c r="AP12" i="1"/>
  <c r="AP13" i="1"/>
  <c r="E32" i="6"/>
  <c r="L21" i="6"/>
  <c r="L24" i="6"/>
  <c r="L25" i="6"/>
  <c r="L26" i="6"/>
  <c r="A7" i="70"/>
  <c r="A8" i="70"/>
  <c r="A9" i="70"/>
  <c r="E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G20" i="20"/>
  <c r="B86" i="43" s="1"/>
  <c r="B75" i="43"/>
  <c r="B55" i="43"/>
  <c r="B66" i="43"/>
  <c r="C29" i="39"/>
  <c r="H25" i="40"/>
  <c r="J25" i="40"/>
  <c r="J18" i="36"/>
  <c r="H18" i="35"/>
  <c r="AB18" i="35" s="1"/>
  <c r="S18" i="35"/>
  <c r="J18" i="35"/>
  <c r="AC18" i="35" s="1"/>
  <c r="H21" i="37"/>
  <c r="F21" i="37"/>
  <c r="AA21" i="37" s="1"/>
  <c r="H21" i="34"/>
  <c r="AB21" i="34" s="1"/>
  <c r="H21" i="33"/>
  <c r="U21" i="33" s="1"/>
  <c r="F21" i="33"/>
  <c r="AA21" i="33" s="1"/>
  <c r="E83" i="21"/>
  <c r="F83" i="21" s="1"/>
  <c r="G83" i="21" s="1"/>
  <c r="H1" i="69"/>
  <c r="AC25" i="40"/>
  <c r="W25" i="40"/>
  <c r="AB25" i="40"/>
  <c r="U25" i="40"/>
  <c r="AC18" i="36"/>
  <c r="W18" i="36"/>
  <c r="AB21" i="37"/>
  <c r="U21" i="37"/>
  <c r="U21" i="34"/>
  <c r="S21" i="33"/>
  <c r="U18" i="35"/>
  <c r="W18" i="35"/>
  <c r="J21" i="37"/>
  <c r="AC21" i="37" s="1"/>
  <c r="J21" i="34"/>
  <c r="AC21" i="34" s="1"/>
  <c r="J21" i="33"/>
  <c r="AC21" i="33" s="1"/>
  <c r="F38" i="69"/>
  <c r="E37" i="69"/>
  <c r="F36" i="69"/>
  <c r="F35" i="69"/>
  <c r="F21" i="69"/>
  <c r="C21" i="69" s="1"/>
  <c r="F20" i="69"/>
  <c r="E10" i="69"/>
  <c r="E9" i="69"/>
  <c r="F7" i="69"/>
  <c r="C7" i="69"/>
  <c r="W21" i="37"/>
  <c r="W21" i="33"/>
  <c r="F38" i="68"/>
  <c r="E37" i="68"/>
  <c r="F36" i="68"/>
  <c r="F35" i="68"/>
  <c r="F21" i="68"/>
  <c r="C21" i="68" s="1"/>
  <c r="F20" i="68"/>
  <c r="E10" i="68"/>
  <c r="E9" i="68"/>
  <c r="F7" i="68"/>
  <c r="W21" i="21"/>
  <c r="Q72" i="67"/>
  <c r="Q59" i="67"/>
  <c r="Q58" i="67"/>
  <c r="Q51" i="67"/>
  <c r="J50" i="67"/>
  <c r="D46" i="67"/>
  <c r="F33" i="67"/>
  <c r="F61" i="67"/>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D15" i="4"/>
  <c r="F9" i="1" s="1"/>
  <c r="G9" i="1" s="1"/>
  <c r="F10" i="39" s="1"/>
  <c r="F11" i="1"/>
  <c r="F12" i="1"/>
  <c r="F13" i="1"/>
  <c r="D6" i="1"/>
  <c r="D9" i="1"/>
  <c r="D11" i="1"/>
  <c r="D12" i="1"/>
  <c r="D13" i="1"/>
  <c r="D8" i="1"/>
  <c r="A7" i="1"/>
  <c r="B7" i="1" s="1"/>
  <c r="E7" i="1" s="1"/>
  <c r="A8" i="1"/>
  <c r="B8" i="1" s="1"/>
  <c r="E8" i="1" s="1"/>
  <c r="A9" i="1"/>
  <c r="K9" i="1" s="1"/>
  <c r="AP9" i="1" s="1"/>
  <c r="A10" i="1"/>
  <c r="A11" i="1"/>
  <c r="R11" i="1" s="1"/>
  <c r="A12" i="1"/>
  <c r="A13" i="1"/>
  <c r="K13" i="1" s="1"/>
  <c r="M13" i="1" s="1"/>
  <c r="A6" i="1"/>
  <c r="G1" i="91" s="1"/>
  <c r="E23" i="6"/>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A5" i="62"/>
  <c r="B72" i="72" s="1"/>
  <c r="A4" i="62"/>
  <c r="B70" i="72" s="1"/>
  <c r="F33" i="9"/>
  <c r="B37" i="48"/>
  <c r="B2" i="72"/>
  <c r="B13" i="53"/>
  <c r="B29" i="72"/>
  <c r="R35" i="4"/>
  <c r="Q35" i="4"/>
  <c r="P35" i="4"/>
  <c r="O35" i="4"/>
  <c r="N35" i="4"/>
  <c r="M35" i="4"/>
  <c r="L35" i="4"/>
  <c r="K34" i="4"/>
  <c r="T34" i="4" s="1"/>
  <c r="G13" i="1"/>
  <c r="G11" i="1"/>
  <c r="I15" i="4"/>
  <c r="H15" i="4"/>
  <c r="G15" i="4"/>
  <c r="F10" i="1" s="1"/>
  <c r="E15" i="4"/>
  <c r="F19" i="4"/>
  <c r="F2" i="52"/>
  <c r="B50" i="72" s="1"/>
  <c r="D2" i="52"/>
  <c r="B46" i="72" s="1"/>
  <c r="B8" i="53"/>
  <c r="B23" i="72" s="1"/>
  <c r="L4" i="9"/>
  <c r="B17" i="72"/>
  <c r="B15" i="72"/>
  <c r="A3" i="51"/>
  <c r="C8" i="11"/>
  <c r="B2" i="49"/>
  <c r="B23" i="49" s="1"/>
  <c r="B40" i="48"/>
  <c r="B3" i="72"/>
  <c r="I2" i="43"/>
  <c r="N1" i="43"/>
  <c r="J55" i="39"/>
  <c r="H34" i="43"/>
  <c r="H35" i="43"/>
  <c r="H36" i="43"/>
  <c r="H37" i="43"/>
  <c r="H38" i="43"/>
  <c r="H39" i="43"/>
  <c r="A7" i="43"/>
  <c r="F33" i="15"/>
  <c r="F61" i="15"/>
  <c r="M19" i="15"/>
  <c r="B22" i="1"/>
  <c r="B23" i="1"/>
  <c r="B43" i="1"/>
  <c r="D78" i="9" s="1"/>
  <c r="E20" i="6"/>
  <c r="F23" i="15"/>
  <c r="D24" i="15" s="1"/>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D3" i="3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AC30" i="36" s="1"/>
  <c r="H30" i="36"/>
  <c r="F30" i="36"/>
  <c r="AA30" i="36" s="1"/>
  <c r="C26" i="35"/>
  <c r="C79" i="35" s="1"/>
  <c r="J31" i="35"/>
  <c r="W31" i="35" s="1"/>
  <c r="H31" i="35"/>
  <c r="F31" i="35"/>
  <c r="AA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S38" i="34"/>
  <c r="D112" i="34"/>
  <c r="E112" i="34"/>
  <c r="F112" i="34" s="1"/>
  <c r="G112" i="34" s="1"/>
  <c r="J37" i="34" s="1"/>
  <c r="F40" i="33"/>
  <c r="J41" i="33"/>
  <c r="W41" i="33" s="1"/>
  <c r="D113" i="33"/>
  <c r="F37" i="33"/>
  <c r="D111" i="33"/>
  <c r="E111" i="33" s="1"/>
  <c r="F111" i="33" s="1"/>
  <c r="S515" i="31"/>
  <c r="S516" i="31"/>
  <c r="S517" i="31"/>
  <c r="S518" i="31"/>
  <c r="S519" i="31"/>
  <c r="S520" i="31"/>
  <c r="S521" i="31"/>
  <c r="S522" i="31"/>
  <c r="S523" i="31"/>
  <c r="S524" i="31"/>
  <c r="F41" i="21"/>
  <c r="AA41" i="21" s="1"/>
  <c r="H41" i="21"/>
  <c r="U41" i="21" s="1"/>
  <c r="I81" i="39"/>
  <c r="J81" i="39" s="1"/>
  <c r="K81" i="39" s="1"/>
  <c r="L81" i="39" s="1"/>
  <c r="M81" i="39" s="1"/>
  <c r="D76" i="40"/>
  <c r="E76" i="40" s="1"/>
  <c r="F76" i="40" s="1"/>
  <c r="G76" i="40" s="1"/>
  <c r="H76" i="40" s="1"/>
  <c r="I76" i="40" s="1"/>
  <c r="J76" i="40" s="1"/>
  <c r="K76" i="40" s="1"/>
  <c r="L76" i="40" s="1"/>
  <c r="M76" i="40" s="1"/>
  <c r="B120" i="40"/>
  <c r="B118" i="40"/>
  <c r="J39" i="40" s="1"/>
  <c r="AC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W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J8" i="40"/>
  <c r="AC8" i="40"/>
  <c r="H8" i="40"/>
  <c r="AB8" i="40"/>
  <c r="F8" i="40"/>
  <c r="AA8" i="40"/>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5" i="39"/>
  <c r="E105" i="39" s="1"/>
  <c r="F105" i="39" s="1"/>
  <c r="G105" i="39" s="1"/>
  <c r="H105" i="39" s="1"/>
  <c r="I105" i="39" s="1"/>
  <c r="J105" i="39" s="1"/>
  <c r="K105" i="39" s="1"/>
  <c r="L105" i="39" s="1"/>
  <c r="M105" i="39" s="1"/>
  <c r="D99" i="39"/>
  <c r="H25"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F89" i="39"/>
  <c r="G89" i="39" s="1"/>
  <c r="B86" i="39"/>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U8" i="39"/>
  <c r="F8" i="39"/>
  <c r="AA8" i="39"/>
  <c r="C20" i="36"/>
  <c r="C20" i="35"/>
  <c r="C16" i="36"/>
  <c r="C16" i="35"/>
  <c r="C14" i="36"/>
  <c r="C14" i="35"/>
  <c r="B80" i="37"/>
  <c r="H25" i="37"/>
  <c r="U25" i="37" s="1"/>
  <c r="B110" i="37"/>
  <c r="J39" i="37" s="1"/>
  <c r="B108" i="37"/>
  <c r="C23" i="37"/>
  <c r="C19" i="37"/>
  <c r="C17" i="37"/>
  <c r="C15" i="37"/>
  <c r="B112" i="37"/>
  <c r="D107" i="37"/>
  <c r="E107" i="37" s="1"/>
  <c r="F107" i="37" s="1"/>
  <c r="G107" i="37" s="1"/>
  <c r="H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G75" i="37" s="1"/>
  <c r="D73" i="37"/>
  <c r="E73" i="37" s="1"/>
  <c r="F73" i="37" s="1"/>
  <c r="G73" i="37" s="1"/>
  <c r="D71" i="37"/>
  <c r="E71" i="37" s="1"/>
  <c r="F71" i="37" s="1"/>
  <c r="G71" i="37" s="1"/>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D62" i="36"/>
  <c r="E62" i="36" s="1"/>
  <c r="F62" i="36" s="1"/>
  <c r="G62" i="36" s="1"/>
  <c r="B59" i="36"/>
  <c r="F13" i="36" s="1"/>
  <c r="S13" i="36" s="1"/>
  <c r="B57" i="36"/>
  <c r="J12" i="36" s="1"/>
  <c r="W12" i="36" s="1"/>
  <c r="B55" i="36"/>
  <c r="F54" i="36"/>
  <c r="G54" i="36"/>
  <c r="H54" i="36" s="1"/>
  <c r="I54" i="36" s="1"/>
  <c r="C51" i="36"/>
  <c r="J9"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B73" i="35"/>
  <c r="H23" i="35" s="1"/>
  <c r="U23" i="35" s="1"/>
  <c r="B57" i="35"/>
  <c r="B61" i="35"/>
  <c r="B59" i="35"/>
  <c r="J12" i="35"/>
  <c r="W12" i="35" s="1"/>
  <c r="B131" i="34"/>
  <c r="B129" i="34"/>
  <c r="J46" i="34" s="1"/>
  <c r="B127" i="34"/>
  <c r="B99" i="34"/>
  <c r="F32" i="34" s="1"/>
  <c r="B97" i="34"/>
  <c r="B95" i="34"/>
  <c r="H30" i="34"/>
  <c r="B93" i="34"/>
  <c r="B75" i="34"/>
  <c r="B73" i="34"/>
  <c r="B71" i="34"/>
  <c r="F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D86" i="34"/>
  <c r="D82" i="34"/>
  <c r="E82" i="34" s="1"/>
  <c r="F82" i="34" s="1"/>
  <c r="G82" i="34" s="1"/>
  <c r="D80" i="34"/>
  <c r="E80" i="34" s="1"/>
  <c r="F80" i="34" s="1"/>
  <c r="G80" i="34" s="1"/>
  <c r="D78" i="34"/>
  <c r="E78" i="34" s="1"/>
  <c r="F78" i="34" s="1"/>
  <c r="G78" i="34" s="1"/>
  <c r="E70" i="34"/>
  <c r="M68" i="34"/>
  <c r="L68" i="34"/>
  <c r="K68" i="34"/>
  <c r="J68" i="34"/>
  <c r="I68" i="34"/>
  <c r="H68" i="34"/>
  <c r="G68" i="34"/>
  <c r="F68" i="34"/>
  <c r="E68" i="34"/>
  <c r="D68" i="34"/>
  <c r="C68" i="34"/>
  <c r="C64" i="34"/>
  <c r="J9" i="34" s="1"/>
  <c r="P50" i="34"/>
  <c r="P49" i="34"/>
  <c r="T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Q9" i="34"/>
  <c r="Z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9" i="33"/>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G18" i="20"/>
  <c r="B88" i="43" s="1"/>
  <c r="G19" i="20"/>
  <c r="B85" i="43" s="1"/>
  <c r="G16" i="20"/>
  <c r="B82" i="43" s="1"/>
  <c r="G15" i="20"/>
  <c r="B81" i="43" s="1"/>
  <c r="C24" i="20"/>
  <c r="B73" i="43" s="1"/>
  <c r="B74" i="43"/>
  <c r="B77" i="43"/>
  <c r="B71" i="43"/>
  <c r="B59" i="43"/>
  <c r="C17" i="39"/>
  <c r="B70" i="43"/>
  <c r="E54" i="21"/>
  <c r="F54" i="21" s="1"/>
  <c r="I54" i="21"/>
  <c r="J54" i="21" s="1"/>
  <c r="G54" i="21"/>
  <c r="H54" i="21" s="1"/>
  <c r="D125" i="21"/>
  <c r="D123" i="21"/>
  <c r="E123" i="21" s="1"/>
  <c r="F123" i="21" s="1"/>
  <c r="G123" i="21" s="1"/>
  <c r="H123" i="21" s="1"/>
  <c r="I123" i="21" s="1"/>
  <c r="J123" i="21" s="1"/>
  <c r="K123" i="21" s="1"/>
  <c r="L123" i="21" s="1"/>
  <c r="M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D108" i="21"/>
  <c r="J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s="1"/>
  <c r="D111" i="21"/>
  <c r="E111" i="21"/>
  <c r="F111" i="21"/>
  <c r="C111" i="21"/>
  <c r="E81" i="21"/>
  <c r="F81" i="21" s="1"/>
  <c r="G81" i="21" s="1"/>
  <c r="D77" i="21"/>
  <c r="E77" i="21"/>
  <c r="B130" i="21"/>
  <c r="B128" i="21"/>
  <c r="B126" i="21"/>
  <c r="B98" i="21"/>
  <c r="B96" i="21"/>
  <c r="B94" i="21"/>
  <c r="J29" i="21" s="1"/>
  <c r="AC29" i="21" s="1"/>
  <c r="B92" i="21"/>
  <c r="B90" i="21"/>
  <c r="J27" i="21" s="1"/>
  <c r="W27" i="21" s="1"/>
  <c r="B74" i="21"/>
  <c r="B72" i="21"/>
  <c r="H13" i="21" s="1"/>
  <c r="U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W38" i="21"/>
  <c r="Q38" i="21"/>
  <c r="Z38" i="21" s="1"/>
  <c r="Q39" i="21"/>
  <c r="Z39" i="21" s="1"/>
  <c r="H40" i="21"/>
  <c r="AB40" i="21" s="1"/>
  <c r="Q40" i="21"/>
  <c r="Z40" i="21" s="1"/>
  <c r="Q41" i="21"/>
  <c r="Z41" i="21" s="1"/>
  <c r="Q42" i="21"/>
  <c r="Z42" i="21" s="1"/>
  <c r="Q43" i="21"/>
  <c r="Z43" i="21" s="1"/>
  <c r="Q44" i="21"/>
  <c r="Z44" i="21" s="1"/>
  <c r="Q45" i="21"/>
  <c r="Z45" i="21" s="1"/>
  <c r="Q46" i="21"/>
  <c r="Z46" i="21" s="1"/>
  <c r="P47" i="21"/>
  <c r="P48" i="21"/>
  <c r="P49" i="21"/>
  <c r="E10" i="11"/>
  <c r="E9" i="11"/>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P5" i="3"/>
  <c r="R5" i="3"/>
  <c r="S5" i="3"/>
  <c r="T5" i="3"/>
  <c r="U5" i="3"/>
  <c r="V5" i="3"/>
  <c r="W5" i="3"/>
  <c r="X5" i="3"/>
  <c r="Y5" i="3"/>
  <c r="Z5" i="3"/>
  <c r="AA5" i="3"/>
  <c r="AB5" i="3"/>
  <c r="F5" i="3"/>
  <c r="G27" i="6"/>
  <c r="F34" i="21"/>
  <c r="AA34" i="21" s="1"/>
  <c r="H34" i="21"/>
  <c r="AB34" i="21" s="1"/>
  <c r="H38" i="21"/>
  <c r="U38" i="21" s="1"/>
  <c r="F38" i="21"/>
  <c r="S38" i="21" s="1"/>
  <c r="F36" i="21"/>
  <c r="S36" i="21" s="1"/>
  <c r="F39" i="21"/>
  <c r="AA39" i="21" s="1"/>
  <c r="W40" i="21"/>
  <c r="H35" i="21"/>
  <c r="AB35" i="21" s="1"/>
  <c r="U8" i="21"/>
  <c r="H39" i="21"/>
  <c r="U39" i="21"/>
  <c r="W34" i="21"/>
  <c r="H36" i="21"/>
  <c r="U36" i="21" s="1"/>
  <c r="F35" i="21"/>
  <c r="AA35" i="21" s="1"/>
  <c r="H26" i="21"/>
  <c r="J12" i="21"/>
  <c r="AC12" i="21"/>
  <c r="J26" i="21"/>
  <c r="W26" i="21"/>
  <c r="F26" i="21"/>
  <c r="S26" i="21"/>
  <c r="AB41" i="21"/>
  <c r="S41" i="21"/>
  <c r="F45" i="39"/>
  <c r="S45" i="39"/>
  <c r="J45" i="39"/>
  <c r="W45" i="39"/>
  <c r="J44" i="39"/>
  <c r="F36" i="39"/>
  <c r="S36" i="39" s="1"/>
  <c r="H36" i="39"/>
  <c r="AB36" i="39" s="1"/>
  <c r="J35" i="39"/>
  <c r="F35" i="39"/>
  <c r="J36" i="39"/>
  <c r="AC36" i="39" s="1"/>
  <c r="W40" i="39"/>
  <c r="W31" i="37"/>
  <c r="F39" i="37"/>
  <c r="F29" i="36"/>
  <c r="AA29" i="36" s="1"/>
  <c r="F16" i="36"/>
  <c r="AA16" i="36" s="1"/>
  <c r="U9" i="36"/>
  <c r="S30" i="36"/>
  <c r="AA31" i="36"/>
  <c r="AC31" i="36"/>
  <c r="U31" i="36"/>
  <c r="H22" i="35"/>
  <c r="AB22" i="35" s="1"/>
  <c r="W28" i="35"/>
  <c r="U31" i="35"/>
  <c r="S31" i="35"/>
  <c r="F36" i="34"/>
  <c r="J35" i="34"/>
  <c r="H39" i="33"/>
  <c r="AB39" i="33"/>
  <c r="F26" i="33"/>
  <c r="AA26" i="33"/>
  <c r="U33" i="33"/>
  <c r="S40" i="33"/>
  <c r="W39" i="33"/>
  <c r="H39" i="37"/>
  <c r="AB39" i="37"/>
  <c r="F11" i="40"/>
  <c r="AA11" i="40"/>
  <c r="H11" i="40"/>
  <c r="AB11" i="40"/>
  <c r="W8" i="40"/>
  <c r="AC40" i="40"/>
  <c r="AC9" i="40"/>
  <c r="S34" i="40"/>
  <c r="S40" i="40"/>
  <c r="U34" i="40"/>
  <c r="U40" i="40"/>
  <c r="F42" i="39"/>
  <c r="AA42" i="39" s="1"/>
  <c r="F41" i="39"/>
  <c r="S41" i="39" s="1"/>
  <c r="H40" i="39"/>
  <c r="AB40" i="39" s="1"/>
  <c r="H39" i="39"/>
  <c r="U39" i="39" s="1"/>
  <c r="S34" i="39"/>
  <c r="H34" i="39"/>
  <c r="U34" i="39"/>
  <c r="E109" i="39"/>
  <c r="F109" i="39"/>
  <c r="G109" i="39" s="1"/>
  <c r="H109" i="39" s="1"/>
  <c r="I109" i="39" s="1"/>
  <c r="J109" i="39" s="1"/>
  <c r="K109" i="39" s="1"/>
  <c r="L109" i="39" s="1"/>
  <c r="M109" i="39" s="1"/>
  <c r="J23" i="40"/>
  <c r="AC23" i="40" s="1"/>
  <c r="F21" i="40"/>
  <c r="AA21" i="40" s="1"/>
  <c r="J21" i="40"/>
  <c r="W21" i="40" s="1"/>
  <c r="H42" i="39"/>
  <c r="AB42" i="39" s="1"/>
  <c r="J34" i="39"/>
  <c r="AC34" i="39" s="1"/>
  <c r="F101" i="39"/>
  <c r="C25" i="39"/>
  <c r="C27" i="39"/>
  <c r="C21" i="39"/>
  <c r="S40" i="39"/>
  <c r="C15" i="39"/>
  <c r="H32" i="33"/>
  <c r="AB32" i="33"/>
  <c r="H37" i="40"/>
  <c r="U37" i="40"/>
  <c r="H36" i="40"/>
  <c r="AB36" i="40"/>
  <c r="F35" i="40"/>
  <c r="AA35" i="40"/>
  <c r="H23" i="40"/>
  <c r="AB23" i="40"/>
  <c r="H17" i="40"/>
  <c r="U17" i="40"/>
  <c r="J15" i="40"/>
  <c r="W15" i="40"/>
  <c r="J11" i="40"/>
  <c r="W11" i="40"/>
  <c r="AB12" i="35"/>
  <c r="F37" i="39"/>
  <c r="AA37" i="39" s="1"/>
  <c r="J34" i="36"/>
  <c r="U30" i="36"/>
  <c r="J30" i="35"/>
  <c r="W30" i="35" s="1"/>
  <c r="H30" i="35"/>
  <c r="AB30" i="35" s="1"/>
  <c r="F22" i="35"/>
  <c r="AA22" i="35" s="1"/>
  <c r="H10" i="35"/>
  <c r="U10" i="35" s="1"/>
  <c r="F33" i="36"/>
  <c r="AA33" i="36" s="1"/>
  <c r="W30" i="36"/>
  <c r="H16" i="36"/>
  <c r="AB16" i="36" s="1"/>
  <c r="J29" i="36"/>
  <c r="AC29" i="36" s="1"/>
  <c r="F12" i="36"/>
  <c r="AA12" i="36" s="1"/>
  <c r="F24" i="36"/>
  <c r="AA24" i="36" s="1"/>
  <c r="AB8" i="36"/>
  <c r="U8" i="35"/>
  <c r="F14" i="35"/>
  <c r="AA14" i="35" s="1"/>
  <c r="F23" i="35"/>
  <c r="AA23" i="35" s="1"/>
  <c r="J32" i="35"/>
  <c r="AC32" i="35" s="1"/>
  <c r="J16" i="35"/>
  <c r="AC16" i="35" s="1"/>
  <c r="H16" i="35"/>
  <c r="U16" i="35" s="1"/>
  <c r="F16" i="35"/>
  <c r="S16" i="35" s="1"/>
  <c r="H14" i="35"/>
  <c r="AB14" i="35" s="1"/>
  <c r="J29" i="35"/>
  <c r="H33" i="35"/>
  <c r="AC8" i="35"/>
  <c r="J20" i="35"/>
  <c r="W20" i="35"/>
  <c r="F35" i="37"/>
  <c r="S35" i="37"/>
  <c r="J34" i="37"/>
  <c r="W34" i="37"/>
  <c r="S10" i="37"/>
  <c r="AB34" i="37"/>
  <c r="J33" i="37"/>
  <c r="AC33" i="37"/>
  <c r="H40" i="34"/>
  <c r="U40" i="34"/>
  <c r="E114" i="34"/>
  <c r="F114" i="34"/>
  <c r="G114" i="34" s="1"/>
  <c r="H114" i="34" s="1"/>
  <c r="I114" i="34" s="1"/>
  <c r="J114" i="34" s="1"/>
  <c r="K114" i="34" s="1"/>
  <c r="L114" i="34" s="1"/>
  <c r="M114" i="34" s="1"/>
  <c r="H36" i="34"/>
  <c r="U36" i="34" s="1"/>
  <c r="F28" i="34"/>
  <c r="AA28" i="34" s="1"/>
  <c r="F27" i="34"/>
  <c r="AA27" i="34" s="1"/>
  <c r="F19" i="34"/>
  <c r="U17" i="34"/>
  <c r="F15" i="34"/>
  <c r="S15" i="34" s="1"/>
  <c r="J15" i="34"/>
  <c r="H15" i="34"/>
  <c r="AB15" i="34" s="1"/>
  <c r="J28" i="34"/>
  <c r="F41" i="33"/>
  <c r="AA41" i="33"/>
  <c r="S38" i="33"/>
  <c r="E113" i="33"/>
  <c r="F113" i="33" s="1"/>
  <c r="G113" i="33" s="1"/>
  <c r="H113" i="33" s="1"/>
  <c r="I113" i="33" s="1"/>
  <c r="J113" i="33" s="1"/>
  <c r="K113" i="33" s="1"/>
  <c r="L113" i="33" s="1"/>
  <c r="M113" i="33" s="1"/>
  <c r="F32" i="33"/>
  <c r="AA32" i="33"/>
  <c r="J19" i="33"/>
  <c r="AC19" i="33"/>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U34" i="37"/>
  <c r="S34" i="37"/>
  <c r="AA34" i="37"/>
  <c r="J43" i="34"/>
  <c r="J40" i="34"/>
  <c r="H38" i="34"/>
  <c r="AB38" i="34" s="1"/>
  <c r="J36" i="34"/>
  <c r="W36" i="34" s="1"/>
  <c r="J19" i="34"/>
  <c r="AC19" i="34" s="1"/>
  <c r="W17" i="34"/>
  <c r="AA15" i="34"/>
  <c r="S41" i="33"/>
  <c r="H37" i="33"/>
  <c r="AB37" i="33"/>
  <c r="H15" i="33"/>
  <c r="AB15" i="33" s="1"/>
  <c r="H11" i="33"/>
  <c r="AB11" i="33" s="1"/>
  <c r="F28" i="40"/>
  <c r="AA28" i="40" s="1"/>
  <c r="AA42" i="34"/>
  <c r="S42" i="34"/>
  <c r="AC38" i="34"/>
  <c r="AA38" i="34"/>
  <c r="J11" i="33"/>
  <c r="W11" i="33" s="1"/>
  <c r="S28" i="34"/>
  <c r="U23" i="40"/>
  <c r="U42" i="21"/>
  <c r="J44" i="34"/>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27" i="33"/>
  <c r="AA27" i="33" s="1"/>
  <c r="H13" i="33"/>
  <c r="AB13" i="33" s="1"/>
  <c r="F13" i="33"/>
  <c r="S13" i="33" s="1"/>
  <c r="J29" i="33"/>
  <c r="H29" i="33"/>
  <c r="U29" i="33"/>
  <c r="F29" i="33"/>
  <c r="S29" i="33"/>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U11" i="35"/>
  <c r="J11" i="35"/>
  <c r="F11" i="35"/>
  <c r="S11" i="35" s="1"/>
  <c r="J26" i="36"/>
  <c r="W26" i="36" s="1"/>
  <c r="H28" i="36"/>
  <c r="U28" i="36" s="1"/>
  <c r="H32" i="36"/>
  <c r="AB32" i="36" s="1"/>
  <c r="J32" i="36"/>
  <c r="J11" i="36"/>
  <c r="AC11" i="36"/>
  <c r="H11" i="36"/>
  <c r="F11" i="36"/>
  <c r="H13" i="36"/>
  <c r="AB13" i="36"/>
  <c r="J13" i="36"/>
  <c r="AC13" i="36"/>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J14" i="33"/>
  <c r="H30" i="33"/>
  <c r="AB30" i="33" s="1"/>
  <c r="F30" i="33"/>
  <c r="J30" i="33"/>
  <c r="H44" i="33"/>
  <c r="J44" i="33"/>
  <c r="F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14" i="39"/>
  <c r="AC14" i="39" s="1"/>
  <c r="F14" i="39"/>
  <c r="H14" i="39"/>
  <c r="AB14" i="39" s="1"/>
  <c r="F12" i="40"/>
  <c r="S12" i="40" s="1"/>
  <c r="H12" i="40"/>
  <c r="AB12" i="40" s="1"/>
  <c r="H30" i="40"/>
  <c r="AB30" i="40" s="1"/>
  <c r="J35" i="40"/>
  <c r="AC35" i="40" s="1"/>
  <c r="J37" i="40"/>
  <c r="AC37" i="40" s="1"/>
  <c r="F14" i="37"/>
  <c r="S14" i="37" s="1"/>
  <c r="F27" i="37"/>
  <c r="AA27" i="37" s="1"/>
  <c r="J13" i="39"/>
  <c r="W13" i="39" s="1"/>
  <c r="H13" i="39"/>
  <c r="H14" i="40"/>
  <c r="AB14" i="40" s="1"/>
  <c r="J14" i="40"/>
  <c r="W14" i="40" s="1"/>
  <c r="F14" i="40"/>
  <c r="AA14" i="40" s="1"/>
  <c r="J14" i="37"/>
  <c r="AC14" i="37" s="1"/>
  <c r="J27" i="37"/>
  <c r="AC27" i="37" s="1"/>
  <c r="AA13" i="35"/>
  <c r="J36" i="37"/>
  <c r="AC36" i="37" s="1"/>
  <c r="J10" i="36"/>
  <c r="AC10" i="36" s="1"/>
  <c r="AA14" i="37"/>
  <c r="W13" i="36"/>
  <c r="W11" i="36"/>
  <c r="AB46" i="34"/>
  <c r="AB45" i="33"/>
  <c r="U31" i="33"/>
  <c r="S15" i="21"/>
  <c r="J41" i="39"/>
  <c r="W41" i="39" s="1"/>
  <c r="AC45" i="39"/>
  <c r="W36" i="39"/>
  <c r="U36"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c r="I123" i="33" s="1"/>
  <c r="J123" i="33" s="1"/>
  <c r="K123" i="33" s="1"/>
  <c r="L123" i="33" s="1"/>
  <c r="M123" i="33" s="1"/>
  <c r="H42" i="33"/>
  <c r="AB42" i="33" s="1"/>
  <c r="J43" i="33"/>
  <c r="AC43" i="33" s="1"/>
  <c r="S28" i="31"/>
  <c r="S27" i="31"/>
  <c r="S26" i="31"/>
  <c r="U35" i="35"/>
  <c r="U33" i="37"/>
  <c r="U39" i="37"/>
  <c r="W26" i="37"/>
  <c r="U26" i="37"/>
  <c r="W47" i="34"/>
  <c r="AB13" i="34"/>
  <c r="AC36" i="34"/>
  <c r="AA13" i="33"/>
  <c r="AC45" i="33"/>
  <c r="U11" i="33"/>
  <c r="W44" i="21"/>
  <c r="AC46" i="21"/>
  <c r="AB38" i="21"/>
  <c r="F43" i="33"/>
  <c r="AA43" i="33" s="1"/>
  <c r="W15" i="34"/>
  <c r="AC15" i="34"/>
  <c r="W16" i="35"/>
  <c r="W40" i="37"/>
  <c r="I107" i="37"/>
  <c r="J107" i="37" s="1"/>
  <c r="K107" i="37" s="1"/>
  <c r="L107" i="37" s="1"/>
  <c r="M107" i="37" s="1"/>
  <c r="S42" i="21"/>
  <c r="H19" i="34"/>
  <c r="AB19" i="34" s="1"/>
  <c r="J9" i="37"/>
  <c r="W9" i="37" s="1"/>
  <c r="H9" i="37"/>
  <c r="AB9" i="37" s="1"/>
  <c r="F9" i="37"/>
  <c r="S9" i="37" s="1"/>
  <c r="J12" i="37"/>
  <c r="W12" i="37" s="1"/>
  <c r="H12" i="37"/>
  <c r="AB12" i="37" s="1"/>
  <c r="F12" i="37"/>
  <c r="S12"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AA25" i="21"/>
  <c r="H19" i="40"/>
  <c r="U19" i="40" s="1"/>
  <c r="F19" i="40"/>
  <c r="S19" i="40" s="1"/>
  <c r="S14" i="40"/>
  <c r="AB45" i="39"/>
  <c r="G101" i="39"/>
  <c r="H37" i="39"/>
  <c r="AB37" i="39" s="1"/>
  <c r="AC37" i="39"/>
  <c r="W37" i="39"/>
  <c r="H41" i="39"/>
  <c r="AB34" i="39"/>
  <c r="U40" i="39"/>
  <c r="S42" i="39"/>
  <c r="W14" i="39"/>
  <c r="AA41" i="39"/>
  <c r="W8" i="39"/>
  <c r="J19" i="40"/>
  <c r="AC19" i="40"/>
  <c r="J50" i="40"/>
  <c r="B54" i="72"/>
  <c r="B16" i="53"/>
  <c r="B33" i="72"/>
  <c r="C7" i="37"/>
  <c r="C7" i="34"/>
  <c r="C7" i="36"/>
  <c r="W35" i="40"/>
  <c r="A118" i="9"/>
  <c r="A4" i="52"/>
  <c r="B41" i="72" s="1"/>
  <c r="A12" i="52"/>
  <c r="B56" i="72" s="1"/>
  <c r="G4" i="4"/>
  <c r="I4" i="4"/>
  <c r="K5" i="4"/>
  <c r="B47" i="48" s="1"/>
  <c r="A2" i="9"/>
  <c r="N2" i="43"/>
  <c r="F59" i="43"/>
  <c r="U36" i="40"/>
  <c r="N4" i="43"/>
  <c r="F81" i="43"/>
  <c r="H83" i="43" s="1"/>
  <c r="F48" i="43"/>
  <c r="H52" i="43" s="1"/>
  <c r="N7" i="43"/>
  <c r="F70" i="43"/>
  <c r="H73" i="43" s="1"/>
  <c r="M6" i="43"/>
  <c r="M11" i="43"/>
  <c r="E17" i="43"/>
  <c r="U17" i="39"/>
  <c r="S14" i="35"/>
  <c r="G10" i="1"/>
  <c r="W37" i="37"/>
  <c r="W44" i="34"/>
  <c r="AC44" i="34"/>
  <c r="S15" i="37"/>
  <c r="U12" i="40"/>
  <c r="AA12" i="40"/>
  <c r="J37" i="33"/>
  <c r="W37" i="33" s="1"/>
  <c r="J34" i="33"/>
  <c r="W34" i="33" s="1"/>
  <c r="F33" i="34"/>
  <c r="S33" i="34" s="1"/>
  <c r="AC12" i="36"/>
  <c r="H20" i="36"/>
  <c r="U20" i="36"/>
  <c r="J20" i="36"/>
  <c r="W20" i="36"/>
  <c r="J27" i="36"/>
  <c r="W27" i="36"/>
  <c r="AB25" i="37"/>
  <c r="AC33"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G96" i="37"/>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C40" i="11"/>
  <c r="H75" i="43"/>
  <c r="H50" i="43"/>
  <c r="H49" i="43"/>
  <c r="H48" i="43"/>
  <c r="H27" i="36"/>
  <c r="U27" i="36" s="1"/>
  <c r="F27" i="36"/>
  <c r="AA27" i="36" s="1"/>
  <c r="H33" i="34"/>
  <c r="U33" i="34" s="1"/>
  <c r="F32" i="37"/>
  <c r="AA32" i="37" s="1"/>
  <c r="F20" i="36"/>
  <c r="AA20" i="36" s="1"/>
  <c r="J33" i="34"/>
  <c r="AC33" i="34" s="1"/>
  <c r="H86" i="43"/>
  <c r="H82" i="43"/>
  <c r="H87" i="43"/>
  <c r="M9" i="1"/>
  <c r="O9" i="1" s="1"/>
  <c r="P9" i="1" s="1"/>
  <c r="AE9" i="1"/>
  <c r="D93" i="9"/>
  <c r="W27" i="34"/>
  <c r="AC27" i="34"/>
  <c r="AA32" i="36"/>
  <c r="S32" i="36"/>
  <c r="U30" i="33"/>
  <c r="AC13" i="34"/>
  <c r="AA47" i="34"/>
  <c r="S19" i="39"/>
  <c r="F12" i="33"/>
  <c r="H12" i="39"/>
  <c r="AB12" i="39" s="1"/>
  <c r="F39" i="40"/>
  <c r="S12" i="1"/>
  <c r="AQ12" i="1" s="1"/>
  <c r="R12" i="1"/>
  <c r="B12" i="1"/>
  <c r="E12" i="1"/>
  <c r="B10" i="1"/>
  <c r="E10" i="1"/>
  <c r="K12" i="1"/>
  <c r="M12" i="1"/>
  <c r="S13" i="1"/>
  <c r="AR13" i="1" s="1"/>
  <c r="R13" i="1"/>
  <c r="S11" i="1"/>
  <c r="AQ11" i="1"/>
  <c r="J51" i="67"/>
  <c r="C42" i="1"/>
  <c r="H100" i="43"/>
  <c r="C30" i="66"/>
  <c r="AC34" i="33"/>
  <c r="B41" i="1"/>
  <c r="F48" i="9" s="1"/>
  <c r="O52" i="9" s="1"/>
  <c r="J100" i="43"/>
  <c r="AB37" i="40"/>
  <c r="S35" i="40"/>
  <c r="U35" i="40"/>
  <c r="AC36" i="40"/>
  <c r="AA32" i="40"/>
  <c r="S17" i="40"/>
  <c r="S23" i="40"/>
  <c r="AC17" i="40"/>
  <c r="AC15" i="40"/>
  <c r="S30" i="40"/>
  <c r="AA19" i="40"/>
  <c r="S28" i="40"/>
  <c r="U21" i="40"/>
  <c r="AB19" i="40"/>
  <c r="W42" i="39"/>
  <c r="U37" i="39"/>
  <c r="W39" i="39"/>
  <c r="S37" i="39"/>
  <c r="U35" i="39"/>
  <c r="G107" i="39"/>
  <c r="G95" i="39"/>
  <c r="W19" i="39"/>
  <c r="U19" i="39"/>
  <c r="S17" i="39"/>
  <c r="S15" i="39"/>
  <c r="AA12" i="39"/>
  <c r="S9" i="39"/>
  <c r="U14" i="39"/>
  <c r="AC13" i="39"/>
  <c r="U13" i="36"/>
  <c r="AC27" i="36"/>
  <c r="U26" i="36"/>
  <c r="S33" i="36"/>
  <c r="S27" i="36"/>
  <c r="AA26" i="36"/>
  <c r="S29" i="36"/>
  <c r="AC26" i="36"/>
  <c r="AA22" i="36"/>
  <c r="W14" i="36"/>
  <c r="AB14" i="36"/>
  <c r="U22" i="36"/>
  <c r="S16" i="36"/>
  <c r="S24" i="36"/>
  <c r="AB20" i="36"/>
  <c r="U16" i="36"/>
  <c r="S14" i="36"/>
  <c r="U10" i="36"/>
  <c r="W10" i="36"/>
  <c r="AA25" i="35"/>
  <c r="S23" i="35"/>
  <c r="AB13" i="35"/>
  <c r="U29" i="35"/>
  <c r="U28" i="35"/>
  <c r="AB27" i="35"/>
  <c r="U32" i="35"/>
  <c r="AA33" i="35"/>
  <c r="AC30" i="35"/>
  <c r="S32"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U32" i="37"/>
  <c r="AC35" i="37"/>
  <c r="S30" i="37"/>
  <c r="S37" i="37"/>
  <c r="AC15" i="37"/>
  <c r="J17" i="37"/>
  <c r="W17" i="37" s="1"/>
  <c r="F17" i="37"/>
  <c r="AA17" i="37" s="1"/>
  <c r="AB17" i="37"/>
  <c r="F19" i="37"/>
  <c r="F23" i="37"/>
  <c r="S23" i="37" s="1"/>
  <c r="U23" i="37"/>
  <c r="U15" i="37"/>
  <c r="U9" i="37"/>
  <c r="AA12" i="37"/>
  <c r="AA9" i="37"/>
  <c r="H10" i="37"/>
  <c r="H60" i="37"/>
  <c r="F11" i="37"/>
  <c r="S11" i="37" s="1"/>
  <c r="S27" i="34"/>
  <c r="AB8" i="34"/>
  <c r="AA33" i="34"/>
  <c r="U44" i="34"/>
  <c r="U43" i="34"/>
  <c r="AC39" i="34"/>
  <c r="W41" i="34"/>
  <c r="AC42" i="34"/>
  <c r="AB35" i="34"/>
  <c r="U39" i="34"/>
  <c r="AB41" i="34"/>
  <c r="AA45" i="34"/>
  <c r="U28" i="34"/>
  <c r="S17" i="34"/>
  <c r="AA29" i="34"/>
  <c r="U27" i="34"/>
  <c r="U15" i="34"/>
  <c r="S13" i="34"/>
  <c r="H10" i="34"/>
  <c r="F70" i="34"/>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U27" i="33" s="1"/>
  <c r="F87" i="33"/>
  <c r="H25" i="33"/>
  <c r="U25" i="33" s="1"/>
  <c r="F25" i="33"/>
  <c r="J23" i="33"/>
  <c r="AC23" i="33" s="1"/>
  <c r="F85" i="33"/>
  <c r="H23" i="33"/>
  <c r="AB23" i="33" s="1"/>
  <c r="F81" i="33"/>
  <c r="F19" i="33"/>
  <c r="S19" i="33" s="1"/>
  <c r="W19" i="33"/>
  <c r="J17" i="33"/>
  <c r="W17" i="33" s="1"/>
  <c r="F79" i="33"/>
  <c r="S15" i="33"/>
  <c r="W15" i="33"/>
  <c r="U9" i="33"/>
  <c r="I66" i="33"/>
  <c r="J10" i="33"/>
  <c r="AC10" i="33" s="1"/>
  <c r="H10" i="33"/>
  <c r="AA10" i="33"/>
  <c r="AC11" i="33"/>
  <c r="AB14" i="33"/>
  <c r="W36" i="21"/>
  <c r="W41" i="21"/>
  <c r="AB39" i="21"/>
  <c r="S39" i="21"/>
  <c r="AA38" i="21"/>
  <c r="AA36" i="21"/>
  <c r="W15" i="21"/>
  <c r="F77" i="21"/>
  <c r="G77" i="21"/>
  <c r="S8" i="21"/>
  <c r="M3" i="43"/>
  <c r="N10" i="43"/>
  <c r="M1" i="43"/>
  <c r="M8" i="43"/>
  <c r="N8" i="43"/>
  <c r="N9" i="43"/>
  <c r="F34" i="67"/>
  <c r="F62" i="67" s="1"/>
  <c r="M20" i="67"/>
  <c r="F34" i="15"/>
  <c r="F62" i="15" s="1"/>
  <c r="J56" i="9"/>
  <c r="J57" i="9" s="1"/>
  <c r="J59" i="9" s="1"/>
  <c r="J61" i="9" s="1"/>
  <c r="A24" i="51"/>
  <c r="B18" i="72" s="1"/>
  <c r="U29" i="34"/>
  <c r="G1" i="68"/>
  <c r="K1" i="12"/>
  <c r="AR12" i="1"/>
  <c r="T12" i="1"/>
  <c r="E19" i="69"/>
  <c r="E19" i="68"/>
  <c r="E19" i="11"/>
  <c r="E1" i="73"/>
  <c r="G41" i="69"/>
  <c r="G22" i="69"/>
  <c r="G41" i="68"/>
  <c r="G22" i="68"/>
  <c r="G27" i="12"/>
  <c r="G26" i="12"/>
  <c r="G41" i="11"/>
  <c r="G22" i="11"/>
  <c r="G25" i="12"/>
  <c r="E81" i="43"/>
  <c r="B79" i="43" s="1"/>
  <c r="E48" i="43"/>
  <c r="B46" i="43" s="1"/>
  <c r="E70" i="43"/>
  <c r="B68" i="43" s="1"/>
  <c r="F100" i="43"/>
  <c r="H85" i="43"/>
  <c r="H81" i="43"/>
  <c r="H84" i="43"/>
  <c r="H88" i="43"/>
  <c r="H53" i="43"/>
  <c r="H54" i="43"/>
  <c r="H78" i="43"/>
  <c r="H70" i="43"/>
  <c r="H71" i="43"/>
  <c r="M7" i="43"/>
  <c r="N6" i="43"/>
  <c r="M2" i="43"/>
  <c r="M10" i="43"/>
  <c r="N3" i="43"/>
  <c r="N11" i="43"/>
  <c r="M9" i="43"/>
  <c r="N12" i="43"/>
  <c r="N5" i="43"/>
  <c r="M5" i="43"/>
  <c r="M12" i="43"/>
  <c r="M4" i="43"/>
  <c r="B19" i="53"/>
  <c r="B37" i="72" s="1"/>
  <c r="C7" i="39"/>
  <c r="C68" i="39" s="1"/>
  <c r="D68" i="39" s="1"/>
  <c r="C7" i="35"/>
  <c r="C48" i="35" s="1"/>
  <c r="C7" i="33"/>
  <c r="C58" i="33" s="1"/>
  <c r="D58" i="33" s="1"/>
  <c r="C7" i="21"/>
  <c r="C58" i="21" s="1"/>
  <c r="C7" i="40"/>
  <c r="C63" i="40" s="1"/>
  <c r="M47" i="9"/>
  <c r="T35" i="4"/>
  <c r="C46" i="36"/>
  <c r="D46" i="36" s="1"/>
  <c r="C59" i="34"/>
  <c r="D59" i="34" s="1"/>
  <c r="C52" i="37"/>
  <c r="D52" i="37" s="1"/>
  <c r="A4" i="51"/>
  <c r="B6" i="72" s="1"/>
  <c r="H62" i="43"/>
  <c r="H66" i="43"/>
  <c r="H61" i="43"/>
  <c r="H65" i="43"/>
  <c r="H60" i="43"/>
  <c r="H64" i="43"/>
  <c r="H59" i="43"/>
  <c r="H63" i="43"/>
  <c r="H67" i="43"/>
  <c r="H55" i="43"/>
  <c r="H51" i="43"/>
  <c r="H56" i="43"/>
  <c r="H76" i="43"/>
  <c r="H72" i="43"/>
  <c r="H77" i="43"/>
  <c r="B6" i="1"/>
  <c r="E6" i="1"/>
  <c r="K11" i="1"/>
  <c r="M11" i="1"/>
  <c r="AP6" i="1"/>
  <c r="B9" i="1"/>
  <c r="E9" i="1" s="1"/>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AB41" i="39"/>
  <c r="U13" i="39"/>
  <c r="AB13" i="39"/>
  <c r="AA13" i="39"/>
  <c r="S13" i="39"/>
  <c r="S14" i="39"/>
  <c r="AA14" i="39"/>
  <c r="S27" i="39"/>
  <c r="W17" i="39"/>
  <c r="AA45" i="39"/>
  <c r="AB39" i="39"/>
  <c r="W34" i="39"/>
  <c r="S8" i="39"/>
  <c r="S20" i="36"/>
  <c r="S28" i="36"/>
  <c r="U32" i="36"/>
  <c r="W29" i="36"/>
  <c r="AC20" i="36"/>
  <c r="AB28" i="36"/>
  <c r="AA13" i="36"/>
  <c r="W22" i="36"/>
  <c r="AB20" i="35"/>
  <c r="AC25" i="35"/>
  <c r="U25" i="35"/>
  <c r="S24" i="35"/>
  <c r="W33" i="35"/>
  <c r="AA30" i="35"/>
  <c r="U24" i="35"/>
  <c r="S35" i="35"/>
  <c r="W35" i="35"/>
  <c r="AA16" i="35"/>
  <c r="AA35" i="37"/>
  <c r="W36" i="37"/>
  <c r="S27" i="37"/>
  <c r="W32" i="37"/>
  <c r="U36" i="37"/>
  <c r="S40" i="37"/>
  <c r="AB37" i="37"/>
  <c r="S33" i="37"/>
  <c r="AC34" i="37"/>
  <c r="AB35" i="37"/>
  <c r="AA31" i="37"/>
  <c r="U19" i="37"/>
  <c r="AA29" i="37"/>
  <c r="AA8" i="37"/>
  <c r="U8" i="37"/>
  <c r="AA40" i="34"/>
  <c r="AB40" i="34"/>
  <c r="U19" i="34"/>
  <c r="W19" i="34"/>
  <c r="AB33" i="34"/>
  <c r="AC45" i="34"/>
  <c r="AA31" i="34"/>
  <c r="AA30" i="34"/>
  <c r="AB45" i="34"/>
  <c r="AB47" i="34"/>
  <c r="AB36" i="34"/>
  <c r="W33" i="34"/>
  <c r="AC14" i="34"/>
  <c r="AC32" i="34"/>
  <c r="AC29" i="34"/>
  <c r="W29" i="34"/>
  <c r="S32" i="34"/>
  <c r="AA32" i="34"/>
  <c r="U30" i="34"/>
  <c r="AB30" i="34"/>
  <c r="U38" i="34"/>
  <c r="AC40" i="34"/>
  <c r="W40" i="34"/>
  <c r="AA19" i="34"/>
  <c r="S19" i="34"/>
  <c r="AA36" i="34"/>
  <c r="S36" i="34"/>
  <c r="AA8" i="34"/>
  <c r="S8" i="34"/>
  <c r="S46" i="34"/>
  <c r="AA46" i="34"/>
  <c r="U32" i="34"/>
  <c r="AB32" i="34"/>
  <c r="U14" i="34"/>
  <c r="AB14" i="34"/>
  <c r="AC43" i="34"/>
  <c r="W4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S44" i="21"/>
  <c r="AA26" i="21"/>
  <c r="AB46" i="21"/>
  <c r="U40" i="21"/>
  <c r="AB13" i="21"/>
  <c r="W8" i="21"/>
  <c r="S35" i="21"/>
  <c r="U15" i="21"/>
  <c r="W39" i="21"/>
  <c r="S46" i="21"/>
  <c r="H45" i="21"/>
  <c r="U45" i="21" s="1"/>
  <c r="F29" i="21"/>
  <c r="S29" i="21" s="1"/>
  <c r="F13" i="21"/>
  <c r="AA13" i="21" s="1"/>
  <c r="H32" i="21"/>
  <c r="J32" i="21"/>
  <c r="AC32" i="21" s="1"/>
  <c r="F32" i="21"/>
  <c r="AA32" i="21" s="1"/>
  <c r="U17" i="21"/>
  <c r="W29" i="21"/>
  <c r="K141" i="21"/>
  <c r="K144" i="21"/>
  <c r="K143" i="21"/>
  <c r="U27" i="21"/>
  <c r="AB25" i="21"/>
  <c r="AB44" i="21"/>
  <c r="W13" i="21"/>
  <c r="W42" i="21"/>
  <c r="K145" i="21"/>
  <c r="W17" i="21"/>
  <c r="W25" i="21"/>
  <c r="AA29" i="21"/>
  <c r="S27" i="21"/>
  <c r="AC27" i="21"/>
  <c r="AC26" i="21"/>
  <c r="AB29" i="21"/>
  <c r="W12" i="21"/>
  <c r="AB36" i="21"/>
  <c r="W30" i="40"/>
  <c r="C19" i="39"/>
  <c r="C15" i="40"/>
  <c r="C17" i="40"/>
  <c r="C23" i="40"/>
  <c r="C21" i="40"/>
  <c r="U30" i="40"/>
  <c r="B54" i="43"/>
  <c r="B65" i="43"/>
  <c r="B49" i="43"/>
  <c r="B52" i="43"/>
  <c r="B56" i="43"/>
  <c r="B60" i="43"/>
  <c r="B63" i="43"/>
  <c r="B67" i="43"/>
  <c r="D23" i="15"/>
  <c r="D22" i="15"/>
  <c r="AQ13" i="1"/>
  <c r="F30" i="68"/>
  <c r="C30" i="68" s="1"/>
  <c r="F30" i="11"/>
  <c r="C48" i="11" s="1"/>
  <c r="F28" i="67"/>
  <c r="C28" i="67" s="1"/>
  <c r="F31" i="12"/>
  <c r="F52" i="9"/>
  <c r="M18" i="67"/>
  <c r="F32" i="67"/>
  <c r="F60" i="67"/>
  <c r="F30" i="69"/>
  <c r="C48" i="69"/>
  <c r="F32" i="15"/>
  <c r="F60" i="15"/>
  <c r="M18" i="15"/>
  <c r="F28" i="15"/>
  <c r="C28" i="15" s="1"/>
  <c r="T11" i="1"/>
  <c r="AR11" i="1"/>
  <c r="T13" i="1"/>
  <c r="C77" i="9"/>
  <c r="C74" i="9" s="1"/>
  <c r="C24" i="12"/>
  <c r="AA39" i="40"/>
  <c r="S39" i="40"/>
  <c r="S12" i="33"/>
  <c r="AA12" i="33"/>
  <c r="D68" i="9"/>
  <c r="F54" i="9"/>
  <c r="H107" i="39"/>
  <c r="I107" i="39" s="1"/>
  <c r="J107" i="39" s="1"/>
  <c r="K107" i="39" s="1"/>
  <c r="L107" i="39" s="1"/>
  <c r="M107" i="39" s="1"/>
  <c r="S26" i="35"/>
  <c r="U9" i="35"/>
  <c r="AB9" i="35"/>
  <c r="AA9" i="35"/>
  <c r="S9" i="35"/>
  <c r="AC26" i="35"/>
  <c r="W26" i="35"/>
  <c r="AB26" i="35"/>
  <c r="U26" i="35"/>
  <c r="AC17" i="37"/>
  <c r="S17" i="37"/>
  <c r="J19" i="37"/>
  <c r="AC19" i="37"/>
  <c r="S19" i="37"/>
  <c r="AA19" i="37"/>
  <c r="AA23" i="37"/>
  <c r="J23" i="37"/>
  <c r="AC23" i="37" s="1"/>
  <c r="G79" i="37"/>
  <c r="J10" i="37"/>
  <c r="W10" i="37" s="1"/>
  <c r="I60" i="37"/>
  <c r="H11" i="37"/>
  <c r="U11" i="37" s="1"/>
  <c r="AB10" i="37"/>
  <c r="U10" i="37"/>
  <c r="G70" i="34"/>
  <c r="H70" i="34" s="1"/>
  <c r="I70" i="34" s="1"/>
  <c r="J70" i="34" s="1"/>
  <c r="K70" i="34" s="1"/>
  <c r="L70" i="34" s="1"/>
  <c r="M70" i="34" s="1"/>
  <c r="AB10" i="34"/>
  <c r="U10" i="34"/>
  <c r="J10" i="34"/>
  <c r="AC10" i="34" s="1"/>
  <c r="AB41" i="33"/>
  <c r="U41" i="33"/>
  <c r="W35" i="33"/>
  <c r="AC35" i="33"/>
  <c r="H111" i="33"/>
  <c r="I111" i="33" s="1"/>
  <c r="J111" i="33" s="1"/>
  <c r="K111" i="33" s="1"/>
  <c r="L111" i="33" s="1"/>
  <c r="M111" i="33" s="1"/>
  <c r="J36" i="33"/>
  <c r="AC36" i="33" s="1"/>
  <c r="H36" i="33"/>
  <c r="AB36" i="33"/>
  <c r="S36" i="33"/>
  <c r="AA36" i="33"/>
  <c r="AC32" i="33"/>
  <c r="W32" i="33"/>
  <c r="AB27" i="33"/>
  <c r="J27" i="33"/>
  <c r="AC27" i="33"/>
  <c r="AB25" i="33"/>
  <c r="S25" i="33"/>
  <c r="AA25" i="33"/>
  <c r="G87" i="33"/>
  <c r="H87" i="33" s="1"/>
  <c r="I87" i="33" s="1"/>
  <c r="J87" i="33" s="1"/>
  <c r="K87" i="33" s="1"/>
  <c r="L87" i="33" s="1"/>
  <c r="M87" i="33" s="1"/>
  <c r="J25" i="33"/>
  <c r="AC25" i="33"/>
  <c r="U23" i="33"/>
  <c r="F23" i="33"/>
  <c r="S23" i="33" s="1"/>
  <c r="G85" i="33"/>
  <c r="W23" i="33"/>
  <c r="H19" i="33"/>
  <c r="U19" i="33"/>
  <c r="G81" i="33"/>
  <c r="G79" i="33"/>
  <c r="H17" i="33"/>
  <c r="F17" i="33"/>
  <c r="S17" i="33" s="1"/>
  <c r="AC17" i="33"/>
  <c r="U10" i="33"/>
  <c r="AB10" i="33"/>
  <c r="W10" i="33"/>
  <c r="S13" i="21"/>
  <c r="O19" i="43"/>
  <c r="AP7" i="1"/>
  <c r="C36" i="69" s="1"/>
  <c r="W32" i="21"/>
  <c r="S32" i="21"/>
  <c r="AB32" i="21"/>
  <c r="U32" i="21"/>
  <c r="F31" i="15"/>
  <c r="M17" i="15"/>
  <c r="F59" i="67"/>
  <c r="F59" i="15"/>
  <c r="F31" i="67"/>
  <c r="M17" i="67"/>
  <c r="W32" i="39"/>
  <c r="AB11" i="37"/>
  <c r="J11" i="37"/>
  <c r="AC11" i="37" s="1"/>
  <c r="AC10" i="37"/>
  <c r="W10" i="34"/>
  <c r="W36" i="33"/>
  <c r="W27" i="33"/>
  <c r="AA23" i="33"/>
  <c r="AB19" i="33"/>
  <c r="U17" i="33"/>
  <c r="AB17" i="33"/>
  <c r="W23" i="21"/>
  <c r="F1" i="67"/>
  <c r="Q52" i="67"/>
  <c r="W11" i="37"/>
  <c r="F50" i="11"/>
  <c r="F50" i="69"/>
  <c r="F50" i="68"/>
  <c r="C19" i="68"/>
  <c r="AG6" i="1"/>
  <c r="H112" i="9"/>
  <c r="D21" i="53" s="1"/>
  <c r="B39" i="72" s="1"/>
  <c r="H111" i="9"/>
  <c r="D126" i="9" s="1"/>
  <c r="D59" i="9"/>
  <c r="M55" i="9" s="1"/>
  <c r="AD3" i="71"/>
  <c r="P21" i="43" s="1"/>
  <c r="B71" i="86" s="1"/>
  <c r="P22" i="43"/>
  <c r="AA17" i="33"/>
  <c r="W25" i="33"/>
  <c r="U36" i="33"/>
  <c r="W19" i="37"/>
  <c r="C30" i="11"/>
  <c r="AB45" i="21"/>
  <c r="AA19" i="33"/>
  <c r="C30" i="69"/>
  <c r="C48" i="68"/>
  <c r="AA11" i="37"/>
  <c r="S43" i="34"/>
  <c r="S20" i="35"/>
  <c r="U12" i="39"/>
  <c r="AA27" i="40"/>
  <c r="AB27" i="40"/>
  <c r="F53" i="9"/>
  <c r="F32" i="91"/>
  <c r="F60" i="91" s="1"/>
  <c r="F28" i="91"/>
  <c r="C28" i="91" s="1"/>
  <c r="M18" i="91"/>
  <c r="H74" i="43"/>
  <c r="AC12" i="37"/>
  <c r="AA41" i="34"/>
  <c r="AA14" i="34"/>
  <c r="AB11" i="35"/>
  <c r="W33" i="37"/>
  <c r="U30" i="35"/>
  <c r="S12" i="36"/>
  <c r="M20" i="15"/>
  <c r="F34" i="91"/>
  <c r="F62" i="91" s="1"/>
  <c r="M20" i="91"/>
  <c r="S21" i="37"/>
  <c r="F21" i="34"/>
  <c r="AA21" i="34" s="1"/>
  <c r="C50" i="71"/>
  <c r="AJ12" i="43"/>
  <c r="AJ10" i="43"/>
  <c r="U34" i="21"/>
  <c r="H12" i="21"/>
  <c r="F12" i="35"/>
  <c r="H12" i="36"/>
  <c r="F23" i="36"/>
  <c r="J25" i="37"/>
  <c r="P61" i="15"/>
  <c r="G584" i="3"/>
  <c r="G583" i="3"/>
  <c r="G576" i="3"/>
  <c r="G575" i="3"/>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59" i="3"/>
  <c r="G358" i="3"/>
  <c r="G351" i="3"/>
  <c r="G350"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G191" i="3"/>
  <c r="G190" i="3"/>
  <c r="G183" i="3"/>
  <c r="G182" i="3"/>
  <c r="G175" i="3"/>
  <c r="G174" i="3"/>
  <c r="G167" i="3"/>
  <c r="G166" i="3"/>
  <c r="G159" i="3"/>
  <c r="G158" i="3"/>
  <c r="G151" i="3"/>
  <c r="G150" i="3"/>
  <c r="G143" i="3"/>
  <c r="G142" i="3"/>
  <c r="G135" i="3"/>
  <c r="G134" i="3"/>
  <c r="G127" i="3"/>
  <c r="G126" i="3"/>
  <c r="G119" i="3"/>
  <c r="G118" i="3"/>
  <c r="G111" i="3"/>
  <c r="G110" i="3"/>
  <c r="G103" i="3"/>
  <c r="G102" i="3"/>
  <c r="G95" i="3"/>
  <c r="G94" i="3"/>
  <c r="G87" i="3"/>
  <c r="G86" i="3"/>
  <c r="G79" i="3"/>
  <c r="G78" i="3"/>
  <c r="G71" i="3"/>
  <c r="G70" i="3"/>
  <c r="G63" i="3"/>
  <c r="G62" i="3"/>
  <c r="G55" i="3"/>
  <c r="G54" i="3"/>
  <c r="G47" i="3"/>
  <c r="G46" i="3"/>
  <c r="G39" i="3"/>
  <c r="G38" i="3"/>
  <c r="G31" i="3"/>
  <c r="G30" i="3"/>
  <c r="G23" i="3"/>
  <c r="G22" i="3"/>
  <c r="G15" i="3"/>
  <c r="BL578" i="3"/>
  <c r="BL574" i="3"/>
  <c r="BL570" i="3"/>
  <c r="BL566" i="3"/>
  <c r="BL562" i="3"/>
  <c r="BL558" i="3"/>
  <c r="BL554" i="3"/>
  <c r="BL550" i="3"/>
  <c r="BL546" i="3"/>
  <c r="BL542" i="3"/>
  <c r="BL538" i="3"/>
  <c r="BL534" i="3"/>
  <c r="BL530" i="3"/>
  <c r="BL526" i="3"/>
  <c r="BL522" i="3"/>
  <c r="BL518" i="3"/>
  <c r="BA511" i="3"/>
  <c r="BA507" i="3"/>
  <c r="BA503" i="3"/>
  <c r="BA499" i="3"/>
  <c r="BA495" i="3"/>
  <c r="BA491" i="3"/>
  <c r="BA487" i="3"/>
  <c r="BA483" i="3"/>
  <c r="BA479" i="3"/>
  <c r="BA475" i="3"/>
  <c r="BA471" i="3"/>
  <c r="BA467" i="3"/>
  <c r="BA463" i="3"/>
  <c r="BA459" i="3"/>
  <c r="BA455" i="3"/>
  <c r="BA451" i="3"/>
  <c r="BA447" i="3"/>
  <c r="BA443" i="3"/>
  <c r="BA439" i="3"/>
  <c r="BA435" i="3"/>
  <c r="BA431" i="3"/>
  <c r="BA427" i="3"/>
  <c r="BL422" i="3"/>
  <c r="BA421" i="3"/>
  <c r="BL414" i="3"/>
  <c r="BA413" i="3"/>
  <c r="BL406" i="3"/>
  <c r="BA405" i="3"/>
  <c r="BL398" i="3"/>
  <c r="BA397" i="3"/>
  <c r="BL390" i="3"/>
  <c r="BA389" i="3"/>
  <c r="BL382" i="3"/>
  <c r="BA381" i="3"/>
  <c r="BA373" i="3"/>
  <c r="BA365" i="3"/>
  <c r="BA357" i="3"/>
  <c r="BA349" i="3"/>
  <c r="BA341" i="3"/>
  <c r="BA333" i="3"/>
  <c r="BA325" i="3"/>
  <c r="BA317" i="3"/>
  <c r="BA309" i="3"/>
  <c r="BA301" i="3"/>
  <c r="BA293" i="3"/>
  <c r="BA285" i="3"/>
  <c r="BL284" i="3"/>
  <c r="BA277" i="3"/>
  <c r="BL276" i="3"/>
  <c r="BA269" i="3"/>
  <c r="BL268" i="3"/>
  <c r="BL580" i="3"/>
  <c r="BL576" i="3"/>
  <c r="BL572" i="3"/>
  <c r="BL568" i="3"/>
  <c r="BL564" i="3"/>
  <c r="BL560" i="3"/>
  <c r="BL556" i="3"/>
  <c r="BL552" i="3"/>
  <c r="BL548" i="3"/>
  <c r="BL544" i="3"/>
  <c r="BL540" i="3"/>
  <c r="BL536" i="3"/>
  <c r="BL532" i="3"/>
  <c r="BL528" i="3"/>
  <c r="BL524" i="3"/>
  <c r="BL520" i="3"/>
  <c r="BL516" i="3"/>
  <c r="BA513" i="3"/>
  <c r="BA509" i="3"/>
  <c r="BA505" i="3"/>
  <c r="BA501" i="3"/>
  <c r="BA497" i="3"/>
  <c r="BA493" i="3"/>
  <c r="BA489" i="3"/>
  <c r="BA485" i="3"/>
  <c r="BA481" i="3"/>
  <c r="BA477" i="3"/>
  <c r="BA473" i="3"/>
  <c r="BA469" i="3"/>
  <c r="BA465" i="3"/>
  <c r="BA461" i="3"/>
  <c r="BA457" i="3"/>
  <c r="BA453" i="3"/>
  <c r="BA449" i="3"/>
  <c r="BA445" i="3"/>
  <c r="BA441" i="3"/>
  <c r="BA437" i="3"/>
  <c r="BA433" i="3"/>
  <c r="BA429" i="3"/>
  <c r="BA425" i="3"/>
  <c r="BL418" i="3"/>
  <c r="BA417" i="3"/>
  <c r="BL410" i="3"/>
  <c r="BA409" i="3"/>
  <c r="BL402" i="3"/>
  <c r="BA401" i="3"/>
  <c r="BL394" i="3"/>
  <c r="BA393" i="3"/>
  <c r="BL386" i="3"/>
  <c r="BA385" i="3"/>
  <c r="BL378" i="3"/>
  <c r="BA377" i="3"/>
  <c r="BA369" i="3"/>
  <c r="BA361" i="3"/>
  <c r="BA353" i="3"/>
  <c r="BA345" i="3"/>
  <c r="BA337" i="3"/>
  <c r="BA329" i="3"/>
  <c r="BA321" i="3"/>
  <c r="BA313" i="3"/>
  <c r="BA305" i="3"/>
  <c r="BA297" i="3"/>
  <c r="BA289" i="3"/>
  <c r="BA281" i="3"/>
  <c r="BL280" i="3"/>
  <c r="BA273" i="3"/>
  <c r="BL272" i="3"/>
  <c r="BA265" i="3"/>
  <c r="BL264" i="3"/>
  <c r="BA423" i="3"/>
  <c r="BA419" i="3"/>
  <c r="BA415" i="3"/>
  <c r="BA411" i="3"/>
  <c r="BA407" i="3"/>
  <c r="BA403" i="3"/>
  <c r="BA399" i="3"/>
  <c r="BA395" i="3"/>
  <c r="BA391" i="3"/>
  <c r="BA387" i="3"/>
  <c r="BA383" i="3"/>
  <c r="BA379" i="3"/>
  <c r="BA375" i="3"/>
  <c r="BL286" i="3"/>
  <c r="BL282" i="3"/>
  <c r="BL278" i="3"/>
  <c r="BL274" i="3"/>
  <c r="BL270" i="3"/>
  <c r="BL266" i="3"/>
  <c r="BL262" i="3"/>
  <c r="BL258" i="3"/>
  <c r="BL254" i="3"/>
  <c r="BL250" i="3"/>
  <c r="BL246" i="3"/>
  <c r="BL242" i="3"/>
  <c r="BL238" i="3"/>
  <c r="BL234" i="3"/>
  <c r="BA230" i="3"/>
  <c r="BA226" i="3"/>
  <c r="BA222" i="3"/>
  <c r="BA218" i="3"/>
  <c r="BA214" i="3"/>
  <c r="BA210" i="3"/>
  <c r="BA206" i="3"/>
  <c r="BA202" i="3"/>
  <c r="BA198" i="3"/>
  <c r="BA194" i="3"/>
  <c r="BA190" i="3"/>
  <c r="BA186" i="3"/>
  <c r="BA182" i="3"/>
  <c r="BA178" i="3"/>
  <c r="BA174" i="3"/>
  <c r="BA170" i="3"/>
  <c r="BA166" i="3"/>
  <c r="BA162" i="3"/>
  <c r="BA158" i="3"/>
  <c r="BA154" i="3"/>
  <c r="BA150" i="3"/>
  <c r="BA146" i="3"/>
  <c r="BA142" i="3"/>
  <c r="BA138" i="3"/>
  <c r="BA134" i="3"/>
  <c r="BA130" i="3"/>
  <c r="BA126" i="3"/>
  <c r="BA122" i="3"/>
  <c r="BA118" i="3"/>
  <c r="BA114" i="3"/>
  <c r="BA110" i="3"/>
  <c r="BA106" i="3"/>
  <c r="BA102" i="3"/>
  <c r="BA98" i="3"/>
  <c r="BA94" i="3"/>
  <c r="BA90" i="3"/>
  <c r="BA86" i="3"/>
  <c r="BA82" i="3"/>
  <c r="BA78" i="3"/>
  <c r="BA74" i="3"/>
  <c r="BA70" i="3"/>
  <c r="BA66" i="3"/>
  <c r="BA62" i="3"/>
  <c r="BL37" i="3"/>
  <c r="BL29" i="3"/>
  <c r="BL21" i="3"/>
  <c r="AC30" i="83"/>
  <c r="W30" i="83"/>
  <c r="AB13" i="86"/>
  <c r="U13" i="86"/>
  <c r="AA35" i="86"/>
  <c r="S35" i="86"/>
  <c r="AA37" i="86"/>
  <c r="S37" i="86"/>
  <c r="BL260" i="3"/>
  <c r="BL256" i="3"/>
  <c r="BL252" i="3"/>
  <c r="BL248" i="3"/>
  <c r="BL244" i="3"/>
  <c r="BL240" i="3"/>
  <c r="BL236" i="3"/>
  <c r="BA232" i="3"/>
  <c r="BA228" i="3"/>
  <c r="BA224" i="3"/>
  <c r="BA220" i="3"/>
  <c r="BA216" i="3"/>
  <c r="BA212" i="3"/>
  <c r="BA208" i="3"/>
  <c r="BA204" i="3"/>
  <c r="BA200" i="3"/>
  <c r="BA196" i="3"/>
  <c r="BA192" i="3"/>
  <c r="BA188" i="3"/>
  <c r="BA184" i="3"/>
  <c r="BA180" i="3"/>
  <c r="BA176" i="3"/>
  <c r="BA172" i="3"/>
  <c r="BA168" i="3"/>
  <c r="BA164" i="3"/>
  <c r="BA160" i="3"/>
  <c r="BA156" i="3"/>
  <c r="BA152" i="3"/>
  <c r="BA148" i="3"/>
  <c r="BA144" i="3"/>
  <c r="BA140" i="3"/>
  <c r="BA136" i="3"/>
  <c r="BA132" i="3"/>
  <c r="BA128" i="3"/>
  <c r="BA124" i="3"/>
  <c r="BA120" i="3"/>
  <c r="BA116" i="3"/>
  <c r="BA112" i="3"/>
  <c r="BA108" i="3"/>
  <c r="BA104" i="3"/>
  <c r="BA100" i="3"/>
  <c r="BA96" i="3"/>
  <c r="BA92" i="3"/>
  <c r="BA88" i="3"/>
  <c r="BA84" i="3"/>
  <c r="BA80" i="3"/>
  <c r="BA76" i="3"/>
  <c r="BA72" i="3"/>
  <c r="BA68" i="3"/>
  <c r="BA64" i="3"/>
  <c r="BA60" i="3"/>
  <c r="BL33" i="3"/>
  <c r="BL25" i="3"/>
  <c r="BL17" i="3"/>
  <c r="AA44" i="86"/>
  <c r="S44" i="86"/>
  <c r="C108" i="43"/>
  <c r="C12" i="43"/>
  <c r="E22" i="71"/>
  <c r="E23" i="71" s="1"/>
  <c r="U23" i="71" s="1"/>
  <c r="E18" i="71"/>
  <c r="E19" i="71" s="1"/>
  <c r="U19" i="71" s="1"/>
  <c r="AA5" i="71"/>
  <c r="F22" i="71"/>
  <c r="F18" i="71"/>
  <c r="F14" i="71"/>
  <c r="B22" i="71"/>
  <c r="B18" i="71"/>
  <c r="B14" i="71"/>
  <c r="D24" i="81"/>
  <c r="P61" i="81"/>
  <c r="U9" i="83"/>
  <c r="S10" i="83"/>
  <c r="S11" i="83"/>
  <c r="U13" i="83"/>
  <c r="S14" i="83"/>
  <c r="S21" i="83"/>
  <c r="F30" i="83"/>
  <c r="W42" i="83"/>
  <c r="S43" i="83"/>
  <c r="W35" i="86"/>
  <c r="W40" i="86"/>
  <c r="J23" i="86"/>
  <c r="J13" i="86"/>
  <c r="H44" i="86"/>
  <c r="F31" i="86"/>
  <c r="AA31" i="86" s="1"/>
  <c r="F23" i="86"/>
  <c r="AA23" i="86" s="1"/>
  <c r="S8" i="89"/>
  <c r="S21" i="89"/>
  <c r="S30" i="89"/>
  <c r="U32" i="89"/>
  <c r="S33" i="89"/>
  <c r="S34" i="89"/>
  <c r="U36" i="89"/>
  <c r="S37" i="89"/>
  <c r="H41" i="86"/>
  <c r="W26" i="33"/>
  <c r="AC26" i="33"/>
  <c r="AC9" i="34"/>
  <c r="W9" i="34"/>
  <c r="AC12" i="33"/>
  <c r="W12" i="33"/>
  <c r="AC24" i="36"/>
  <c r="W24" i="36"/>
  <c r="AC39" i="37"/>
  <c r="W39" i="37"/>
  <c r="AC12" i="40"/>
  <c r="J10" i="39"/>
  <c r="AC10" i="39" s="1"/>
  <c r="H10" i="39"/>
  <c r="D25" i="71"/>
  <c r="C26" i="71"/>
  <c r="D29" i="71"/>
  <c r="C30" i="71"/>
  <c r="D30" i="71" s="1"/>
  <c r="C34" i="71"/>
  <c r="D33" i="71"/>
  <c r="C42" i="71"/>
  <c r="D41" i="71"/>
  <c r="C70" i="39"/>
  <c r="AC9" i="36"/>
  <c r="W9" i="36"/>
  <c r="AB23" i="36"/>
  <c r="U23" i="36"/>
  <c r="W12" i="39"/>
  <c r="AC12" i="39"/>
  <c r="AC32" i="40"/>
  <c r="W39" i="40"/>
  <c r="A19" i="51"/>
  <c r="B14" i="72" s="1"/>
  <c r="AA34" i="33"/>
  <c r="AA39" i="34"/>
  <c r="U12" i="37"/>
  <c r="U46" i="33"/>
  <c r="K100" i="43"/>
  <c r="G100" i="43"/>
  <c r="L100" i="43"/>
  <c r="I10" i="66"/>
  <c r="W21" i="34"/>
  <c r="AB21" i="33"/>
  <c r="S21" i="34"/>
  <c r="P27" i="6"/>
  <c r="P50" i="71"/>
  <c r="D55" i="71"/>
  <c r="D37" i="71"/>
  <c r="E26" i="71"/>
  <c r="E27" i="71" s="1"/>
  <c r="U27" i="71" s="1"/>
  <c r="E30" i="71"/>
  <c r="E31" i="71" s="1"/>
  <c r="U31" i="71" s="1"/>
  <c r="E38" i="71"/>
  <c r="E39" i="71" s="1"/>
  <c r="U39" i="71" s="1"/>
  <c r="B46" i="71"/>
  <c r="B47" i="71"/>
  <c r="S47" i="71" s="1"/>
  <c r="E46" i="71"/>
  <c r="E47" i="71" s="1"/>
  <c r="U47" i="71" s="1"/>
  <c r="AF10" i="43"/>
  <c r="A15" i="62"/>
  <c r="B61" i="72" s="1"/>
  <c r="P74" i="67"/>
  <c r="G585" i="3"/>
  <c r="G581" i="3"/>
  <c r="G577" i="3"/>
  <c r="G573" i="3"/>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60" i="3"/>
  <c r="G356" i="3"/>
  <c r="G352"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6" i="3"/>
  <c r="BL587" i="3"/>
  <c r="BL584" i="3"/>
  <c r="BA584" i="3"/>
  <c r="AZ584" i="3" s="1"/>
  <c r="BL583" i="3"/>
  <c r="H9" i="34"/>
  <c r="F9" i="36"/>
  <c r="F25" i="37"/>
  <c r="H38" i="40"/>
  <c r="BL586" i="3"/>
  <c r="BA586" i="3"/>
  <c r="BL585" i="3"/>
  <c r="AZ585" i="3" s="1"/>
  <c r="BL582" i="3"/>
  <c r="BA582" i="3"/>
  <c r="BL581" i="3"/>
  <c r="AZ581" i="3" s="1"/>
  <c r="BA580" i="3"/>
  <c r="AZ580" i="3" s="1"/>
  <c r="BL579" i="3"/>
  <c r="BA578" i="3"/>
  <c r="AZ578" i="3" s="1"/>
  <c r="BL577" i="3"/>
  <c r="AZ577" i="3" s="1"/>
  <c r="BA576" i="3"/>
  <c r="AZ576" i="3" s="1"/>
  <c r="BL575" i="3"/>
  <c r="BA574" i="3"/>
  <c r="AZ574" i="3" s="1"/>
  <c r="BL573" i="3"/>
  <c r="AZ573" i="3" s="1"/>
  <c r="BA572" i="3"/>
  <c r="AZ572" i="3" s="1"/>
  <c r="BL571" i="3"/>
  <c r="BA570" i="3"/>
  <c r="AZ570" i="3" s="1"/>
  <c r="BL569" i="3"/>
  <c r="AZ569" i="3" s="1"/>
  <c r="BA568" i="3"/>
  <c r="AZ568" i="3" s="1"/>
  <c r="BL567" i="3"/>
  <c r="BA566" i="3"/>
  <c r="AZ566" i="3" s="1"/>
  <c r="BL565" i="3"/>
  <c r="AZ565" i="3" s="1"/>
  <c r="BA564" i="3"/>
  <c r="AZ564" i="3" s="1"/>
  <c r="BL563" i="3"/>
  <c r="BA562" i="3"/>
  <c r="AZ562" i="3" s="1"/>
  <c r="BL561" i="3"/>
  <c r="AZ561" i="3" s="1"/>
  <c r="BA560" i="3"/>
  <c r="AZ560" i="3" s="1"/>
  <c r="BL559" i="3"/>
  <c r="BA558" i="3"/>
  <c r="AZ558" i="3" s="1"/>
  <c r="BL557" i="3"/>
  <c r="AZ557" i="3" s="1"/>
  <c r="BA556" i="3"/>
  <c r="AZ556" i="3" s="1"/>
  <c r="BL555" i="3"/>
  <c r="BA554" i="3"/>
  <c r="AZ554" i="3" s="1"/>
  <c r="BL553" i="3"/>
  <c r="AZ553" i="3" s="1"/>
  <c r="BA552" i="3"/>
  <c r="AZ552" i="3" s="1"/>
  <c r="BL551" i="3"/>
  <c r="BA550" i="3"/>
  <c r="AZ550" i="3" s="1"/>
  <c r="BL549" i="3"/>
  <c r="AZ549" i="3" s="1"/>
  <c r="BA548" i="3"/>
  <c r="AZ548" i="3" s="1"/>
  <c r="BL547" i="3"/>
  <c r="BA546" i="3"/>
  <c r="AZ546" i="3" s="1"/>
  <c r="BL545" i="3"/>
  <c r="AZ545" i="3" s="1"/>
  <c r="BA544" i="3"/>
  <c r="AZ544" i="3" s="1"/>
  <c r="BL543" i="3"/>
  <c r="BA542" i="3"/>
  <c r="AZ542" i="3" s="1"/>
  <c r="BL541" i="3"/>
  <c r="AZ541" i="3" s="1"/>
  <c r="BA540" i="3"/>
  <c r="AZ540" i="3" s="1"/>
  <c r="BL539" i="3"/>
  <c r="BA538" i="3"/>
  <c r="AZ538" i="3" s="1"/>
  <c r="BL537" i="3"/>
  <c r="AZ537" i="3" s="1"/>
  <c r="BA536" i="3"/>
  <c r="AZ536" i="3" s="1"/>
  <c r="BL535" i="3"/>
  <c r="BA534" i="3"/>
  <c r="AZ534" i="3" s="1"/>
  <c r="BL533" i="3"/>
  <c r="AZ533" i="3" s="1"/>
  <c r="BA532" i="3"/>
  <c r="AZ532" i="3" s="1"/>
  <c r="BL531" i="3"/>
  <c r="BA530" i="3"/>
  <c r="AZ530" i="3" s="1"/>
  <c r="BL529" i="3"/>
  <c r="AZ529" i="3" s="1"/>
  <c r="BA528" i="3"/>
  <c r="AZ528" i="3" s="1"/>
  <c r="BL527" i="3"/>
  <c r="BA526" i="3"/>
  <c r="AZ526" i="3" s="1"/>
  <c r="BL525" i="3"/>
  <c r="AZ525" i="3" s="1"/>
  <c r="BA524" i="3"/>
  <c r="AZ524" i="3" s="1"/>
  <c r="BL523" i="3"/>
  <c r="BA522" i="3"/>
  <c r="AZ522" i="3" s="1"/>
  <c r="BL521" i="3"/>
  <c r="AZ521" i="3" s="1"/>
  <c r="BA520" i="3"/>
  <c r="AZ520" i="3" s="1"/>
  <c r="BL519" i="3"/>
  <c r="BA518" i="3"/>
  <c r="AZ518" i="3" s="1"/>
  <c r="BL517" i="3"/>
  <c r="AZ517" i="3" s="1"/>
  <c r="BA516" i="3"/>
  <c r="AZ516" i="3" s="1"/>
  <c r="BL515" i="3"/>
  <c r="BA514" i="3"/>
  <c r="AZ514" i="3" s="1"/>
  <c r="BL513" i="3"/>
  <c r="AZ513" i="3" s="1"/>
  <c r="BA512" i="3"/>
  <c r="BL511" i="3"/>
  <c r="AZ511" i="3" s="1"/>
  <c r="BA510" i="3"/>
  <c r="AZ510" i="3" s="1"/>
  <c r="BL509" i="3"/>
  <c r="AZ509" i="3" s="1"/>
  <c r="BA508" i="3"/>
  <c r="BL507" i="3"/>
  <c r="AZ507" i="3" s="1"/>
  <c r="BA506" i="3"/>
  <c r="AZ506" i="3" s="1"/>
  <c r="BL505" i="3"/>
  <c r="AZ505" i="3" s="1"/>
  <c r="BA504" i="3"/>
  <c r="BL503" i="3"/>
  <c r="AZ503" i="3" s="1"/>
  <c r="BA502" i="3"/>
  <c r="AZ502" i="3" s="1"/>
  <c r="BL501" i="3"/>
  <c r="AZ501" i="3" s="1"/>
  <c r="BA500" i="3"/>
  <c r="BL499" i="3"/>
  <c r="AZ499" i="3" s="1"/>
  <c r="BA498" i="3"/>
  <c r="AZ498" i="3" s="1"/>
  <c r="BL497" i="3"/>
  <c r="AZ497" i="3" s="1"/>
  <c r="BA496" i="3"/>
  <c r="BL495" i="3"/>
  <c r="AZ495" i="3" s="1"/>
  <c r="BA494" i="3"/>
  <c r="AZ494" i="3" s="1"/>
  <c r="BL493" i="3"/>
  <c r="AZ493" i="3" s="1"/>
  <c r="BA492" i="3"/>
  <c r="BL491" i="3"/>
  <c r="AZ491" i="3" s="1"/>
  <c r="BA490" i="3"/>
  <c r="AZ490" i="3" s="1"/>
  <c r="BL489" i="3"/>
  <c r="AZ489" i="3" s="1"/>
  <c r="BA488" i="3"/>
  <c r="BL487" i="3"/>
  <c r="AZ487" i="3" s="1"/>
  <c r="BA486" i="3"/>
  <c r="AZ486" i="3" s="1"/>
  <c r="BL485" i="3"/>
  <c r="AZ485" i="3" s="1"/>
  <c r="BA484" i="3"/>
  <c r="BL483" i="3"/>
  <c r="AZ483" i="3" s="1"/>
  <c r="BA482" i="3"/>
  <c r="AZ482" i="3" s="1"/>
  <c r="BL481" i="3"/>
  <c r="AZ481" i="3" s="1"/>
  <c r="BA480" i="3"/>
  <c r="BL479" i="3"/>
  <c r="AZ479" i="3" s="1"/>
  <c r="BA478" i="3"/>
  <c r="AZ478" i="3" s="1"/>
  <c r="BL477" i="3"/>
  <c r="AZ477" i="3" s="1"/>
  <c r="BA476" i="3"/>
  <c r="BL475" i="3"/>
  <c r="AZ475" i="3" s="1"/>
  <c r="BA474" i="3"/>
  <c r="AZ474" i="3" s="1"/>
  <c r="BL473" i="3"/>
  <c r="AZ473" i="3" s="1"/>
  <c r="BA472" i="3"/>
  <c r="BL471" i="3"/>
  <c r="AZ471" i="3" s="1"/>
  <c r="BA470" i="3"/>
  <c r="AZ470" i="3" s="1"/>
  <c r="BL469" i="3"/>
  <c r="AZ469" i="3" s="1"/>
  <c r="BA468" i="3"/>
  <c r="BL467" i="3"/>
  <c r="AZ467" i="3" s="1"/>
  <c r="BA466" i="3"/>
  <c r="AZ466" i="3" s="1"/>
  <c r="BL465" i="3"/>
  <c r="AZ465" i="3" s="1"/>
  <c r="BA464" i="3"/>
  <c r="BL463" i="3"/>
  <c r="AZ463" i="3" s="1"/>
  <c r="BA462" i="3"/>
  <c r="AZ462" i="3" s="1"/>
  <c r="BL461" i="3"/>
  <c r="AZ461" i="3" s="1"/>
  <c r="BA460" i="3"/>
  <c r="BL459" i="3"/>
  <c r="AZ459" i="3" s="1"/>
  <c r="BA458" i="3"/>
  <c r="AZ458" i="3" s="1"/>
  <c r="BL457" i="3"/>
  <c r="AZ457" i="3" s="1"/>
  <c r="BA456" i="3"/>
  <c r="BL455" i="3"/>
  <c r="AZ455" i="3" s="1"/>
  <c r="BA454" i="3"/>
  <c r="AZ454" i="3" s="1"/>
  <c r="BL453" i="3"/>
  <c r="AZ453" i="3" s="1"/>
  <c r="BA452" i="3"/>
  <c r="BL451" i="3"/>
  <c r="AZ451" i="3" s="1"/>
  <c r="BA450" i="3"/>
  <c r="AZ450" i="3" s="1"/>
  <c r="BL449" i="3"/>
  <c r="AZ449" i="3" s="1"/>
  <c r="BA448" i="3"/>
  <c r="BL447" i="3"/>
  <c r="AZ447" i="3" s="1"/>
  <c r="BA446" i="3"/>
  <c r="AZ446" i="3" s="1"/>
  <c r="BL445" i="3"/>
  <c r="AZ445" i="3" s="1"/>
  <c r="BA444" i="3"/>
  <c r="BL443" i="3"/>
  <c r="AZ443" i="3" s="1"/>
  <c r="BA442" i="3"/>
  <c r="AZ442" i="3" s="1"/>
  <c r="BL441" i="3"/>
  <c r="AZ441" i="3" s="1"/>
  <c r="BA440" i="3"/>
  <c r="BL439" i="3"/>
  <c r="AZ439" i="3" s="1"/>
  <c r="BA438" i="3"/>
  <c r="AZ438" i="3" s="1"/>
  <c r="BL437" i="3"/>
  <c r="AZ437" i="3" s="1"/>
  <c r="BA436" i="3"/>
  <c r="BL435" i="3"/>
  <c r="AZ435" i="3" s="1"/>
  <c r="BA434" i="3"/>
  <c r="AZ434" i="3" s="1"/>
  <c r="BL433" i="3"/>
  <c r="AZ433" i="3" s="1"/>
  <c r="BA432" i="3"/>
  <c r="BL431" i="3"/>
  <c r="AZ431" i="3" s="1"/>
  <c r="BA430" i="3"/>
  <c r="AZ430" i="3" s="1"/>
  <c r="BL429" i="3"/>
  <c r="AZ429" i="3" s="1"/>
  <c r="BA428" i="3"/>
  <c r="BL427" i="3"/>
  <c r="AZ427" i="3" s="1"/>
  <c r="BA426" i="3"/>
  <c r="AZ426" i="3" s="1"/>
  <c r="BL425" i="3"/>
  <c r="AZ425" i="3" s="1"/>
  <c r="BA424" i="3"/>
  <c r="BL423" i="3"/>
  <c r="AZ423" i="3" s="1"/>
  <c r="BA422" i="3"/>
  <c r="AZ422" i="3" s="1"/>
  <c r="BL421" i="3"/>
  <c r="AZ421" i="3" s="1"/>
  <c r="BA420" i="3"/>
  <c r="AZ420" i="3" s="1"/>
  <c r="BL419" i="3"/>
  <c r="AZ419" i="3" s="1"/>
  <c r="BA418" i="3"/>
  <c r="AZ418" i="3" s="1"/>
  <c r="BL417" i="3"/>
  <c r="AZ417" i="3" s="1"/>
  <c r="BA416" i="3"/>
  <c r="BL415" i="3"/>
  <c r="AZ415" i="3" s="1"/>
  <c r="BA414" i="3"/>
  <c r="AZ414" i="3" s="1"/>
  <c r="BL413" i="3"/>
  <c r="AZ413" i="3" s="1"/>
  <c r="BA412" i="3"/>
  <c r="AZ412" i="3" s="1"/>
  <c r="BL411" i="3"/>
  <c r="AZ411" i="3" s="1"/>
  <c r="BA410" i="3"/>
  <c r="AZ410" i="3" s="1"/>
  <c r="BL409" i="3"/>
  <c r="AZ409" i="3" s="1"/>
  <c r="BA408" i="3"/>
  <c r="BL407" i="3"/>
  <c r="AZ407" i="3" s="1"/>
  <c r="BA406" i="3"/>
  <c r="AZ406" i="3" s="1"/>
  <c r="BL405" i="3"/>
  <c r="AZ405" i="3" s="1"/>
  <c r="BA404" i="3"/>
  <c r="AZ404" i="3" s="1"/>
  <c r="BL403" i="3"/>
  <c r="AZ403" i="3" s="1"/>
  <c r="BA402" i="3"/>
  <c r="AZ402" i="3" s="1"/>
  <c r="BL401" i="3"/>
  <c r="AZ401" i="3" s="1"/>
  <c r="BA400" i="3"/>
  <c r="BL399" i="3"/>
  <c r="AZ399" i="3" s="1"/>
  <c r="BA398" i="3"/>
  <c r="AZ398" i="3" s="1"/>
  <c r="BL397" i="3"/>
  <c r="AZ397" i="3" s="1"/>
  <c r="BA396" i="3"/>
  <c r="AZ396" i="3" s="1"/>
  <c r="BL395" i="3"/>
  <c r="AZ395" i="3" s="1"/>
  <c r="BA394" i="3"/>
  <c r="AZ394" i="3" s="1"/>
  <c r="BL393" i="3"/>
  <c r="AZ393" i="3" s="1"/>
  <c r="BA392" i="3"/>
  <c r="BL391" i="3"/>
  <c r="AZ391" i="3" s="1"/>
  <c r="BA390" i="3"/>
  <c r="AZ390" i="3" s="1"/>
  <c r="BL389" i="3"/>
  <c r="AZ389" i="3" s="1"/>
  <c r="BA388" i="3"/>
  <c r="AZ388" i="3" s="1"/>
  <c r="BL387" i="3"/>
  <c r="AZ387" i="3" s="1"/>
  <c r="BA386" i="3"/>
  <c r="AZ386" i="3" s="1"/>
  <c r="BL385" i="3"/>
  <c r="AZ385" i="3" s="1"/>
  <c r="BA384" i="3"/>
  <c r="BL383" i="3"/>
  <c r="AZ383" i="3" s="1"/>
  <c r="BA382" i="3"/>
  <c r="AZ382" i="3" s="1"/>
  <c r="BL381" i="3"/>
  <c r="AZ381" i="3" s="1"/>
  <c r="BA380" i="3"/>
  <c r="AZ380" i="3" s="1"/>
  <c r="BL379" i="3"/>
  <c r="AZ379" i="3" s="1"/>
  <c r="BA378" i="3"/>
  <c r="AZ378" i="3" s="1"/>
  <c r="BL377" i="3"/>
  <c r="AZ377" i="3" s="1"/>
  <c r="BA376" i="3"/>
  <c r="BL375" i="3"/>
  <c r="AZ375" i="3" s="1"/>
  <c r="BL372" i="3"/>
  <c r="BA372" i="3"/>
  <c r="BL371" i="3"/>
  <c r="AZ371" i="3" s="1"/>
  <c r="BL368" i="3"/>
  <c r="BA368" i="3"/>
  <c r="AZ368" i="3" s="1"/>
  <c r="BL367" i="3"/>
  <c r="BL364" i="3"/>
  <c r="BA364" i="3"/>
  <c r="BL363" i="3"/>
  <c r="AZ363" i="3" s="1"/>
  <c r="BL360" i="3"/>
  <c r="BA360" i="3"/>
  <c r="BL359" i="3"/>
  <c r="BL356" i="3"/>
  <c r="BA356" i="3"/>
  <c r="BL355" i="3"/>
  <c r="AZ355" i="3" s="1"/>
  <c r="BL352" i="3"/>
  <c r="BA352" i="3"/>
  <c r="AZ352" i="3"/>
  <c r="BL351" i="3"/>
  <c r="BL348" i="3"/>
  <c r="BA348" i="3"/>
  <c r="BL347" i="3"/>
  <c r="AZ347" i="3"/>
  <c r="BL344" i="3"/>
  <c r="BA344" i="3"/>
  <c r="AZ344" i="3" s="1"/>
  <c r="BL343" i="3"/>
  <c r="BL340" i="3"/>
  <c r="BA340" i="3"/>
  <c r="BL339" i="3"/>
  <c r="AZ339" i="3" s="1"/>
  <c r="BL336" i="3"/>
  <c r="BA336" i="3"/>
  <c r="AZ336" i="3" s="1"/>
  <c r="BL335" i="3"/>
  <c r="BL332" i="3"/>
  <c r="BA332" i="3"/>
  <c r="BL331" i="3"/>
  <c r="AZ331" i="3" s="1"/>
  <c r="BL328" i="3"/>
  <c r="BA328" i="3"/>
  <c r="BL327" i="3"/>
  <c r="BL324" i="3"/>
  <c r="BA324" i="3"/>
  <c r="BL323" i="3"/>
  <c r="AZ323" i="3" s="1"/>
  <c r="BL320" i="3"/>
  <c r="BA320" i="3"/>
  <c r="AZ320" i="3"/>
  <c r="BL319" i="3"/>
  <c r="BL316" i="3"/>
  <c r="BA316" i="3"/>
  <c r="BL315" i="3"/>
  <c r="AZ315" i="3" s="1"/>
  <c r="BL312" i="3"/>
  <c r="BA312" i="3"/>
  <c r="BL311" i="3"/>
  <c r="BL308" i="3"/>
  <c r="BA308" i="3"/>
  <c r="BL307" i="3"/>
  <c r="AZ307" i="3" s="1"/>
  <c r="BL304" i="3"/>
  <c r="BA304" i="3"/>
  <c r="AZ304" i="3"/>
  <c r="BL303" i="3"/>
  <c r="BL300" i="3"/>
  <c r="BA300" i="3"/>
  <c r="BL299" i="3"/>
  <c r="AZ299" i="3" s="1"/>
  <c r="BL296" i="3"/>
  <c r="BA296" i="3"/>
  <c r="BL295" i="3"/>
  <c r="BL292" i="3"/>
  <c r="BA292" i="3"/>
  <c r="BL291" i="3"/>
  <c r="AZ291" i="3" s="1"/>
  <c r="BL288" i="3"/>
  <c r="BL374" i="3"/>
  <c r="BA374" i="3"/>
  <c r="BL373" i="3"/>
  <c r="AZ373" i="3"/>
  <c r="BL370" i="3"/>
  <c r="BA370" i="3"/>
  <c r="AZ370" i="3" s="1"/>
  <c r="BL369" i="3"/>
  <c r="AZ369" i="3" s="1"/>
  <c r="BL366" i="3"/>
  <c r="BA366" i="3"/>
  <c r="BL365" i="3"/>
  <c r="AZ365" i="3" s="1"/>
  <c r="BL362" i="3"/>
  <c r="BA362" i="3"/>
  <c r="AZ362" i="3" s="1"/>
  <c r="BL361" i="3"/>
  <c r="AZ361" i="3" s="1"/>
  <c r="BL358" i="3"/>
  <c r="BA358" i="3"/>
  <c r="BL357" i="3"/>
  <c r="AZ357" i="3" s="1"/>
  <c r="BL354" i="3"/>
  <c r="BA354" i="3"/>
  <c r="BL353" i="3"/>
  <c r="AZ353" i="3" s="1"/>
  <c r="BL350" i="3"/>
  <c r="BA350" i="3"/>
  <c r="BL349" i="3"/>
  <c r="AZ349" i="3" s="1"/>
  <c r="BL346" i="3"/>
  <c r="BA346" i="3"/>
  <c r="AZ346" i="3"/>
  <c r="BL345" i="3"/>
  <c r="AZ345" i="3"/>
  <c r="BL342" i="3"/>
  <c r="BA342" i="3"/>
  <c r="BL341" i="3"/>
  <c r="AZ341" i="3"/>
  <c r="BL338" i="3"/>
  <c r="BA338" i="3"/>
  <c r="AZ338" i="3" s="1"/>
  <c r="BL337" i="3"/>
  <c r="AZ337" i="3" s="1"/>
  <c r="BL334" i="3"/>
  <c r="BA334" i="3"/>
  <c r="BL333" i="3"/>
  <c r="AZ333" i="3" s="1"/>
  <c r="BL330" i="3"/>
  <c r="BA330" i="3"/>
  <c r="AZ330" i="3" s="1"/>
  <c r="BL329" i="3"/>
  <c r="AZ329" i="3" s="1"/>
  <c r="BL326" i="3"/>
  <c r="BA326" i="3"/>
  <c r="BL325" i="3"/>
  <c r="AZ325" i="3" s="1"/>
  <c r="BL322" i="3"/>
  <c r="BA322" i="3"/>
  <c r="BL321" i="3"/>
  <c r="AZ321" i="3" s="1"/>
  <c r="BL318" i="3"/>
  <c r="BA318" i="3"/>
  <c r="BL317" i="3"/>
  <c r="AZ317" i="3" s="1"/>
  <c r="BL314" i="3"/>
  <c r="BA314" i="3"/>
  <c r="AZ314" i="3"/>
  <c r="BL313" i="3"/>
  <c r="AZ313" i="3"/>
  <c r="BL310" i="3"/>
  <c r="BA310" i="3"/>
  <c r="AZ310" i="3" s="1"/>
  <c r="BL309" i="3"/>
  <c r="AZ309" i="3" s="1"/>
  <c r="BL306" i="3"/>
  <c r="BA306" i="3"/>
  <c r="BL305" i="3"/>
  <c r="AZ305" i="3" s="1"/>
  <c r="BL302" i="3"/>
  <c r="BA302" i="3"/>
  <c r="AZ302" i="3" s="1"/>
  <c r="BL301" i="3"/>
  <c r="AZ301" i="3" s="1"/>
  <c r="BL298" i="3"/>
  <c r="BA298" i="3"/>
  <c r="BL297" i="3"/>
  <c r="AZ297" i="3" s="1"/>
  <c r="BL294" i="3"/>
  <c r="BA294" i="3"/>
  <c r="BL293" i="3"/>
  <c r="AZ293" i="3" s="1"/>
  <c r="BL290" i="3"/>
  <c r="BA290" i="3"/>
  <c r="BL289" i="3"/>
  <c r="AZ289" i="3" s="1"/>
  <c r="BA58" i="3"/>
  <c r="BA54" i="3"/>
  <c r="BA50" i="3"/>
  <c r="BA46" i="3"/>
  <c r="BA42" i="3"/>
  <c r="BA38" i="3"/>
  <c r="BA34" i="3"/>
  <c r="BA30" i="3"/>
  <c r="BA26" i="3"/>
  <c r="BA22" i="3"/>
  <c r="BA18" i="3"/>
  <c r="D108" i="43"/>
  <c r="BA288" i="3"/>
  <c r="AZ288" i="3" s="1"/>
  <c r="BL287" i="3"/>
  <c r="BA286" i="3"/>
  <c r="AZ286" i="3" s="1"/>
  <c r="BL285" i="3"/>
  <c r="AZ285" i="3" s="1"/>
  <c r="BA284" i="3"/>
  <c r="AZ284" i="3" s="1"/>
  <c r="BL283" i="3"/>
  <c r="AZ283" i="3" s="1"/>
  <c r="BA282" i="3"/>
  <c r="AZ282" i="3" s="1"/>
  <c r="BL281" i="3"/>
  <c r="AZ281" i="3" s="1"/>
  <c r="BA280" i="3"/>
  <c r="AZ280" i="3" s="1"/>
  <c r="BL279" i="3"/>
  <c r="BA278" i="3"/>
  <c r="AZ278" i="3" s="1"/>
  <c r="BL277" i="3"/>
  <c r="AZ277" i="3" s="1"/>
  <c r="BA276" i="3"/>
  <c r="AZ276" i="3" s="1"/>
  <c r="BL275" i="3"/>
  <c r="AZ275" i="3" s="1"/>
  <c r="BA274" i="3"/>
  <c r="AZ274" i="3" s="1"/>
  <c r="BL273" i="3"/>
  <c r="AZ273" i="3" s="1"/>
  <c r="BA56" i="3"/>
  <c r="BA52" i="3"/>
  <c r="BA48" i="3"/>
  <c r="BA44" i="3"/>
  <c r="BA40" i="3"/>
  <c r="BA36" i="3"/>
  <c r="BA32" i="3"/>
  <c r="BA28" i="3"/>
  <c r="BA24" i="3"/>
  <c r="BA20" i="3"/>
  <c r="BA16" i="3"/>
  <c r="C6" i="71"/>
  <c r="D7" i="71"/>
  <c r="U7" i="71" s="1"/>
  <c r="E10" i="71"/>
  <c r="E9" i="71" s="1"/>
  <c r="Y5" i="71"/>
  <c r="Z5" i="71" s="1"/>
  <c r="D22" i="81"/>
  <c r="W8" i="83"/>
  <c r="U11" i="83"/>
  <c r="S12" i="83"/>
  <c r="S15" i="83"/>
  <c r="S19" i="83"/>
  <c r="S23" i="83"/>
  <c r="U27" i="83"/>
  <c r="S28" i="83"/>
  <c r="U31" i="83"/>
  <c r="S32" i="83"/>
  <c r="U35" i="83"/>
  <c r="S36" i="83"/>
  <c r="U39" i="83"/>
  <c r="S40" i="83"/>
  <c r="U42" i="83"/>
  <c r="E85" i="21"/>
  <c r="F85" i="21" s="1"/>
  <c r="G85" i="21" s="1"/>
  <c r="F23" i="21"/>
  <c r="F23" i="71"/>
  <c r="V23" i="71" s="1"/>
  <c r="F19" i="71"/>
  <c r="V19" i="71" s="1"/>
  <c r="F15" i="71"/>
  <c r="V15" i="71" s="1"/>
  <c r="AB5" i="71"/>
  <c r="B23" i="71"/>
  <c r="S23" i="71"/>
  <c r="B19" i="71"/>
  <c r="S19" i="71"/>
  <c r="B15" i="71"/>
  <c r="S15" i="71"/>
  <c r="X5" i="71"/>
  <c r="BQ14" i="3"/>
  <c r="F45" i="83"/>
  <c r="K144" i="83"/>
  <c r="H23" i="21"/>
  <c r="W45" i="89"/>
  <c r="AC45" i="89"/>
  <c r="J17" i="86"/>
  <c r="W17" i="86" s="1"/>
  <c r="H23" i="86"/>
  <c r="K145" i="89"/>
  <c r="F27" i="86"/>
  <c r="E101" i="86"/>
  <c r="H27" i="86" s="1"/>
  <c r="J32" i="86"/>
  <c r="J15" i="39"/>
  <c r="AC15" i="39" s="1"/>
  <c r="H15" i="39"/>
  <c r="H32" i="39"/>
  <c r="U32" i="39" s="1"/>
  <c r="W8" i="89"/>
  <c r="S19" i="89"/>
  <c r="S23" i="89"/>
  <c r="U28" i="89"/>
  <c r="S29" i="89"/>
  <c r="W30" i="89"/>
  <c r="S31" i="89"/>
  <c r="U34" i="89"/>
  <c r="S35" i="89"/>
  <c r="U38" i="89"/>
  <c r="S39" i="89"/>
  <c r="U42" i="89"/>
  <c r="S43" i="89"/>
  <c r="S44" i="89"/>
  <c r="F45" i="89"/>
  <c r="H45" i="89"/>
  <c r="K144" i="89"/>
  <c r="E11" i="49"/>
  <c r="B8" i="49"/>
  <c r="B4" i="49"/>
  <c r="E5" i="49"/>
  <c r="E10" i="49"/>
  <c r="E8" i="49"/>
  <c r="E16" i="49"/>
  <c r="B13" i="49"/>
  <c r="E4" i="4" s="1"/>
  <c r="B5" i="62" s="1"/>
  <c r="B73" i="72" s="1"/>
  <c r="E6" i="49"/>
  <c r="E7" i="49"/>
  <c r="B16" i="49"/>
  <c r="B10" i="49"/>
  <c r="E4" i="49"/>
  <c r="B6" i="49"/>
  <c r="E9" i="49"/>
  <c r="E21" i="49"/>
  <c r="B11" i="49"/>
  <c r="B9" i="49"/>
  <c r="B5" i="49"/>
  <c r="E22" i="49"/>
  <c r="B14" i="49"/>
  <c r="B7" i="49"/>
  <c r="C4" i="4" s="1"/>
  <c r="B22" i="49"/>
  <c r="G88" i="34"/>
  <c r="H88" i="34" s="1"/>
  <c r="I88" i="34" s="1"/>
  <c r="J88" i="34" s="1"/>
  <c r="K88" i="34" s="1"/>
  <c r="L88" i="34" s="1"/>
  <c r="M88" i="34" s="1"/>
  <c r="H25" i="34"/>
  <c r="J25" i="34"/>
  <c r="F25" i="34"/>
  <c r="D48" i="35"/>
  <c r="E48" i="35" s="1"/>
  <c r="F28" i="82"/>
  <c r="C28" i="82" s="1"/>
  <c r="F32" i="82"/>
  <c r="F60" i="82" s="1"/>
  <c r="M18" i="82"/>
  <c r="F28" i="81"/>
  <c r="C28" i="81"/>
  <c r="F32" i="81"/>
  <c r="F60" i="81"/>
  <c r="M18" i="81"/>
  <c r="S44" i="33"/>
  <c r="AA44" i="33"/>
  <c r="S14" i="33"/>
  <c r="AA14" i="33"/>
  <c r="U11" i="36"/>
  <c r="AB11" i="36"/>
  <c r="W32" i="36"/>
  <c r="AC32" i="36"/>
  <c r="AA45" i="33"/>
  <c r="S45" i="33"/>
  <c r="W31" i="33"/>
  <c r="AC31" i="33"/>
  <c r="U26" i="33"/>
  <c r="AB26" i="33"/>
  <c r="S29" i="35"/>
  <c r="AA29" i="35"/>
  <c r="W28" i="34"/>
  <c r="AC28" i="34"/>
  <c r="S39" i="37"/>
  <c r="AA39" i="37"/>
  <c r="AA35" i="39"/>
  <c r="S35" i="39"/>
  <c r="AC44" i="39"/>
  <c r="W44" i="39"/>
  <c r="AB26" i="21"/>
  <c r="U26" i="21"/>
  <c r="H28" i="21"/>
  <c r="F28" i="21"/>
  <c r="J28" i="21"/>
  <c r="H31" i="21"/>
  <c r="J31" i="21"/>
  <c r="F31" i="21"/>
  <c r="F17" i="21"/>
  <c r="E79" i="21"/>
  <c r="F79" i="21"/>
  <c r="G79" i="21" s="1"/>
  <c r="J43" i="21"/>
  <c r="E125" i="21"/>
  <c r="F125" i="21" s="1"/>
  <c r="G125" i="21" s="1"/>
  <c r="F43" i="21"/>
  <c r="H43" i="21"/>
  <c r="AA35" i="34"/>
  <c r="S35" i="34"/>
  <c r="H36" i="35"/>
  <c r="J36" i="35"/>
  <c r="F36" i="35"/>
  <c r="AA27" i="35"/>
  <c r="S27" i="35"/>
  <c r="W27" i="35"/>
  <c r="AC27" i="35"/>
  <c r="AA10" i="36"/>
  <c r="S10" i="36"/>
  <c r="W16" i="36"/>
  <c r="AC16" i="36"/>
  <c r="J25" i="36"/>
  <c r="F25" i="36"/>
  <c r="H25" i="36"/>
  <c r="F28" i="37"/>
  <c r="J28" i="37"/>
  <c r="H28" i="37"/>
  <c r="H38" i="37"/>
  <c r="J38" i="37"/>
  <c r="F38" i="37"/>
  <c r="H44" i="39"/>
  <c r="F44" i="39"/>
  <c r="S9" i="40"/>
  <c r="AA9" i="40"/>
  <c r="U39" i="40"/>
  <c r="AB39" i="40"/>
  <c r="AC31" i="40"/>
  <c r="W31" i="40"/>
  <c r="H112" i="34"/>
  <c r="I112" i="34" s="1"/>
  <c r="J112" i="34" s="1"/>
  <c r="K112" i="34" s="1"/>
  <c r="L112" i="34" s="1"/>
  <c r="M112" i="34" s="1"/>
  <c r="F37" i="34"/>
  <c r="H37" i="34"/>
  <c r="D34" i="71"/>
  <c r="C35" i="71"/>
  <c r="D42" i="71"/>
  <c r="C43" i="71"/>
  <c r="Q49" i="71"/>
  <c r="Q48" i="71"/>
  <c r="U43" i="33"/>
  <c r="AC44" i="33"/>
  <c r="W44" i="33"/>
  <c r="AA11" i="36"/>
  <c r="S11" i="36"/>
  <c r="AC11" i="35"/>
  <c r="W11" i="35"/>
  <c r="W30" i="34"/>
  <c r="AC30" i="34"/>
  <c r="AC29" i="33"/>
  <c r="W29" i="33"/>
  <c r="AC37" i="34"/>
  <c r="W37" i="34"/>
  <c r="AB33" i="35"/>
  <c r="U33" i="35"/>
  <c r="W34" i="36"/>
  <c r="AC34" i="36"/>
  <c r="AC35" i="39"/>
  <c r="W35" i="39"/>
  <c r="S12" i="21"/>
  <c r="AA12" i="21"/>
  <c r="J14" i="21"/>
  <c r="F14" i="21"/>
  <c r="H14" i="21"/>
  <c r="H30" i="21"/>
  <c r="F30" i="21"/>
  <c r="J30" i="21"/>
  <c r="J45" i="21"/>
  <c r="F45" i="21"/>
  <c r="AA40" i="21"/>
  <c r="S40" i="21"/>
  <c r="AB40" i="33"/>
  <c r="U40" i="33"/>
  <c r="AC8" i="34"/>
  <c r="W8" i="34"/>
  <c r="S12" i="34"/>
  <c r="AA12" i="34"/>
  <c r="E126" i="34"/>
  <c r="F126" i="34" s="1"/>
  <c r="G126" i="34" s="1"/>
  <c r="F44" i="34"/>
  <c r="J12" i="34"/>
  <c r="H12" i="34"/>
  <c r="J34" i="35"/>
  <c r="H34" i="35"/>
  <c r="F34" i="35"/>
  <c r="AC22" i="35"/>
  <c r="W22" i="35"/>
  <c r="AA8" i="36"/>
  <c r="S8" i="36"/>
  <c r="AC8" i="36"/>
  <c r="W8" i="36"/>
  <c r="U12" i="36"/>
  <c r="AB12" i="36"/>
  <c r="AC28" i="36"/>
  <c r="W28" i="36"/>
  <c r="H34" i="36"/>
  <c r="F34" i="36"/>
  <c r="H33" i="36"/>
  <c r="J33" i="36"/>
  <c r="W8" i="37"/>
  <c r="AC8" i="37"/>
  <c r="AB30" i="37"/>
  <c r="U30" i="37"/>
  <c r="H13" i="37"/>
  <c r="F13" i="37"/>
  <c r="J13" i="37"/>
  <c r="F21" i="39"/>
  <c r="H21" i="39"/>
  <c r="J21" i="39"/>
  <c r="H31" i="39"/>
  <c r="J31" i="39"/>
  <c r="F31" i="39"/>
  <c r="J43" i="39"/>
  <c r="F43" i="39"/>
  <c r="H43" i="39"/>
  <c r="AB9" i="40"/>
  <c r="U9" i="40"/>
  <c r="AB38" i="40"/>
  <c r="U38" i="40"/>
  <c r="H13" i="40"/>
  <c r="J13" i="40"/>
  <c r="F13" i="40"/>
  <c r="P48" i="71"/>
  <c r="P49" i="71"/>
  <c r="D38" i="71"/>
  <c r="C39" i="71"/>
  <c r="C46" i="71"/>
  <c r="D45" i="71"/>
  <c r="H33" i="40"/>
  <c r="F33" i="40"/>
  <c r="AB42" i="34"/>
  <c r="S38" i="40"/>
  <c r="H23" i="39"/>
  <c r="J23" i="39"/>
  <c r="F23" i="39"/>
  <c r="B11" i="1"/>
  <c r="E11" i="1" s="1"/>
  <c r="G1" i="82"/>
  <c r="G1" i="81"/>
  <c r="G1" i="15"/>
  <c r="K10" i="1"/>
  <c r="M10" i="1" s="1"/>
  <c r="O10" i="1" s="1"/>
  <c r="P10" i="1" s="1"/>
  <c r="D23" i="67"/>
  <c r="C40" i="68"/>
  <c r="C40" i="69"/>
  <c r="D3" i="21"/>
  <c r="D3" i="89"/>
  <c r="F34" i="82"/>
  <c r="F62" i="82" s="1"/>
  <c r="M20" i="82"/>
  <c r="F34" i="81"/>
  <c r="F62" i="81"/>
  <c r="M20" i="81"/>
  <c r="F6" i="1"/>
  <c r="G6" i="1" s="1"/>
  <c r="F7" i="1"/>
  <c r="G7" i="1" s="1"/>
  <c r="K7" i="1"/>
  <c r="M7" i="1" s="1"/>
  <c r="F8" i="1"/>
  <c r="G8" i="1" s="1"/>
  <c r="S18" i="36"/>
  <c r="C25" i="40"/>
  <c r="H29" i="39"/>
  <c r="J29" i="39"/>
  <c r="F29" i="39"/>
  <c r="C66" i="71"/>
  <c r="C62" i="71"/>
  <c r="C54" i="71"/>
  <c r="Q50" i="71"/>
  <c r="B50" i="71"/>
  <c r="AH10" i="43"/>
  <c r="AD10" i="43"/>
  <c r="Z10" i="43"/>
  <c r="AG10" i="43"/>
  <c r="AC10" i="43"/>
  <c r="BA272" i="3"/>
  <c r="AZ272" i="3"/>
  <c r="BL269" i="3"/>
  <c r="AZ269" i="3"/>
  <c r="BA268" i="3"/>
  <c r="AZ268" i="3"/>
  <c r="BL265" i="3"/>
  <c r="AZ265" i="3"/>
  <c r="BA264" i="3"/>
  <c r="AZ264" i="3"/>
  <c r="BL261" i="3"/>
  <c r="AZ261" i="3"/>
  <c r="BA260" i="3"/>
  <c r="AZ260" i="3"/>
  <c r="BL257" i="3"/>
  <c r="AZ257" i="3"/>
  <c r="BA256" i="3"/>
  <c r="AZ256" i="3"/>
  <c r="BL253" i="3"/>
  <c r="AZ253" i="3"/>
  <c r="BA252" i="3"/>
  <c r="AZ252" i="3"/>
  <c r="BL249" i="3"/>
  <c r="AZ249" i="3"/>
  <c r="BA248" i="3"/>
  <c r="AZ248" i="3"/>
  <c r="BL245" i="3"/>
  <c r="AZ245" i="3"/>
  <c r="BA244" i="3"/>
  <c r="AZ244" i="3"/>
  <c r="BL241" i="3"/>
  <c r="AZ241" i="3"/>
  <c r="BA240" i="3"/>
  <c r="AZ240" i="3"/>
  <c r="BL237" i="3"/>
  <c r="AZ237" i="3"/>
  <c r="BA236" i="3"/>
  <c r="AZ236" i="3"/>
  <c r="BL233" i="3"/>
  <c r="AZ233" i="3"/>
  <c r="BL228" i="3"/>
  <c r="AZ228" i="3"/>
  <c r="BA227" i="3"/>
  <c r="BL271" i="3"/>
  <c r="BA270" i="3"/>
  <c r="AZ270" i="3"/>
  <c r="BL267" i="3"/>
  <c r="AZ267" i="3"/>
  <c r="BA266" i="3"/>
  <c r="AZ266" i="3"/>
  <c r="BL263" i="3"/>
  <c r="BA262" i="3"/>
  <c r="AZ262" i="3" s="1"/>
  <c r="BL259" i="3"/>
  <c r="BA258" i="3"/>
  <c r="AZ258" i="3"/>
  <c r="BL255" i="3"/>
  <c r="BA254" i="3"/>
  <c r="AZ254" i="3" s="1"/>
  <c r="BL251" i="3"/>
  <c r="BA250" i="3"/>
  <c r="AZ250" i="3"/>
  <c r="BL247" i="3"/>
  <c r="BA246" i="3"/>
  <c r="AZ246" i="3" s="1"/>
  <c r="BL243" i="3"/>
  <c r="BA242" i="3"/>
  <c r="AZ242" i="3"/>
  <c r="BL239" i="3"/>
  <c r="BA238" i="3"/>
  <c r="AZ238" i="3" s="1"/>
  <c r="BL235" i="3"/>
  <c r="BA234" i="3"/>
  <c r="AZ234" i="3"/>
  <c r="BL232" i="3"/>
  <c r="AZ232" i="3"/>
  <c r="BA231" i="3"/>
  <c r="BL224" i="3"/>
  <c r="AZ224"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O5" i="3"/>
  <c r="BM5" i="3"/>
  <c r="BJ5" i="3"/>
  <c r="BH5" i="3"/>
  <c r="BC5" i="3"/>
  <c r="E9" i="43"/>
  <c r="E11" i="43"/>
  <c r="C20" i="43"/>
  <c r="C9" i="71"/>
  <c r="D10" i="71"/>
  <c r="F19" i="6"/>
  <c r="E19" i="6" s="1"/>
  <c r="I5" i="3"/>
  <c r="BB14" i="3"/>
  <c r="BA223" i="3"/>
  <c r="BL220" i="3"/>
  <c r="AZ220" i="3" s="1"/>
  <c r="BA219" i="3"/>
  <c r="BL216" i="3"/>
  <c r="AZ216" i="3" s="1"/>
  <c r="BA215" i="3"/>
  <c r="BL212" i="3"/>
  <c r="AZ212" i="3" s="1"/>
  <c r="BA211" i="3"/>
  <c r="BL208" i="3"/>
  <c r="AZ208" i="3" s="1"/>
  <c r="BA207" i="3"/>
  <c r="BL204" i="3"/>
  <c r="AZ204" i="3" s="1"/>
  <c r="BA203" i="3"/>
  <c r="BL200" i="3"/>
  <c r="AZ200" i="3" s="1"/>
  <c r="BA199" i="3"/>
  <c r="BL196" i="3"/>
  <c r="AZ196" i="3" s="1"/>
  <c r="BA195" i="3"/>
  <c r="BL192" i="3"/>
  <c r="AZ192" i="3" s="1"/>
  <c r="BA191" i="3"/>
  <c r="BL188" i="3"/>
  <c r="AZ188" i="3" s="1"/>
  <c r="BA187" i="3"/>
  <c r="BL184" i="3"/>
  <c r="AZ184" i="3" s="1"/>
  <c r="BA183" i="3"/>
  <c r="BL180" i="3"/>
  <c r="AZ180" i="3" s="1"/>
  <c r="BA179" i="3"/>
  <c r="BL176" i="3"/>
  <c r="AZ176" i="3" s="1"/>
  <c r="BA175" i="3"/>
  <c r="BL172" i="3"/>
  <c r="AZ172" i="3" s="1"/>
  <c r="BA171" i="3"/>
  <c r="BL168" i="3"/>
  <c r="AZ168" i="3" s="1"/>
  <c r="BA167" i="3"/>
  <c r="BL164" i="3"/>
  <c r="AZ164" i="3" s="1"/>
  <c r="BA163" i="3"/>
  <c r="BL160" i="3"/>
  <c r="AZ160" i="3" s="1"/>
  <c r="BA159" i="3"/>
  <c r="BL156" i="3"/>
  <c r="AZ156" i="3" s="1"/>
  <c r="BA155" i="3"/>
  <c r="BL152" i="3"/>
  <c r="AZ152" i="3" s="1"/>
  <c r="BA151" i="3"/>
  <c r="BL148" i="3"/>
  <c r="AZ148" i="3" s="1"/>
  <c r="BA147" i="3"/>
  <c r="BL144" i="3"/>
  <c r="AZ144" i="3" s="1"/>
  <c r="BA143" i="3"/>
  <c r="BL140" i="3"/>
  <c r="AZ140" i="3" s="1"/>
  <c r="BA139" i="3"/>
  <c r="BL136" i="3"/>
  <c r="AZ136" i="3" s="1"/>
  <c r="BA135" i="3"/>
  <c r="BL132" i="3"/>
  <c r="AZ132" i="3" s="1"/>
  <c r="BA131" i="3"/>
  <c r="BL128" i="3"/>
  <c r="AZ128" i="3" s="1"/>
  <c r="BA127" i="3"/>
  <c r="BL124" i="3"/>
  <c r="AZ124" i="3" s="1"/>
  <c r="BA123" i="3"/>
  <c r="BL120" i="3"/>
  <c r="AZ120" i="3" s="1"/>
  <c r="BA119" i="3"/>
  <c r="BL116" i="3"/>
  <c r="AZ116" i="3" s="1"/>
  <c r="BA115" i="3"/>
  <c r="BL112" i="3"/>
  <c r="AZ112" i="3" s="1"/>
  <c r="BA111" i="3"/>
  <c r="BL108" i="3"/>
  <c r="AZ108" i="3" s="1"/>
  <c r="BA107" i="3"/>
  <c r="BL104" i="3"/>
  <c r="AZ104" i="3" s="1"/>
  <c r="BA103" i="3"/>
  <c r="BL100" i="3"/>
  <c r="AZ100" i="3" s="1"/>
  <c r="BA99" i="3"/>
  <c r="BL96" i="3"/>
  <c r="AZ96" i="3" s="1"/>
  <c r="BA95" i="3"/>
  <c r="BL92" i="3"/>
  <c r="AZ92" i="3" s="1"/>
  <c r="BA91" i="3"/>
  <c r="BL88" i="3"/>
  <c r="AZ88" i="3" s="1"/>
  <c r="BA87" i="3"/>
  <c r="BL84" i="3"/>
  <c r="AZ84" i="3" s="1"/>
  <c r="BA83" i="3"/>
  <c r="BL80" i="3"/>
  <c r="AZ80" i="3" s="1"/>
  <c r="BA79" i="3"/>
  <c r="BL76" i="3"/>
  <c r="AZ76" i="3" s="1"/>
  <c r="BA75" i="3"/>
  <c r="BL72" i="3"/>
  <c r="AZ72" i="3" s="1"/>
  <c r="BA71" i="3"/>
  <c r="BL68" i="3"/>
  <c r="AZ68" i="3" s="1"/>
  <c r="BA67" i="3"/>
  <c r="BL64" i="3"/>
  <c r="AZ64" i="3" s="1"/>
  <c r="BA63" i="3"/>
  <c r="BL60" i="3"/>
  <c r="AZ60" i="3" s="1"/>
  <c r="BA59" i="3"/>
  <c r="BL56" i="3"/>
  <c r="AZ56" i="3" s="1"/>
  <c r="BA55" i="3"/>
  <c r="BL52" i="3"/>
  <c r="AZ52" i="3" s="1"/>
  <c r="BA51" i="3"/>
  <c r="BL48" i="3"/>
  <c r="AZ48" i="3" s="1"/>
  <c r="BA47" i="3"/>
  <c r="BL44" i="3"/>
  <c r="AZ44" i="3" s="1"/>
  <c r="BA43" i="3"/>
  <c r="BL40" i="3"/>
  <c r="AZ40" i="3" s="1"/>
  <c r="BA39" i="3"/>
  <c r="BL36" i="3"/>
  <c r="AZ36" i="3" s="1"/>
  <c r="BA35" i="3"/>
  <c r="AZ35" i="3" s="1"/>
  <c r="BL32" i="3"/>
  <c r="AZ32" i="3" s="1"/>
  <c r="BA31" i="3"/>
  <c r="BL28" i="3"/>
  <c r="AZ28" i="3" s="1"/>
  <c r="BA27" i="3"/>
  <c r="AZ27" i="3" s="1"/>
  <c r="BL24" i="3"/>
  <c r="AZ24" i="3" s="1"/>
  <c r="BA23" i="3"/>
  <c r="BL20" i="3"/>
  <c r="AZ20" i="3" s="1"/>
  <c r="BA19" i="3"/>
  <c r="AZ19" i="3" s="1"/>
  <c r="BL16" i="3"/>
  <c r="AZ16" i="3" s="1"/>
  <c r="BA15" i="3"/>
  <c r="BK5" i="3"/>
  <c r="BI5" i="3"/>
  <c r="BG5" i="3"/>
  <c r="F21" i="6"/>
  <c r="E21" i="6" s="1"/>
  <c r="O5" i="3"/>
  <c r="BT5" i="3"/>
  <c r="BP5" i="3"/>
  <c r="G29" i="6" s="1"/>
  <c r="C22" i="71"/>
  <c r="C18" i="71"/>
  <c r="C14" i="71"/>
  <c r="D11" i="71"/>
  <c r="U11" i="71" s="1"/>
  <c r="C7" i="89"/>
  <c r="C58" i="89" s="1"/>
  <c r="C7" i="86"/>
  <c r="C68" i="86" s="1"/>
  <c r="C7" i="83"/>
  <c r="C58" i="83" s="1"/>
  <c r="F7" i="79"/>
  <c r="F8" i="79" s="1"/>
  <c r="U8" i="83"/>
  <c r="U10" i="83"/>
  <c r="U12" i="83"/>
  <c r="U14" i="83"/>
  <c r="U15" i="83"/>
  <c r="U17" i="83"/>
  <c r="U19" i="83"/>
  <c r="U21" i="83"/>
  <c r="U23" i="83"/>
  <c r="U26" i="83"/>
  <c r="U28" i="83"/>
  <c r="U30" i="83"/>
  <c r="U32" i="83"/>
  <c r="U34" i="83"/>
  <c r="U36" i="83"/>
  <c r="U38" i="83"/>
  <c r="U40" i="83"/>
  <c r="S41" i="83"/>
  <c r="AB41" i="83"/>
  <c r="U41" i="83"/>
  <c r="J44" i="83"/>
  <c r="H44" i="83"/>
  <c r="F44" i="83"/>
  <c r="J46" i="83"/>
  <c r="H46" i="83"/>
  <c r="F46" i="83"/>
  <c r="F19" i="21"/>
  <c r="H19" i="21"/>
  <c r="J19" i="21"/>
  <c r="AC45" i="86"/>
  <c r="W45" i="86"/>
  <c r="AC43" i="86"/>
  <c r="W43" i="86"/>
  <c r="AC41" i="86"/>
  <c r="W41" i="86"/>
  <c r="AC39" i="86"/>
  <c r="W39" i="86"/>
  <c r="AC36" i="86"/>
  <c r="W36" i="86"/>
  <c r="AC34" i="86"/>
  <c r="W34" i="86"/>
  <c r="AC23" i="86"/>
  <c r="W23" i="86"/>
  <c r="AC13" i="86"/>
  <c r="W13" i="86"/>
  <c r="AC8" i="86"/>
  <c r="W8" i="86"/>
  <c r="AB44" i="86"/>
  <c r="U44" i="86"/>
  <c r="AB42" i="86"/>
  <c r="U42" i="86"/>
  <c r="AB40" i="86"/>
  <c r="U40" i="86"/>
  <c r="AB37" i="86"/>
  <c r="U37" i="86"/>
  <c r="AB35" i="86"/>
  <c r="U35" i="86"/>
  <c r="AB14" i="86"/>
  <c r="U14" i="86"/>
  <c r="AB12" i="86"/>
  <c r="U12" i="86"/>
  <c r="H80" i="86"/>
  <c r="F79" i="86"/>
  <c r="F9" i="78"/>
  <c r="F10" i="78" s="1"/>
  <c r="AN14" i="3"/>
  <c r="AB43" i="83"/>
  <c r="U43" i="83"/>
  <c r="K145" i="83"/>
  <c r="K143" i="83"/>
  <c r="K141" i="83"/>
  <c r="F9" i="21"/>
  <c r="H9" i="21"/>
  <c r="J9" i="21"/>
  <c r="AC31" i="86"/>
  <c r="W31" i="86"/>
  <c r="S8" i="86"/>
  <c r="S13" i="86"/>
  <c r="U17" i="86"/>
  <c r="S23" i="86"/>
  <c r="S31" i="86"/>
  <c r="S34" i="86"/>
  <c r="S36" i="86"/>
  <c r="S39" i="86"/>
  <c r="S41" i="86"/>
  <c r="S43" i="86"/>
  <c r="S45" i="86"/>
  <c r="F91" i="86"/>
  <c r="G91" i="86" s="1"/>
  <c r="F95" i="86"/>
  <c r="G95" i="86" s="1"/>
  <c r="F25" i="86"/>
  <c r="AA25" i="86" s="1"/>
  <c r="H25" i="86"/>
  <c r="AB25" i="86" s="1"/>
  <c r="J25" i="86"/>
  <c r="AC25" i="86" s="1"/>
  <c r="F101" i="86"/>
  <c r="G101" i="86" s="1"/>
  <c r="H29" i="86"/>
  <c r="AB29" i="86" s="1"/>
  <c r="J29" i="86"/>
  <c r="AC29" i="86" s="1"/>
  <c r="J21" i="86"/>
  <c r="AC21" i="86" s="1"/>
  <c r="H32" i="86"/>
  <c r="AB32" i="86" s="1"/>
  <c r="F17" i="86"/>
  <c r="F19" i="86"/>
  <c r="AA19" i="86" s="1"/>
  <c r="F32" i="39"/>
  <c r="S32" i="39" s="1"/>
  <c r="S10" i="89"/>
  <c r="AB10" i="89"/>
  <c r="U10" i="89"/>
  <c r="AB14" i="89"/>
  <c r="U14" i="89"/>
  <c r="S17" i="89"/>
  <c r="F21" i="86"/>
  <c r="AA21" i="86" s="1"/>
  <c r="H27" i="39"/>
  <c r="AB27" i="39" s="1"/>
  <c r="J27" i="39"/>
  <c r="AC27" i="39" s="1"/>
  <c r="H9" i="39"/>
  <c r="U9" i="39" s="1"/>
  <c r="J9" i="39"/>
  <c r="AB8" i="89"/>
  <c r="U8" i="89"/>
  <c r="S12" i="89"/>
  <c r="AB12" i="89"/>
  <c r="U12" i="89"/>
  <c r="S15" i="89"/>
  <c r="AB15" i="89"/>
  <c r="U15" i="89"/>
  <c r="U17" i="89"/>
  <c r="U19" i="89"/>
  <c r="U21" i="89"/>
  <c r="U23" i="89"/>
  <c r="U26" i="89"/>
  <c r="U44" i="89"/>
  <c r="U46" i="89"/>
  <c r="BS5" i="3"/>
  <c r="BF5" i="3"/>
  <c r="E5" i="6" s="1"/>
  <c r="U27" i="89"/>
  <c r="U29" i="89"/>
  <c r="U31" i="89"/>
  <c r="U33" i="89"/>
  <c r="U35" i="89"/>
  <c r="U37" i="89"/>
  <c r="U39" i="89"/>
  <c r="U41" i="89"/>
  <c r="U43" i="89"/>
  <c r="BN5" i="3"/>
  <c r="BQ5" i="3"/>
  <c r="F28" i="6" s="1"/>
  <c r="BE5" i="3"/>
  <c r="K141" i="89"/>
  <c r="K143" i="89"/>
  <c r="BA13" i="3"/>
  <c r="F29" i="6"/>
  <c r="O11" i="1"/>
  <c r="P11" i="1" s="1"/>
  <c r="S21" i="86"/>
  <c r="U21" i="86"/>
  <c r="C18" i="9"/>
  <c r="D18" i="9" s="1"/>
  <c r="W25" i="86"/>
  <c r="AB25" i="39"/>
  <c r="U25" i="39"/>
  <c r="E99" i="39"/>
  <c r="F99" i="39" s="1"/>
  <c r="G99" i="39" s="1"/>
  <c r="J25" i="39"/>
  <c r="W25" i="39" s="1"/>
  <c r="F66" i="21"/>
  <c r="G66" i="21"/>
  <c r="H66" i="21" s="1"/>
  <c r="I66" i="21" s="1"/>
  <c r="F10" i="21"/>
  <c r="F23" i="34"/>
  <c r="AA23" i="34" s="1"/>
  <c r="E86" i="34"/>
  <c r="O12" i="1"/>
  <c r="P12" i="1" s="1"/>
  <c r="K1" i="73"/>
  <c r="AZ318" i="3"/>
  <c r="AZ326" i="3"/>
  <c r="AZ334" i="3"/>
  <c r="AZ342" i="3"/>
  <c r="AZ358" i="3"/>
  <c r="AZ366" i="3"/>
  <c r="AZ374" i="3"/>
  <c r="AZ292" i="3"/>
  <c r="AZ300" i="3"/>
  <c r="AZ308" i="3"/>
  <c r="AZ316" i="3"/>
  <c r="AZ324" i="3"/>
  <c r="AZ332" i="3"/>
  <c r="AZ340" i="3"/>
  <c r="AZ348" i="3"/>
  <c r="AZ356" i="3"/>
  <c r="AZ364" i="3"/>
  <c r="AZ372" i="3"/>
  <c r="AZ586" i="3"/>
  <c r="AA23" i="36"/>
  <c r="S23" i="36"/>
  <c r="S12" i="35"/>
  <c r="AA12" i="35"/>
  <c r="H10" i="21"/>
  <c r="U10" i="21" s="1"/>
  <c r="F25" i="39"/>
  <c r="S25" i="39" s="1"/>
  <c r="AZ290" i="3"/>
  <c r="AZ306" i="3"/>
  <c r="AA30" i="83"/>
  <c r="S30" i="83"/>
  <c r="AC25" i="37"/>
  <c r="W25" i="37"/>
  <c r="AB12" i="21"/>
  <c r="U12" i="21"/>
  <c r="O50" i="71"/>
  <c r="C49" i="71"/>
  <c r="O49" i="71" s="1"/>
  <c r="D50" i="71"/>
  <c r="U25" i="86"/>
  <c r="AB41" i="86"/>
  <c r="U41" i="86"/>
  <c r="AB45" i="89"/>
  <c r="U45" i="89"/>
  <c r="AB32" i="39"/>
  <c r="W15" i="39"/>
  <c r="AC17" i="86"/>
  <c r="AA23" i="21"/>
  <c r="S23" i="21"/>
  <c r="AZ298" i="3"/>
  <c r="AZ582" i="3"/>
  <c r="AA25" i="37"/>
  <c r="S25" i="37"/>
  <c r="U9" i="34"/>
  <c r="AB9" i="34"/>
  <c r="I21" i="66"/>
  <c r="S45" i="89"/>
  <c r="AA45" i="89"/>
  <c r="AB15" i="39"/>
  <c r="U15" i="39"/>
  <c r="AC32" i="86"/>
  <c r="W32" i="86"/>
  <c r="AA27" i="86"/>
  <c r="S27" i="86"/>
  <c r="AB23" i="86"/>
  <c r="U23" i="86"/>
  <c r="AB23" i="21"/>
  <c r="U23" i="21"/>
  <c r="AA45" i="83"/>
  <c r="S45" i="83"/>
  <c r="AL5" i="3"/>
  <c r="C5" i="71"/>
  <c r="D5" i="71" s="1"/>
  <c r="D6" i="71"/>
  <c r="AZ350" i="3"/>
  <c r="AA9" i="36"/>
  <c r="S9" i="36"/>
  <c r="D70" i="39"/>
  <c r="E68" i="39"/>
  <c r="F68" i="39" s="1"/>
  <c r="F70" i="39" s="1"/>
  <c r="D26" i="71"/>
  <c r="C27" i="71"/>
  <c r="T27" i="71" s="1"/>
  <c r="AB9" i="39"/>
  <c r="W27" i="39"/>
  <c r="W29" i="86"/>
  <c r="AB9" i="21"/>
  <c r="U9" i="21"/>
  <c r="BR14" i="3"/>
  <c r="BR5" i="3" s="1"/>
  <c r="G28" i="6" s="1"/>
  <c r="G30" i="6" s="1"/>
  <c r="G31" i="6" s="1"/>
  <c r="AC14" i="3"/>
  <c r="AN5" i="3"/>
  <c r="I80" i="86"/>
  <c r="H79" i="86" s="1"/>
  <c r="AB19" i="21"/>
  <c r="U19" i="21"/>
  <c r="S46" i="83"/>
  <c r="AA46" i="83"/>
  <c r="W46" i="83"/>
  <c r="AC46" i="83"/>
  <c r="AB44" i="83"/>
  <c r="U44" i="83"/>
  <c r="D14" i="71"/>
  <c r="C15" i="71"/>
  <c r="D22" i="71"/>
  <c r="C23" i="71"/>
  <c r="N50" i="71"/>
  <c r="B49" i="71"/>
  <c r="D54" i="71"/>
  <c r="C53" i="71"/>
  <c r="D53" i="71"/>
  <c r="D66" i="71"/>
  <c r="C65" i="71"/>
  <c r="D65" i="71" s="1"/>
  <c r="AA29" i="39"/>
  <c r="S29" i="39"/>
  <c r="AB29" i="39"/>
  <c r="U29" i="39"/>
  <c r="AC23" i="39"/>
  <c r="W23" i="39"/>
  <c r="AA33" i="40"/>
  <c r="S33" i="40"/>
  <c r="T39" i="71"/>
  <c r="D39" i="71"/>
  <c r="AA13" i="40"/>
  <c r="S13" i="40"/>
  <c r="U13" i="40"/>
  <c r="AB13" i="40"/>
  <c r="AA43" i="39"/>
  <c r="S43" i="39"/>
  <c r="AA31" i="39"/>
  <c r="S31" i="39"/>
  <c r="AB31" i="39"/>
  <c r="U31" i="39"/>
  <c r="AB21" i="39"/>
  <c r="U21" i="39"/>
  <c r="W13" i="37"/>
  <c r="AC13" i="37"/>
  <c r="AB13" i="37"/>
  <c r="U13" i="37"/>
  <c r="U33" i="36"/>
  <c r="AB33" i="36"/>
  <c r="U34" i="36"/>
  <c r="AB34" i="36"/>
  <c r="U34" i="35"/>
  <c r="AB34" i="35"/>
  <c r="AB12" i="34"/>
  <c r="U12" i="34"/>
  <c r="AA44" i="34"/>
  <c r="S44" i="34"/>
  <c r="W45" i="21"/>
  <c r="AC45" i="21"/>
  <c r="S30" i="21"/>
  <c r="AA30" i="21"/>
  <c r="AB14" i="21"/>
  <c r="U14" i="21"/>
  <c r="W14" i="21"/>
  <c r="AC14" i="21"/>
  <c r="AA37" i="34"/>
  <c r="S37" i="34"/>
  <c r="S44" i="39"/>
  <c r="AA44" i="39"/>
  <c r="S38" i="37"/>
  <c r="AA38" i="37"/>
  <c r="AB38" i="37"/>
  <c r="U38" i="37"/>
  <c r="AC28" i="37"/>
  <c r="W28" i="37"/>
  <c r="AB25" i="36"/>
  <c r="U25" i="36"/>
  <c r="AC25" i="36"/>
  <c r="W25" i="36"/>
  <c r="AC36" i="35"/>
  <c r="W36" i="35"/>
  <c r="AB43" i="21"/>
  <c r="U43" i="21"/>
  <c r="S31" i="21"/>
  <c r="AA31" i="21"/>
  <c r="U31" i="21"/>
  <c r="AB31" i="21"/>
  <c r="S28" i="21"/>
  <c r="AA28" i="21"/>
  <c r="S25" i="34"/>
  <c r="AA25" i="34"/>
  <c r="AB25" i="34"/>
  <c r="U25" i="34"/>
  <c r="AZ13" i="3"/>
  <c r="AC9" i="39"/>
  <c r="W9" i="39"/>
  <c r="U27" i="39"/>
  <c r="AA17" i="86"/>
  <c r="S17" i="86"/>
  <c r="U29" i="86"/>
  <c r="AC9" i="21"/>
  <c r="W9" i="21"/>
  <c r="AA9" i="21"/>
  <c r="S9" i="21"/>
  <c r="G79" i="86"/>
  <c r="AC19" i="21"/>
  <c r="W19" i="21"/>
  <c r="AA19" i="21"/>
  <c r="S19" i="21"/>
  <c r="AB46" i="83"/>
  <c r="U46" i="83"/>
  <c r="S44" i="83"/>
  <c r="AA44" i="83"/>
  <c r="W44" i="83"/>
  <c r="AC44" i="83"/>
  <c r="D18" i="71"/>
  <c r="C19" i="71"/>
  <c r="D9" i="71"/>
  <c r="C61" i="71"/>
  <c r="D61" i="71"/>
  <c r="D62" i="71"/>
  <c r="AC29" i="39"/>
  <c r="W29" i="39"/>
  <c r="AA23" i="39"/>
  <c r="S23" i="39"/>
  <c r="AB23" i="39"/>
  <c r="U23" i="39"/>
  <c r="U33" i="40"/>
  <c r="AB33" i="40"/>
  <c r="C47" i="71"/>
  <c r="D47" i="71" s="1"/>
  <c r="D46" i="71"/>
  <c r="AC13" i="40"/>
  <c r="W13" i="40"/>
  <c r="AB43" i="39"/>
  <c r="U43" i="39"/>
  <c r="W43" i="39"/>
  <c r="AC43" i="39"/>
  <c r="AC31" i="39"/>
  <c r="W31" i="39"/>
  <c r="AC21" i="39"/>
  <c r="W21" i="39"/>
  <c r="AA21" i="39"/>
  <c r="S21" i="39"/>
  <c r="S13" i="37"/>
  <c r="AA13" i="37"/>
  <c r="W33" i="36"/>
  <c r="AC33" i="36"/>
  <c r="S34" i="36"/>
  <c r="AA34" i="36"/>
  <c r="AA34" i="35"/>
  <c r="S34" i="35"/>
  <c r="W34" i="35"/>
  <c r="AC34" i="35"/>
  <c r="AC12" i="34"/>
  <c r="W12" i="34"/>
  <c r="AA45" i="21"/>
  <c r="S45" i="21"/>
  <c r="W30" i="21"/>
  <c r="AC30" i="21"/>
  <c r="U30" i="21"/>
  <c r="AB30" i="21"/>
  <c r="S14" i="21"/>
  <c r="AA14" i="21"/>
  <c r="T43" i="71"/>
  <c r="D43" i="71"/>
  <c r="T35" i="71"/>
  <c r="D35" i="71"/>
  <c r="U37" i="34"/>
  <c r="AB37" i="34"/>
  <c r="U44" i="39"/>
  <c r="AB44" i="39"/>
  <c r="W38" i="37"/>
  <c r="AC38" i="37"/>
  <c r="AB28" i="37"/>
  <c r="U28" i="37"/>
  <c r="AA28" i="37"/>
  <c r="S28" i="37"/>
  <c r="S25" i="36"/>
  <c r="AA25" i="36"/>
  <c r="S36" i="35"/>
  <c r="AA36" i="35"/>
  <c r="AB36" i="35"/>
  <c r="U36" i="35"/>
  <c r="S43" i="21"/>
  <c r="AA43" i="21"/>
  <c r="AC43" i="21"/>
  <c r="W43" i="21"/>
  <c r="AA17" i="21"/>
  <c r="S17" i="21"/>
  <c r="W31" i="21"/>
  <c r="AC31" i="21"/>
  <c r="AC28" i="21"/>
  <c r="W28" i="21"/>
  <c r="AB28" i="21"/>
  <c r="U28" i="21"/>
  <c r="W25" i="34"/>
  <c r="AC25" i="34"/>
  <c r="AC25" i="39"/>
  <c r="AA25" i="39"/>
  <c r="AA10" i="21"/>
  <c r="S10" i="21"/>
  <c r="J10" i="21"/>
  <c r="W10" i="21" s="1"/>
  <c r="AB10" i="21"/>
  <c r="F86" i="34"/>
  <c r="G86" i="34" s="1"/>
  <c r="H23" i="34"/>
  <c r="AB23" i="34" s="1"/>
  <c r="J23" i="34"/>
  <c r="AC23" i="34" s="1"/>
  <c r="S23" i="34"/>
  <c r="D49" i="71"/>
  <c r="D27" i="71"/>
  <c r="E70" i="39"/>
  <c r="D19" i="71"/>
  <c r="T19" i="71"/>
  <c r="N48" i="71"/>
  <c r="N49" i="71"/>
  <c r="D23" i="71"/>
  <c r="T23" i="71"/>
  <c r="D15" i="71"/>
  <c r="T15" i="71"/>
  <c r="T47" i="71"/>
  <c r="J80" i="86"/>
  <c r="G14" i="3"/>
  <c r="AC5" i="3"/>
  <c r="AC10" i="21"/>
  <c r="U23" i="34"/>
  <c r="W23" i="34"/>
  <c r="G68" i="39"/>
  <c r="H68" i="39" s="1"/>
  <c r="K80" i="86"/>
  <c r="L80" i="86" s="1"/>
  <c r="G70" i="39"/>
  <c r="S10" i="39"/>
  <c r="AA10" i="39"/>
  <c r="U10" i="39"/>
  <c r="AB10" i="39"/>
  <c r="W10" i="39"/>
  <c r="H70" i="39"/>
  <c r="I68" i="39"/>
  <c r="J68" i="39"/>
  <c r="K68" i="39" s="1"/>
  <c r="I70" i="39"/>
  <c r="H33" i="21"/>
  <c r="U33" i="21" s="1"/>
  <c r="J33" i="21"/>
  <c r="W33" i="21" s="1"/>
  <c r="F33" i="21"/>
  <c r="S33" i="21" s="1"/>
  <c r="J70" i="39"/>
  <c r="AC33" i="21"/>
  <c r="AA33" i="21"/>
  <c r="AB33" i="21"/>
  <c r="H107" i="9"/>
  <c r="D122" i="9" s="1"/>
  <c r="U32" i="86" l="1"/>
  <c r="S19" i="86"/>
  <c r="AA32" i="39"/>
  <c r="D123" i="9"/>
  <c r="D9" i="52" s="1"/>
  <c r="G14" i="74"/>
  <c r="B6" i="74" s="1"/>
  <c r="D8" i="52"/>
  <c r="D13" i="53"/>
  <c r="D14" i="53" s="1"/>
  <c r="B32" i="72" s="1"/>
  <c r="M80" i="86"/>
  <c r="M79" i="86" s="1"/>
  <c r="D19" i="12"/>
  <c r="C19" i="12" s="1"/>
  <c r="D9" i="11"/>
  <c r="C9" i="11" s="1"/>
  <c r="D9" i="68"/>
  <c r="C9" i="68" s="1"/>
  <c r="D9" i="69"/>
  <c r="C9" i="69" s="1"/>
  <c r="AC46" i="34"/>
  <c r="W46" i="34"/>
  <c r="U14" i="37"/>
  <c r="AB14" i="37"/>
  <c r="BL14" i="3"/>
  <c r="O48" i="71"/>
  <c r="W21" i="86"/>
  <c r="S25" i="86"/>
  <c r="E29" i="6"/>
  <c r="AZ294" i="3"/>
  <c r="AZ322" i="3"/>
  <c r="AZ354" i="3"/>
  <c r="AZ296" i="3"/>
  <c r="AZ312" i="3"/>
  <c r="AZ328" i="3"/>
  <c r="AA31" i="33"/>
  <c r="S31" i="33"/>
  <c r="AC24" i="35"/>
  <c r="W24" i="35"/>
  <c r="S22" i="31"/>
  <c r="R22" i="31" s="1"/>
  <c r="B21" i="31" s="1"/>
  <c r="E26" i="66"/>
  <c r="S34" i="21"/>
  <c r="W33" i="33"/>
  <c r="U35" i="33"/>
  <c r="S9" i="33"/>
  <c r="J23" i="35"/>
  <c r="J38" i="40"/>
  <c r="S25" i="40"/>
  <c r="C57" i="71"/>
  <c r="D57" i="71" s="1"/>
  <c r="Q51" i="71"/>
  <c r="F38" i="71"/>
  <c r="F39" i="71" s="1"/>
  <c r="V39" i="71" s="1"/>
  <c r="AI12" i="43"/>
  <c r="AI10" i="43"/>
  <c r="AZ360" i="3"/>
  <c r="P25" i="43"/>
  <c r="P24" i="43"/>
  <c r="B66" i="40" s="1"/>
  <c r="P23" i="43"/>
  <c r="B71" i="39" s="1"/>
  <c r="D19" i="53"/>
  <c r="D20" i="53" s="1"/>
  <c r="B40" i="72" s="1"/>
  <c r="W23" i="37"/>
  <c r="S32" i="37"/>
  <c r="AB27" i="36"/>
  <c r="C13" i="12"/>
  <c r="U13" i="33"/>
  <c r="W31" i="34"/>
  <c r="B13" i="1"/>
  <c r="E13" i="1" s="1"/>
  <c r="F3" i="35"/>
  <c r="I15" i="66"/>
  <c r="D1" i="66" s="1"/>
  <c r="E10" i="66" s="1"/>
  <c r="O51" i="71"/>
  <c r="T51" i="71"/>
  <c r="G582" i="3"/>
  <c r="G574" i="3"/>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7" i="3"/>
  <c r="G349" i="3"/>
  <c r="G341" i="3"/>
  <c r="G333" i="3"/>
  <c r="G325" i="3"/>
  <c r="G317" i="3"/>
  <c r="G309" i="3"/>
  <c r="G301" i="3"/>
  <c r="G293" i="3"/>
  <c r="G285" i="3"/>
  <c r="G277" i="3"/>
  <c r="G269" i="3"/>
  <c r="G261" i="3"/>
  <c r="G253" i="3"/>
  <c r="G245" i="3"/>
  <c r="G237" i="3"/>
  <c r="G229" i="3"/>
  <c r="G221" i="3"/>
  <c r="G213" i="3"/>
  <c r="G205" i="3"/>
  <c r="G197" i="3"/>
  <c r="G189" i="3"/>
  <c r="G181" i="3"/>
  <c r="G173" i="3"/>
  <c r="G165" i="3"/>
  <c r="G157" i="3"/>
  <c r="G149" i="3"/>
  <c r="G141" i="3"/>
  <c r="G133" i="3"/>
  <c r="G125" i="3"/>
  <c r="G117" i="3"/>
  <c r="G109" i="3"/>
  <c r="G101" i="3"/>
  <c r="G93" i="3"/>
  <c r="G85" i="3"/>
  <c r="G77" i="3"/>
  <c r="G69" i="3"/>
  <c r="G61" i="3"/>
  <c r="G53" i="3"/>
  <c r="G45" i="3"/>
  <c r="G37" i="3"/>
  <c r="G29" i="3"/>
  <c r="G21" i="3"/>
  <c r="BA587" i="3"/>
  <c r="AZ587" i="3" s="1"/>
  <c r="BA579" i="3"/>
  <c r="AZ579" i="3" s="1"/>
  <c r="BA571" i="3"/>
  <c r="AZ571" i="3" s="1"/>
  <c r="BA563" i="3"/>
  <c r="AZ563" i="3" s="1"/>
  <c r="BA583" i="3"/>
  <c r="AZ583" i="3" s="1"/>
  <c r="BA575" i="3"/>
  <c r="AZ575" i="3" s="1"/>
  <c r="BA567" i="3"/>
  <c r="AZ567" i="3" s="1"/>
  <c r="BA555" i="3"/>
  <c r="AZ555" i="3" s="1"/>
  <c r="BA547" i="3"/>
  <c r="AZ547" i="3" s="1"/>
  <c r="BA539" i="3"/>
  <c r="AZ539" i="3" s="1"/>
  <c r="BA531" i="3"/>
  <c r="AZ531" i="3" s="1"/>
  <c r="BA523" i="3"/>
  <c r="AZ523" i="3" s="1"/>
  <c r="BA515" i="3"/>
  <c r="AZ515" i="3" s="1"/>
  <c r="BL508" i="3"/>
  <c r="AZ508" i="3" s="1"/>
  <c r="BL500" i="3"/>
  <c r="AZ500" i="3" s="1"/>
  <c r="BL492" i="3"/>
  <c r="AZ492" i="3" s="1"/>
  <c r="BL484" i="3"/>
  <c r="AZ484" i="3" s="1"/>
  <c r="BL476" i="3"/>
  <c r="AZ476" i="3" s="1"/>
  <c r="BL468" i="3"/>
  <c r="AZ468" i="3" s="1"/>
  <c r="BL460" i="3"/>
  <c r="AZ460" i="3" s="1"/>
  <c r="BL452" i="3"/>
  <c r="AZ452" i="3" s="1"/>
  <c r="BL444" i="3"/>
  <c r="AZ444" i="3" s="1"/>
  <c r="BL436" i="3"/>
  <c r="AZ436" i="3" s="1"/>
  <c r="BL428" i="3"/>
  <c r="AZ428" i="3" s="1"/>
  <c r="BL416" i="3"/>
  <c r="AZ416" i="3" s="1"/>
  <c r="BL400" i="3"/>
  <c r="AZ400" i="3" s="1"/>
  <c r="BL384" i="3"/>
  <c r="AZ384" i="3" s="1"/>
  <c r="BA367" i="3"/>
  <c r="AZ367" i="3" s="1"/>
  <c r="BA351" i="3"/>
  <c r="AZ351" i="3" s="1"/>
  <c r="BA335" i="3"/>
  <c r="AZ335" i="3" s="1"/>
  <c r="E15" i="71"/>
  <c r="U15" i="71" s="1"/>
  <c r="W21" i="83"/>
  <c r="J45" i="83"/>
  <c r="H45" i="83"/>
  <c r="H19" i="86"/>
  <c r="F93" i="86"/>
  <c r="G93" i="86" s="1"/>
  <c r="BA559" i="3"/>
  <c r="AZ559" i="3" s="1"/>
  <c r="BA551" i="3"/>
  <c r="AZ551" i="3" s="1"/>
  <c r="BA543" i="3"/>
  <c r="AZ543" i="3" s="1"/>
  <c r="BA535" i="3"/>
  <c r="AZ535" i="3" s="1"/>
  <c r="BA527" i="3"/>
  <c r="AZ527" i="3" s="1"/>
  <c r="BA519" i="3"/>
  <c r="AZ519" i="3" s="1"/>
  <c r="BL512" i="3"/>
  <c r="AZ512" i="3" s="1"/>
  <c r="BL504" i="3"/>
  <c r="AZ504" i="3" s="1"/>
  <c r="BL496" i="3"/>
  <c r="AZ496" i="3" s="1"/>
  <c r="BL488" i="3"/>
  <c r="AZ488" i="3" s="1"/>
  <c r="BL480" i="3"/>
  <c r="AZ480" i="3" s="1"/>
  <c r="BL472" i="3"/>
  <c r="AZ472" i="3" s="1"/>
  <c r="BL464" i="3"/>
  <c r="AZ464" i="3" s="1"/>
  <c r="BL456" i="3"/>
  <c r="AZ456" i="3" s="1"/>
  <c r="BL448" i="3"/>
  <c r="AZ448" i="3" s="1"/>
  <c r="BL440" i="3"/>
  <c r="AZ440" i="3" s="1"/>
  <c r="BL432" i="3"/>
  <c r="AZ432" i="3" s="1"/>
  <c r="BL424" i="3"/>
  <c r="AZ424" i="3" s="1"/>
  <c r="BL408" i="3"/>
  <c r="AZ408" i="3" s="1"/>
  <c r="BL392" i="3"/>
  <c r="AZ392" i="3" s="1"/>
  <c r="BL376" i="3"/>
  <c r="AZ376" i="3" s="1"/>
  <c r="BA359" i="3"/>
  <c r="AZ359" i="3" s="1"/>
  <c r="BA343" i="3"/>
  <c r="AZ343" i="3" s="1"/>
  <c r="C17" i="43"/>
  <c r="G17" i="43"/>
  <c r="E5" i="71"/>
  <c r="M20" i="43" s="1"/>
  <c r="C19" i="43" s="1"/>
  <c r="D24" i="82"/>
  <c r="P61" i="82"/>
  <c r="S29" i="83"/>
  <c r="S33" i="83"/>
  <c r="W41" i="83"/>
  <c r="U8" i="86"/>
  <c r="W14" i="86"/>
  <c r="U45" i="86"/>
  <c r="F29" i="86"/>
  <c r="J19" i="86"/>
  <c r="H9" i="86"/>
  <c r="I37" i="93"/>
  <c r="I14" i="93"/>
  <c r="J13" i="93"/>
  <c r="I91" i="9" s="1"/>
  <c r="C91" i="9" s="1"/>
  <c r="C92" i="9" s="1"/>
  <c r="I95" i="93"/>
  <c r="I132" i="93"/>
  <c r="I151" i="93"/>
  <c r="W25" i="89"/>
  <c r="S26" i="89"/>
  <c r="S27" i="89"/>
  <c r="S28" i="89"/>
  <c r="W36" i="89"/>
  <c r="W40" i="89"/>
  <c r="S41" i="89"/>
  <c r="I124" i="93"/>
  <c r="I142" i="93"/>
  <c r="I161" i="93"/>
  <c r="I181" i="93"/>
  <c r="AC35" i="21"/>
  <c r="W35" i="21"/>
  <c r="E108" i="21"/>
  <c r="F108" i="21" s="1"/>
  <c r="G108" i="21" s="1"/>
  <c r="H108" i="21" s="1"/>
  <c r="I108" i="21" s="1"/>
  <c r="J108" i="21" s="1"/>
  <c r="K108" i="21" s="1"/>
  <c r="L108" i="21" s="1"/>
  <c r="M108" i="21" s="1"/>
  <c r="U35" i="21"/>
  <c r="K70" i="39"/>
  <c r="L68" i="39"/>
  <c r="B30" i="72"/>
  <c r="G5" i="3"/>
  <c r="B3" i="3" s="1"/>
  <c r="K15" i="1"/>
  <c r="L22" i="6"/>
  <c r="L27" i="6" s="1"/>
  <c r="D58" i="83"/>
  <c r="D58" i="89"/>
  <c r="D3" i="34"/>
  <c r="K8" i="1"/>
  <c r="D3" i="83"/>
  <c r="E7" i="12"/>
  <c r="F48" i="35"/>
  <c r="G48" i="35" s="1"/>
  <c r="H48" i="35" s="1"/>
  <c r="I48" i="35" s="1"/>
  <c r="J48" i="35" s="1"/>
  <c r="K48" i="35" s="1"/>
  <c r="L48" i="35" s="1"/>
  <c r="M48" i="35" s="1"/>
  <c r="N48" i="35" s="1"/>
  <c r="O48" i="35" s="1"/>
  <c r="H7" i="35"/>
  <c r="E59" i="34"/>
  <c r="F59" i="34" s="1"/>
  <c r="G59" i="34" s="1"/>
  <c r="H59" i="34" s="1"/>
  <c r="I59" i="34" s="1"/>
  <c r="J59" i="34" s="1"/>
  <c r="K59" i="34" s="1"/>
  <c r="L59" i="34" s="1"/>
  <c r="M59" i="34" s="1"/>
  <c r="N59" i="34" s="1"/>
  <c r="O59" i="34" s="1"/>
  <c r="H7" i="34"/>
  <c r="D63" i="40"/>
  <c r="C65" i="40"/>
  <c r="F7" i="33"/>
  <c r="E58" i="33"/>
  <c r="F58" i="33" s="1"/>
  <c r="G58" i="33" s="1"/>
  <c r="H58" i="33" s="1"/>
  <c r="I58" i="33" s="1"/>
  <c r="J58" i="33" s="1"/>
  <c r="K58" i="33" s="1"/>
  <c r="L58" i="33" s="1"/>
  <c r="M58" i="33" s="1"/>
  <c r="N58" i="33" s="1"/>
  <c r="O58" i="33" s="1"/>
  <c r="H7" i="33"/>
  <c r="K79" i="86"/>
  <c r="I79" i="86"/>
  <c r="J79" i="86"/>
  <c r="F30" i="6"/>
  <c r="E28" i="6"/>
  <c r="D68" i="86"/>
  <c r="C70" i="86"/>
  <c r="C7" i="12"/>
  <c r="K6" i="1"/>
  <c r="G16" i="1" s="1"/>
  <c r="O7" i="1"/>
  <c r="P7" i="1" s="1"/>
  <c r="H10" i="86"/>
  <c r="F10" i="86"/>
  <c r="J10" i="86"/>
  <c r="B4" i="62"/>
  <c r="B71" i="72" s="1"/>
  <c r="K4" i="4"/>
  <c r="B46" i="48" s="1"/>
  <c r="B4" i="72" s="1"/>
  <c r="AB27" i="86"/>
  <c r="U27" i="86"/>
  <c r="I14" i="74"/>
  <c r="B8" i="74" s="1"/>
  <c r="D127" i="9"/>
  <c r="D13" i="52" s="1"/>
  <c r="D12" i="52"/>
  <c r="E52" i="37"/>
  <c r="F52" i="37" s="1"/>
  <c r="G52" i="37" s="1"/>
  <c r="H52" i="37" s="1"/>
  <c r="I52" i="37" s="1"/>
  <c r="J52" i="37" s="1"/>
  <c r="K52" i="37" s="1"/>
  <c r="L52" i="37" s="1"/>
  <c r="M52" i="37" s="1"/>
  <c r="N52" i="37" s="1"/>
  <c r="O52" i="37" s="1"/>
  <c r="H7" i="37"/>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BB5" i="3"/>
  <c r="B38" i="72"/>
  <c r="G113" i="21"/>
  <c r="J37" i="21" s="1"/>
  <c r="U27" i="37"/>
  <c r="AB27" i="37"/>
  <c r="W14" i="37"/>
  <c r="U14" i="40"/>
  <c r="U31" i="34"/>
  <c r="H12" i="33"/>
  <c r="F9" i="34"/>
  <c r="F10" i="34"/>
  <c r="J23" i="36"/>
  <c r="H24" i="36"/>
  <c r="O13" i="1"/>
  <c r="P13" i="1"/>
  <c r="U18" i="36"/>
  <c r="BA327" i="3"/>
  <c r="AZ327" i="3" s="1"/>
  <c r="BA311" i="3"/>
  <c r="AZ311" i="3" s="1"/>
  <c r="BA295" i="3"/>
  <c r="AZ295" i="3" s="1"/>
  <c r="BA279" i="3"/>
  <c r="AZ279" i="3" s="1"/>
  <c r="BA263" i="3"/>
  <c r="AZ263" i="3" s="1"/>
  <c r="BA255" i="3"/>
  <c r="AZ255" i="3" s="1"/>
  <c r="BA247" i="3"/>
  <c r="AZ247" i="3" s="1"/>
  <c r="BA239" i="3"/>
  <c r="AZ239" i="3" s="1"/>
  <c r="BL231" i="3"/>
  <c r="AZ231" i="3" s="1"/>
  <c r="BL223" i="3"/>
  <c r="AZ223" i="3" s="1"/>
  <c r="BL215" i="3"/>
  <c r="AZ215" i="3" s="1"/>
  <c r="BL207" i="3"/>
  <c r="AZ207" i="3" s="1"/>
  <c r="BL199" i="3"/>
  <c r="AZ199" i="3" s="1"/>
  <c r="BL191" i="3"/>
  <c r="AZ191" i="3" s="1"/>
  <c r="BL183" i="3"/>
  <c r="AZ183" i="3" s="1"/>
  <c r="BL175" i="3"/>
  <c r="AZ175" i="3" s="1"/>
  <c r="BL167" i="3"/>
  <c r="AZ167" i="3" s="1"/>
  <c r="BL159" i="3"/>
  <c r="AZ159" i="3" s="1"/>
  <c r="BL151" i="3"/>
  <c r="AZ151" i="3" s="1"/>
  <c r="BL143" i="3"/>
  <c r="AZ143" i="3" s="1"/>
  <c r="BL135" i="3"/>
  <c r="AZ135" i="3" s="1"/>
  <c r="BL127" i="3"/>
  <c r="AZ127" i="3" s="1"/>
  <c r="BL119" i="3"/>
  <c r="AZ119" i="3" s="1"/>
  <c r="BL111" i="3"/>
  <c r="AZ111" i="3" s="1"/>
  <c r="BL103" i="3"/>
  <c r="AZ103" i="3" s="1"/>
  <c r="BL95" i="3"/>
  <c r="AZ95" i="3" s="1"/>
  <c r="BL87" i="3"/>
  <c r="AZ87" i="3" s="1"/>
  <c r="BL79" i="3"/>
  <c r="AZ79" i="3" s="1"/>
  <c r="BL71" i="3"/>
  <c r="AZ71" i="3" s="1"/>
  <c r="BL63" i="3"/>
  <c r="AZ63" i="3" s="1"/>
  <c r="BL55" i="3"/>
  <c r="AZ55" i="3" s="1"/>
  <c r="BL47" i="3"/>
  <c r="AZ47" i="3" s="1"/>
  <c r="BL39" i="3"/>
  <c r="AZ39" i="3" s="1"/>
  <c r="BL23" i="3"/>
  <c r="AZ23" i="3" s="1"/>
  <c r="E8" i="43"/>
  <c r="C7" i="43" s="1"/>
  <c r="E10" i="43"/>
  <c r="BD14" i="3"/>
  <c r="BD5" i="3" s="1"/>
  <c r="M5" i="3"/>
  <c r="AB10" i="43"/>
  <c r="AE10" i="43"/>
  <c r="BA319" i="3"/>
  <c r="AZ319" i="3" s="1"/>
  <c r="BA303" i="3"/>
  <c r="AZ303" i="3" s="1"/>
  <c r="BA287" i="3"/>
  <c r="AZ287" i="3" s="1"/>
  <c r="BA271" i="3"/>
  <c r="AZ271" i="3" s="1"/>
  <c r="BA259" i="3"/>
  <c r="AZ259" i="3" s="1"/>
  <c r="BA251" i="3"/>
  <c r="AZ251" i="3" s="1"/>
  <c r="BA243" i="3"/>
  <c r="AZ243" i="3" s="1"/>
  <c r="BA235" i="3"/>
  <c r="AZ235" i="3" s="1"/>
  <c r="BL227" i="3"/>
  <c r="AZ227" i="3" s="1"/>
  <c r="BL219" i="3"/>
  <c r="AZ219" i="3" s="1"/>
  <c r="BL211" i="3"/>
  <c r="AZ211" i="3" s="1"/>
  <c r="BL203" i="3"/>
  <c r="AZ203" i="3" s="1"/>
  <c r="BL195" i="3"/>
  <c r="AZ195" i="3" s="1"/>
  <c r="BL187" i="3"/>
  <c r="AZ187" i="3" s="1"/>
  <c r="BL179" i="3"/>
  <c r="AZ179" i="3" s="1"/>
  <c r="BL171" i="3"/>
  <c r="AZ171" i="3" s="1"/>
  <c r="BL163" i="3"/>
  <c r="AZ163" i="3" s="1"/>
  <c r="BL155" i="3"/>
  <c r="AZ155" i="3" s="1"/>
  <c r="BL147" i="3"/>
  <c r="AZ147" i="3" s="1"/>
  <c r="BL139" i="3"/>
  <c r="AZ139" i="3" s="1"/>
  <c r="BL131" i="3"/>
  <c r="AZ131" i="3" s="1"/>
  <c r="BL123" i="3"/>
  <c r="AZ123" i="3" s="1"/>
  <c r="BL115" i="3"/>
  <c r="AZ115" i="3" s="1"/>
  <c r="BL107" i="3"/>
  <c r="AZ107" i="3" s="1"/>
  <c r="BL99" i="3"/>
  <c r="AZ99" i="3" s="1"/>
  <c r="BL91" i="3"/>
  <c r="AZ91" i="3" s="1"/>
  <c r="BL83" i="3"/>
  <c r="AZ83" i="3" s="1"/>
  <c r="BL75" i="3"/>
  <c r="AZ75" i="3" s="1"/>
  <c r="BL67" i="3"/>
  <c r="AZ67" i="3" s="1"/>
  <c r="BL59" i="3"/>
  <c r="AZ59" i="3" s="1"/>
  <c r="BL51" i="3"/>
  <c r="AZ51" i="3" s="1"/>
  <c r="BL43" i="3"/>
  <c r="AZ43" i="3" s="1"/>
  <c r="BL31" i="3"/>
  <c r="AZ31" i="3" s="1"/>
  <c r="BL15" i="3"/>
  <c r="F34" i="43"/>
  <c r="F36" i="43"/>
  <c r="F37" i="43"/>
  <c r="F39" i="43"/>
  <c r="J17" i="43"/>
  <c r="H17" i="43"/>
  <c r="S13" i="83"/>
  <c r="S17" i="83"/>
  <c r="F21" i="21"/>
  <c r="H21" i="21"/>
  <c r="AC37" i="86"/>
  <c r="W37" i="86"/>
  <c r="S12" i="86"/>
  <c r="AA12" i="86"/>
  <c r="W27" i="86"/>
  <c r="AC27" i="86"/>
  <c r="F32" i="86"/>
  <c r="G107" i="86"/>
  <c r="H107" i="86" s="1"/>
  <c r="I107" i="86" s="1"/>
  <c r="J107" i="86" s="1"/>
  <c r="K107" i="86" s="1"/>
  <c r="L107" i="86" s="1"/>
  <c r="M107" i="86" s="1"/>
  <c r="U25" i="83"/>
  <c r="S26" i="83"/>
  <c r="S27" i="83"/>
  <c r="U29" i="83"/>
  <c r="S31" i="83"/>
  <c r="U33" i="83"/>
  <c r="S34" i="83"/>
  <c r="S35" i="83"/>
  <c r="U37" i="83"/>
  <c r="S38" i="83"/>
  <c r="S39" i="83"/>
  <c r="W43" i="83"/>
  <c r="AC42" i="86"/>
  <c r="W42" i="86"/>
  <c r="S9" i="89"/>
  <c r="AB9" i="89"/>
  <c r="U9" i="89"/>
  <c r="U34" i="86"/>
  <c r="J12" i="86"/>
  <c r="AC10" i="89"/>
  <c r="W10" i="89"/>
  <c r="AB13" i="89"/>
  <c r="U13" i="89"/>
  <c r="AA14" i="89"/>
  <c r="S14" i="89"/>
  <c r="AC15" i="89"/>
  <c r="W15" i="89"/>
  <c r="U25" i="89"/>
  <c r="S36" i="89"/>
  <c r="I107" i="93"/>
  <c r="I13" i="93"/>
  <c r="I224" i="93" s="1"/>
  <c r="S32" i="89"/>
  <c r="S38" i="89"/>
  <c r="U40" i="89"/>
  <c r="AA42" i="89"/>
  <c r="S42" i="89"/>
  <c r="AA46" i="89"/>
  <c r="S46" i="89"/>
  <c r="F35" i="67"/>
  <c r="E8" i="76"/>
  <c r="F40" i="91"/>
  <c r="F9" i="82"/>
  <c r="D7" i="73"/>
  <c r="F37" i="15"/>
  <c r="B12" i="76"/>
  <c r="F16" i="82"/>
  <c r="M6" i="82"/>
  <c r="E11" i="76"/>
  <c r="E12" i="76"/>
  <c r="F26" i="81"/>
  <c r="F43" i="82"/>
  <c r="F7" i="81"/>
  <c r="F8" i="15"/>
  <c r="F20" i="31"/>
  <c r="F6" i="82"/>
  <c r="M8" i="81"/>
  <c r="F40" i="15"/>
  <c r="F7" i="73"/>
  <c r="F9" i="67"/>
  <c r="L47" i="91"/>
  <c r="F43" i="81"/>
  <c r="C76" i="81"/>
  <c r="F16" i="67"/>
  <c r="D2" i="34"/>
  <c r="F37" i="91"/>
  <c r="M9" i="15"/>
  <c r="L48" i="81"/>
  <c r="F40" i="82"/>
  <c r="L48" i="67"/>
  <c r="F43" i="67"/>
  <c r="M22" i="15"/>
  <c r="D3" i="73"/>
  <c r="M28" i="67"/>
  <c r="F36" i="81"/>
  <c r="M26" i="15"/>
  <c r="M8" i="15"/>
  <c r="D2" i="37"/>
  <c r="L47" i="15"/>
  <c r="J15" i="67"/>
  <c r="M6" i="15"/>
  <c r="F38" i="82"/>
  <c r="F7" i="67"/>
  <c r="L47" i="82"/>
  <c r="C76" i="82"/>
  <c r="AO13" i="1"/>
  <c r="F42" i="81"/>
  <c r="M23" i="91"/>
  <c r="M24" i="15"/>
  <c r="M23" i="15"/>
  <c r="F36" i="67"/>
  <c r="M24" i="91"/>
  <c r="C76" i="15"/>
  <c r="M29" i="67"/>
  <c r="M27" i="81"/>
  <c r="F5" i="73"/>
  <c r="M28" i="81"/>
  <c r="E10" i="76"/>
  <c r="M24" i="82"/>
  <c r="M26" i="82"/>
  <c r="L48" i="82"/>
  <c r="F38" i="67"/>
  <c r="F36" i="15"/>
  <c r="M8" i="67"/>
  <c r="F7" i="82"/>
  <c r="F26" i="82"/>
  <c r="M9" i="81"/>
  <c r="F6" i="67"/>
  <c r="AO9" i="1"/>
  <c r="F13" i="67"/>
  <c r="M27" i="91"/>
  <c r="D4" i="73"/>
  <c r="M6" i="91"/>
  <c r="F7" i="91"/>
  <c r="E9" i="76"/>
  <c r="F8" i="91"/>
  <c r="F16" i="15"/>
  <c r="D2" i="83"/>
  <c r="M8" i="91"/>
  <c r="F36" i="82"/>
  <c r="F36" i="91"/>
  <c r="B10" i="76"/>
  <c r="F37" i="82"/>
  <c r="M8" i="82"/>
  <c r="F13" i="82"/>
  <c r="M22" i="82"/>
  <c r="B11" i="76"/>
  <c r="F16" i="91"/>
  <c r="J15" i="91"/>
  <c r="E13" i="76"/>
  <c r="F8" i="67"/>
  <c r="M23" i="67"/>
  <c r="E7" i="76"/>
  <c r="B9" i="76"/>
  <c r="D2" i="21"/>
  <c r="F6" i="81"/>
  <c r="F38" i="15"/>
  <c r="M23" i="82"/>
  <c r="M22" i="67"/>
  <c r="M27" i="67"/>
  <c r="M28" i="91"/>
  <c r="F8" i="81"/>
  <c r="F42" i="82"/>
  <c r="F41" i="67"/>
  <c r="AO12" i="1"/>
  <c r="F9" i="91"/>
  <c r="F42" i="15"/>
  <c r="M21" i="67"/>
  <c r="F42" i="91"/>
  <c r="M29" i="82"/>
  <c r="F6" i="91"/>
  <c r="F4" i="73"/>
  <c r="F13" i="91"/>
  <c r="M27" i="82"/>
  <c r="M6" i="67"/>
  <c r="F38" i="81"/>
  <c r="B13" i="76"/>
  <c r="M26" i="91"/>
  <c r="M26" i="81"/>
  <c r="E2" i="68"/>
  <c r="M22" i="81"/>
  <c r="E2" i="69"/>
  <c r="F16" i="81"/>
  <c r="M9" i="67"/>
  <c r="B8" i="76"/>
  <c r="D2" i="89"/>
  <c r="F9" i="81"/>
  <c r="C76" i="67"/>
  <c r="F38" i="91"/>
  <c r="F37" i="81"/>
  <c r="AO11" i="1"/>
  <c r="F13" i="81"/>
  <c r="M24" i="81"/>
  <c r="M28" i="82"/>
  <c r="F26" i="91"/>
  <c r="F42" i="67"/>
  <c r="L48" i="15"/>
  <c r="L47" i="67"/>
  <c r="M27" i="15"/>
  <c r="F13" i="15"/>
  <c r="F6" i="73"/>
  <c r="M28" i="15"/>
  <c r="F3" i="73"/>
  <c r="F40" i="81"/>
  <c r="D2" i="35"/>
  <c r="M26" i="67"/>
  <c r="F8" i="82"/>
  <c r="F6" i="15"/>
  <c r="F26" i="67"/>
  <c r="M24" i="67"/>
  <c r="F40" i="67"/>
  <c r="F9" i="15"/>
  <c r="C76" i="91"/>
  <c r="F37" i="67"/>
  <c r="M29" i="81"/>
  <c r="M22" i="91"/>
  <c r="M9" i="82"/>
  <c r="D2" i="33"/>
  <c r="D6" i="73"/>
  <c r="J15" i="81"/>
  <c r="M29" i="91"/>
  <c r="F43" i="15"/>
  <c r="F7" i="15"/>
  <c r="L47" i="81"/>
  <c r="D2" i="36"/>
  <c r="D5" i="73"/>
  <c r="B7" i="76"/>
  <c r="M9" i="91"/>
  <c r="M6" i="81"/>
  <c r="J15" i="15"/>
  <c r="L48" i="91"/>
  <c r="M23" i="81"/>
  <c r="J15" i="82"/>
  <c r="F26" i="15"/>
  <c r="G1" i="73"/>
  <c r="F43" i="91"/>
  <c r="M29" i="15"/>
  <c r="B40" i="1" l="1"/>
  <c r="F24" i="91" s="1"/>
  <c r="C24" i="91" s="1"/>
  <c r="C27" i="15"/>
  <c r="E20" i="43"/>
  <c r="N17" i="43" s="1"/>
  <c r="F65" i="67"/>
  <c r="Q71" i="91"/>
  <c r="L60" i="91"/>
  <c r="Q66" i="91" s="1"/>
  <c r="J57" i="91"/>
  <c r="J55" i="91" s="1"/>
  <c r="J58" i="91" s="1"/>
  <c r="Q50" i="91" s="1"/>
  <c r="J53" i="91"/>
  <c r="Q52" i="91" s="1"/>
  <c r="L57" i="91"/>
  <c r="J60" i="91"/>
  <c r="Q48" i="91" s="1"/>
  <c r="I54" i="91"/>
  <c r="J59" i="91"/>
  <c r="L56" i="91"/>
  <c r="F68" i="67"/>
  <c r="B9" i="70"/>
  <c r="C27" i="67"/>
  <c r="C6" i="67"/>
  <c r="F51" i="82"/>
  <c r="C27" i="82"/>
  <c r="F68" i="81"/>
  <c r="F50" i="82"/>
  <c r="M7" i="82"/>
  <c r="J6" i="82" s="1"/>
  <c r="F64" i="15"/>
  <c r="F66" i="67"/>
  <c r="L59" i="67"/>
  <c r="Q74" i="67" s="1"/>
  <c r="M59" i="67"/>
  <c r="N59" i="67"/>
  <c r="L58" i="67"/>
  <c r="Q73" i="67" s="1"/>
  <c r="L60" i="15"/>
  <c r="Q57" i="15" s="1"/>
  <c r="I54" i="15"/>
  <c r="L57" i="15"/>
  <c r="J59" i="15"/>
  <c r="J53" i="15"/>
  <c r="F1" i="15" s="1"/>
  <c r="L56" i="15"/>
  <c r="J57" i="15"/>
  <c r="J55" i="15" s="1"/>
  <c r="J58" i="15" s="1"/>
  <c r="Q50" i="15" s="1"/>
  <c r="J60" i="15"/>
  <c r="Q48" i="15" s="1"/>
  <c r="L56" i="82"/>
  <c r="J57" i="82"/>
  <c r="J55" i="82" s="1"/>
  <c r="J58" i="82" s="1"/>
  <c r="Q50" i="82" s="1"/>
  <c r="L57" i="82"/>
  <c r="J59" i="82"/>
  <c r="J53" i="82"/>
  <c r="Q52" i="82" s="1"/>
  <c r="I54" i="82"/>
  <c r="L60" i="82"/>
  <c r="Q66" i="82" s="1"/>
  <c r="J60" i="82"/>
  <c r="Q48" i="82" s="1"/>
  <c r="F70" i="67"/>
  <c r="M59" i="81"/>
  <c r="L59" i="81" s="1"/>
  <c r="Q61" i="81" s="1"/>
  <c r="L58" i="81"/>
  <c r="Q60" i="81" s="1"/>
  <c r="N59" i="81"/>
  <c r="C27" i="91"/>
  <c r="B11" i="70"/>
  <c r="F65" i="81"/>
  <c r="F66" i="91"/>
  <c r="Q71" i="67"/>
  <c r="Q71" i="15"/>
  <c r="F64" i="67"/>
  <c r="B13" i="70"/>
  <c r="Q71" i="82"/>
  <c r="L58" i="82"/>
  <c r="Q60" i="82" s="1"/>
  <c r="M59" i="82"/>
  <c r="L59" i="82" s="1"/>
  <c r="Q61" i="82" s="1"/>
  <c r="N59" i="82"/>
  <c r="F50" i="67"/>
  <c r="M7" i="67"/>
  <c r="J6" i="67" s="1"/>
  <c r="F66" i="82"/>
  <c r="F66" i="81"/>
  <c r="L58" i="15"/>
  <c r="Q73" i="15" s="1"/>
  <c r="N59" i="15"/>
  <c r="M59" i="15"/>
  <c r="L59" i="15" s="1"/>
  <c r="Q61" i="15" s="1"/>
  <c r="I1" i="73"/>
  <c r="B39" i="1" s="1"/>
  <c r="F11" i="91" s="1"/>
  <c r="F64" i="81"/>
  <c r="J20" i="67"/>
  <c r="F71" i="67"/>
  <c r="B12" i="70"/>
  <c r="J57" i="67"/>
  <c r="J55" i="67" s="1"/>
  <c r="J58" i="67" s="1"/>
  <c r="Q50" i="67" s="1"/>
  <c r="I54" i="67"/>
  <c r="L56" i="67"/>
  <c r="F69" i="67"/>
  <c r="F68" i="82"/>
  <c r="J53" i="81"/>
  <c r="Q52" i="81" s="1"/>
  <c r="I54" i="81"/>
  <c r="L60" i="81"/>
  <c r="Q57" i="81" s="1"/>
  <c r="J59" i="81"/>
  <c r="J57" i="81"/>
  <c r="J55" i="81" s="1"/>
  <c r="J58" i="81" s="1"/>
  <c r="Q50" i="81" s="1"/>
  <c r="L57" i="81"/>
  <c r="L56" i="81"/>
  <c r="J60" i="81"/>
  <c r="Q48" i="81" s="1"/>
  <c r="F51" i="81"/>
  <c r="F65" i="91"/>
  <c r="Q71" i="81"/>
  <c r="F66" i="15"/>
  <c r="F71" i="81"/>
  <c r="C6" i="81"/>
  <c r="M59" i="91"/>
  <c r="L59" i="91" s="1"/>
  <c r="Q74" i="91" s="1"/>
  <c r="N59" i="91"/>
  <c r="L58" i="91"/>
  <c r="Q73" i="91" s="1"/>
  <c r="F68" i="15"/>
  <c r="F51" i="67"/>
  <c r="C6" i="82"/>
  <c r="B20" i="31"/>
  <c r="F51" i="15"/>
  <c r="M7" i="81"/>
  <c r="J6" i="81" s="1"/>
  <c r="F50" i="81"/>
  <c r="F71" i="82"/>
  <c r="C27" i="81"/>
  <c r="F65" i="82"/>
  <c r="F64" i="91"/>
  <c r="F64" i="82"/>
  <c r="F65" i="15"/>
  <c r="F68" i="91"/>
  <c r="F51" i="91"/>
  <c r="C34" i="67"/>
  <c r="F63" i="67"/>
  <c r="C62" i="67" s="1"/>
  <c r="C35" i="43"/>
  <c r="C33" i="43"/>
  <c r="C36" i="43"/>
  <c r="F7" i="21"/>
  <c r="J7" i="34"/>
  <c r="F7" i="34"/>
  <c r="J7" i="35"/>
  <c r="F7" i="35"/>
  <c r="J224" i="93"/>
  <c r="AB9" i="86"/>
  <c r="U9" i="86"/>
  <c r="AA29" i="86"/>
  <c r="S29" i="86"/>
  <c r="AB19" i="86"/>
  <c r="U19" i="86"/>
  <c r="AC45" i="83"/>
  <c r="W45" i="83"/>
  <c r="AC23" i="35"/>
  <c r="W23" i="35"/>
  <c r="C94" i="9"/>
  <c r="L79" i="86"/>
  <c r="C34" i="43"/>
  <c r="AC19" i="86"/>
  <c r="W19" i="86"/>
  <c r="AB45" i="83"/>
  <c r="U45" i="83"/>
  <c r="AC38" i="40"/>
  <c r="W38" i="40"/>
  <c r="L46" i="15"/>
  <c r="F71" i="15"/>
  <c r="F50" i="15"/>
  <c r="M7" i="15"/>
  <c r="J6" i="15" s="1"/>
  <c r="C6" i="15"/>
  <c r="F71" i="91"/>
  <c r="M7" i="91"/>
  <c r="J6" i="91" s="1"/>
  <c r="F50" i="91"/>
  <c r="C6" i="91"/>
  <c r="G36" i="43"/>
  <c r="I36" i="43" s="1"/>
  <c r="E36" i="43"/>
  <c r="AC12" i="86"/>
  <c r="W12" i="86"/>
  <c r="AA21" i="21"/>
  <c r="S21" i="21"/>
  <c r="AB21" i="21"/>
  <c r="U21" i="21"/>
  <c r="C16" i="43"/>
  <c r="C5" i="43" s="1"/>
  <c r="BL5" i="3"/>
  <c r="I4" i="6"/>
  <c r="G3" i="43" s="1"/>
  <c r="M6" i="3"/>
  <c r="AC23" i="36"/>
  <c r="W23" i="36"/>
  <c r="AA9" i="34"/>
  <c r="S9" i="34"/>
  <c r="H37" i="21"/>
  <c r="F37" i="21"/>
  <c r="H113" i="21"/>
  <c r="E10" i="6"/>
  <c r="E14" i="6"/>
  <c r="E15" i="6"/>
  <c r="E11" i="6"/>
  <c r="E13" i="6"/>
  <c r="E8" i="6"/>
  <c r="E12" i="6"/>
  <c r="J7" i="21"/>
  <c r="H7" i="21"/>
  <c r="F7" i="36"/>
  <c r="J7" i="36"/>
  <c r="J7" i="37"/>
  <c r="F7" i="37"/>
  <c r="W10" i="86"/>
  <c r="AC10" i="86"/>
  <c r="AB10" i="86"/>
  <c r="U10" i="86"/>
  <c r="K14" i="1"/>
  <c r="M14" i="1" s="1"/>
  <c r="E30" i="6"/>
  <c r="J7" i="33"/>
  <c r="D65" i="40"/>
  <c r="E63" i="40"/>
  <c r="U7" i="34"/>
  <c r="AB7" i="34"/>
  <c r="AB7" i="35"/>
  <c r="T38" i="35" s="1"/>
  <c r="G38" i="35" s="1"/>
  <c r="U7" i="35"/>
  <c r="AZ15" i="3"/>
  <c r="E58" i="83"/>
  <c r="E114" i="3"/>
  <c r="E415" i="3"/>
  <c r="E395" i="3"/>
  <c r="E260" i="3"/>
  <c r="E550" i="3"/>
  <c r="E239" i="3"/>
  <c r="E516" i="3"/>
  <c r="E569" i="3"/>
  <c r="E396" i="3"/>
  <c r="E227" i="3"/>
  <c r="E205" i="3"/>
  <c r="E165" i="3"/>
  <c r="E128" i="3"/>
  <c r="E353" i="3"/>
  <c r="E385" i="3"/>
  <c r="E495" i="3"/>
  <c r="E518"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304" i="3"/>
  <c r="E565" i="3"/>
  <c r="E213" i="3"/>
  <c r="E17" i="3"/>
  <c r="E302" i="3"/>
  <c r="E555" i="3"/>
  <c r="E410"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69" i="3"/>
  <c r="E563" i="3"/>
  <c r="E445" i="3"/>
  <c r="E509" i="3"/>
  <c r="E431" i="3"/>
  <c r="E246" i="3"/>
  <c r="E293" i="3"/>
  <c r="E314" i="3"/>
  <c r="E511" i="3"/>
  <c r="E536" i="3"/>
  <c r="E549" i="3"/>
  <c r="E453" i="3"/>
  <c r="E368" i="3"/>
  <c r="E244"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61" i="3"/>
  <c r="E183" i="3"/>
  <c r="E503" i="3"/>
  <c r="E574" i="3"/>
  <c r="E247" i="3"/>
  <c r="E201" i="3"/>
  <c r="E311" i="3"/>
  <c r="E514" i="3"/>
  <c r="E570" i="3"/>
  <c r="AB6" i="3"/>
  <c r="E387" i="3"/>
  <c r="E335" i="3"/>
  <c r="E215" i="3"/>
  <c r="E189" i="3"/>
  <c r="E134" i="3"/>
  <c r="E91" i="3"/>
  <c r="E180" i="3"/>
  <c r="E85" i="3"/>
  <c r="E238"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53" i="3"/>
  <c r="E336" i="3"/>
  <c r="E217" i="3"/>
  <c r="E526" i="3"/>
  <c r="E268" i="3"/>
  <c r="E322" i="3"/>
  <c r="AJ6" i="3"/>
  <c r="E539" i="3"/>
  <c r="E567" i="3"/>
  <c r="E461" i="3"/>
  <c r="E53" i="3"/>
  <c r="E319" i="3"/>
  <c r="E501" i="3"/>
  <c r="E305" i="3"/>
  <c r="E508" i="3"/>
  <c r="E347" i="3"/>
  <c r="X6" i="3"/>
  <c r="O6" i="3"/>
  <c r="AN6" i="3"/>
  <c r="E278" i="3"/>
  <c r="E172" i="3"/>
  <c r="E535" i="3"/>
  <c r="E579" i="3"/>
  <c r="E280" i="3"/>
  <c r="E124" i="3"/>
  <c r="E397" i="3"/>
  <c r="E568" i="3"/>
  <c r="E16" i="3"/>
  <c r="AK6" i="3"/>
  <c r="E434" i="3"/>
  <c r="E306" i="3"/>
  <c r="E29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528" i="3"/>
  <c r="E361" i="3"/>
  <c r="E388" i="3"/>
  <c r="E359" i="3"/>
  <c r="E229" i="3"/>
  <c r="E151" i="3"/>
  <c r="E358"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13" i="3"/>
  <c r="E494"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83" i="3"/>
  <c r="E125" i="3"/>
  <c r="E366" i="3"/>
  <c r="E553" i="3"/>
  <c r="E282" i="3"/>
  <c r="N6" i="3"/>
  <c r="E329" i="3"/>
  <c r="E545" i="3"/>
  <c r="E510" i="3"/>
  <c r="E352" i="3"/>
  <c r="E175" i="3"/>
  <c r="E530" i="3"/>
  <c r="E343" i="3"/>
  <c r="E426" i="3"/>
  <c r="E328" i="3"/>
  <c r="AA6" i="3"/>
  <c r="E399" i="3"/>
  <c r="I6" i="3"/>
  <c r="L70" i="39"/>
  <c r="M68" i="39"/>
  <c r="Q60" i="91"/>
  <c r="Q52" i="15"/>
  <c r="M17" i="43"/>
  <c r="O17" i="43"/>
  <c r="Q61" i="67"/>
  <c r="AA32" i="86"/>
  <c r="S32" i="86"/>
  <c r="G34" i="43"/>
  <c r="I34" i="43" s="1"/>
  <c r="E34" i="43"/>
  <c r="AB24" i="36"/>
  <c r="U24" i="36"/>
  <c r="AA10" i="34"/>
  <c r="S10" i="34"/>
  <c r="U12" i="33"/>
  <c r="AB12" i="33"/>
  <c r="AC37" i="21"/>
  <c r="W37" i="21"/>
  <c r="AA7" i="21"/>
  <c r="S7" i="21"/>
  <c r="H7" i="36"/>
  <c r="U7" i="37"/>
  <c r="AB7" i="37"/>
  <c r="T42" i="37" s="1"/>
  <c r="G42" i="37" s="1"/>
  <c r="J10" i="40"/>
  <c r="F10" i="40"/>
  <c r="H10" i="40"/>
  <c r="S10" i="86"/>
  <c r="AA10" i="86"/>
  <c r="Q16" i="1"/>
  <c r="M6" i="1"/>
  <c r="H16" i="1"/>
  <c r="BA14" i="3"/>
  <c r="E68" i="86"/>
  <c r="D70" i="86"/>
  <c r="E35" i="43"/>
  <c r="G35" i="43"/>
  <c r="I35" i="43" s="1"/>
  <c r="AB7" i="33"/>
  <c r="T48" i="33" s="1"/>
  <c r="G48" i="33" s="1"/>
  <c r="U7" i="33"/>
  <c r="AA7" i="33"/>
  <c r="R48" i="33" s="1"/>
  <c r="S7" i="33"/>
  <c r="W7" i="34"/>
  <c r="AC7" i="34"/>
  <c r="AA7" i="34"/>
  <c r="S7" i="34"/>
  <c r="AC7" i="35"/>
  <c r="V38" i="35" s="1"/>
  <c r="I38" i="35" s="1"/>
  <c r="W7" i="35"/>
  <c r="S7" i="35"/>
  <c r="AA7" i="35"/>
  <c r="R38" i="35" s="1"/>
  <c r="M8" i="1"/>
  <c r="E58" i="89"/>
  <c r="G33" i="43"/>
  <c r="I33" i="43" s="1"/>
  <c r="E33" i="43"/>
  <c r="E14" i="3"/>
  <c r="Q57" i="82"/>
  <c r="F1" i="82"/>
  <c r="Q66" i="15"/>
  <c r="Q74" i="82"/>
  <c r="Q60" i="15"/>
  <c r="Q73" i="81"/>
  <c r="F24" i="82"/>
  <c r="C24" i="82" s="1"/>
  <c r="F24" i="15"/>
  <c r="C24" i="15" s="1"/>
  <c r="F25" i="12"/>
  <c r="C26" i="12" s="1"/>
  <c r="D25" i="12" s="1"/>
  <c r="F22" i="69"/>
  <c r="C16" i="82"/>
  <c r="AE6" i="1"/>
  <c r="C16" i="67"/>
  <c r="C16" i="91"/>
  <c r="C16" i="81"/>
  <c r="C14" i="67"/>
  <c r="C16" i="15"/>
  <c r="C17" i="67"/>
  <c r="AE10" i="1"/>
  <c r="Q60" i="67" l="1"/>
  <c r="Q57" i="91"/>
  <c r="C49" i="91"/>
  <c r="Q74" i="15"/>
  <c r="M11" i="81"/>
  <c r="J10" i="81" s="1"/>
  <c r="J5" i="81" s="1"/>
  <c r="J24" i="81" s="1"/>
  <c r="Q73" i="82"/>
  <c r="F1" i="91"/>
  <c r="Q74" i="81"/>
  <c r="F1" i="81"/>
  <c r="M11" i="67"/>
  <c r="J10" i="67" s="1"/>
  <c r="J5" i="67" s="1"/>
  <c r="J26" i="67" s="1"/>
  <c r="J29" i="67" s="1"/>
  <c r="L46" i="91"/>
  <c r="M11" i="91"/>
  <c r="J10" i="91" s="1"/>
  <c r="J5" i="91" s="1"/>
  <c r="Q66" i="81"/>
  <c r="M11" i="82"/>
  <c r="J10" i="82" s="1"/>
  <c r="J5" i="82" s="1"/>
  <c r="J26" i="82" s="1"/>
  <c r="M11" i="15"/>
  <c r="J10" i="15" s="1"/>
  <c r="J5" i="15" s="1"/>
  <c r="C49" i="67"/>
  <c r="C49" i="81"/>
  <c r="F11" i="15"/>
  <c r="C53" i="15" s="1"/>
  <c r="F11" i="82"/>
  <c r="C53" i="82" s="1"/>
  <c r="F11" i="67"/>
  <c r="C53" i="67" s="1"/>
  <c r="F11" i="81"/>
  <c r="C10" i="81" s="1"/>
  <c r="C5" i="81" s="1"/>
  <c r="Q61" i="91"/>
  <c r="L46" i="82"/>
  <c r="C49" i="82"/>
  <c r="F22" i="68"/>
  <c r="C26" i="68" s="1"/>
  <c r="D22" i="68" s="1"/>
  <c r="F24" i="67"/>
  <c r="C24" i="67" s="1"/>
  <c r="F22" i="11"/>
  <c r="C23" i="11" s="1"/>
  <c r="F24" i="81"/>
  <c r="C24" i="81" s="1"/>
  <c r="P17" i="43"/>
  <c r="C49" i="15"/>
  <c r="C15" i="67"/>
  <c r="C18" i="67"/>
  <c r="L46" i="81"/>
  <c r="R39" i="35"/>
  <c r="E38" i="35"/>
  <c r="E48" i="33"/>
  <c r="R49" i="33"/>
  <c r="G52" i="33"/>
  <c r="H52" i="33" s="1"/>
  <c r="E70" i="86"/>
  <c r="F68" i="86"/>
  <c r="C34" i="69"/>
  <c r="K16" i="1"/>
  <c r="O6" i="1"/>
  <c r="P6" i="1" s="1"/>
  <c r="M16" i="1"/>
  <c r="U10" i="40"/>
  <c r="AB10" i="40"/>
  <c r="AC10" i="40"/>
  <c r="W10" i="40"/>
  <c r="M70" i="39"/>
  <c r="N68" i="39"/>
  <c r="H6" i="3"/>
  <c r="E6" i="3" s="1"/>
  <c r="AC6" i="3"/>
  <c r="G42" i="35"/>
  <c r="H42" i="35" s="1"/>
  <c r="G43" i="35"/>
  <c r="H43" i="35" s="1"/>
  <c r="W7" i="37"/>
  <c r="AC7" i="37"/>
  <c r="V42" i="37" s="1"/>
  <c r="I42" i="37" s="1"/>
  <c r="AA7" i="36"/>
  <c r="R36" i="36" s="1"/>
  <c r="S7" i="36"/>
  <c r="AC7" i="21"/>
  <c r="W7" i="21"/>
  <c r="E16" i="6"/>
  <c r="F27" i="6"/>
  <c r="F31" i="6" s="1"/>
  <c r="E56" i="86"/>
  <c r="E51" i="40"/>
  <c r="E56" i="39"/>
  <c r="E61" i="86"/>
  <c r="E61" i="39"/>
  <c r="E56" i="40"/>
  <c r="E64" i="86"/>
  <c r="E59" i="40"/>
  <c r="E64" i="39"/>
  <c r="U37" i="21"/>
  <c r="AB37" i="21"/>
  <c r="F22" i="43"/>
  <c r="AE11" i="43"/>
  <c r="AE13" i="43" s="1"/>
  <c r="M101" i="43"/>
  <c r="S3" i="43"/>
  <c r="S7" i="43"/>
  <c r="S5" i="43"/>
  <c r="J101" i="43"/>
  <c r="E22" i="43"/>
  <c r="AJ11" i="43"/>
  <c r="AJ13" i="43" s="1"/>
  <c r="AI11" i="43"/>
  <c r="AI13" i="43" s="1"/>
  <c r="Y11" i="43"/>
  <c r="Y13" i="43" s="1"/>
  <c r="D101" i="43"/>
  <c r="AF11" i="43"/>
  <c r="AF13" i="43" s="1"/>
  <c r="S4" i="43"/>
  <c r="Z7" i="43"/>
  <c r="C23" i="43"/>
  <c r="C21" i="43" s="1"/>
  <c r="AA11" i="43"/>
  <c r="AA13" i="43" s="1"/>
  <c r="AH11" i="43"/>
  <c r="AH13" i="43" s="1"/>
  <c r="S2" i="43"/>
  <c r="N104" i="46"/>
  <c r="AG11" i="43"/>
  <c r="AG13" i="43" s="1"/>
  <c r="H101" i="43"/>
  <c r="G22" i="43"/>
  <c r="AC11" i="43"/>
  <c r="AC13" i="43" s="1"/>
  <c r="AB11" i="43"/>
  <c r="AB13" i="43" s="1"/>
  <c r="E101" i="43"/>
  <c r="G101" i="43"/>
  <c r="J22" i="43"/>
  <c r="I101" i="43"/>
  <c r="AD11" i="43"/>
  <c r="AD13" i="43" s="1"/>
  <c r="S6" i="43"/>
  <c r="L101" i="43"/>
  <c r="C101" i="43"/>
  <c r="Z11" i="43"/>
  <c r="Z13" i="43" s="1"/>
  <c r="F101" i="43"/>
  <c r="B113" i="43"/>
  <c r="K101" i="43"/>
  <c r="N101" i="43"/>
  <c r="H22" i="43"/>
  <c r="T7" i="43"/>
  <c r="V7" i="43" s="1"/>
  <c r="T5" i="43"/>
  <c r="V5" i="43" s="1"/>
  <c r="T2" i="43"/>
  <c r="V2" i="43" s="1"/>
  <c r="T3" i="43"/>
  <c r="V3" i="43" s="1"/>
  <c r="C39" i="43"/>
  <c r="C38" i="43"/>
  <c r="T16" i="43"/>
  <c r="V16" i="43" s="1"/>
  <c r="T12" i="43"/>
  <c r="V12" i="43" s="1"/>
  <c r="T8" i="43"/>
  <c r="V8" i="43" s="1"/>
  <c r="T13" i="43"/>
  <c r="V13" i="43" s="1"/>
  <c r="T14" i="43"/>
  <c r="V14" i="43" s="1"/>
  <c r="T15" i="43"/>
  <c r="V15" i="43" s="1"/>
  <c r="T6" i="43"/>
  <c r="V6" i="43" s="1"/>
  <c r="C29" i="43"/>
  <c r="T11" i="43"/>
  <c r="V11" i="43" s="1"/>
  <c r="T9" i="43"/>
  <c r="V9" i="43" s="1"/>
  <c r="T10" i="43"/>
  <c r="V10" i="43" s="1"/>
  <c r="T4" i="43"/>
  <c r="V4" i="43" s="1"/>
  <c r="C37" i="43"/>
  <c r="C26" i="69"/>
  <c r="D22" i="69" s="1"/>
  <c r="C44" i="69"/>
  <c r="D41" i="69" s="1"/>
  <c r="C10" i="91"/>
  <c r="C5" i="91" s="1"/>
  <c r="C53" i="91"/>
  <c r="C48" i="91" s="1"/>
  <c r="F58" i="89"/>
  <c r="G58" i="89" s="1"/>
  <c r="H58" i="89" s="1"/>
  <c r="I58" i="89" s="1"/>
  <c r="J58" i="89" s="1"/>
  <c r="K58" i="89" s="1"/>
  <c r="L58" i="89" s="1"/>
  <c r="M58" i="89" s="1"/>
  <c r="N58" i="89" s="1"/>
  <c r="O58" i="89" s="1"/>
  <c r="J7" i="89"/>
  <c r="O8" i="1"/>
  <c r="P8" i="1" s="1"/>
  <c r="I42" i="35"/>
  <c r="J42" i="35" s="1"/>
  <c r="I43" i="35"/>
  <c r="J43" i="35" s="1"/>
  <c r="BA5" i="3"/>
  <c r="E27" i="6" s="1"/>
  <c r="AZ14" i="3"/>
  <c r="AZ5" i="3" s="1"/>
  <c r="F27" i="68"/>
  <c r="F28" i="12"/>
  <c r="C29" i="12" s="1"/>
  <c r="D28" i="12" s="1"/>
  <c r="F27" i="69"/>
  <c r="F27" i="11"/>
  <c r="S10" i="40"/>
  <c r="AA10" i="40"/>
  <c r="G46" i="37"/>
  <c r="H46" i="37" s="1"/>
  <c r="G47" i="37"/>
  <c r="H47" i="37" s="1"/>
  <c r="AB7" i="36"/>
  <c r="T36" i="36" s="1"/>
  <c r="G36" i="36" s="1"/>
  <c r="U7" i="36"/>
  <c r="F58" i="83"/>
  <c r="G58" i="83" s="1"/>
  <c r="H58" i="83" s="1"/>
  <c r="I58" i="83" s="1"/>
  <c r="J58" i="83" s="1"/>
  <c r="K58" i="83" s="1"/>
  <c r="L58" i="83" s="1"/>
  <c r="M58" i="83" s="1"/>
  <c r="N58" i="83" s="1"/>
  <c r="O58" i="83" s="1"/>
  <c r="E65" i="40"/>
  <c r="F63" i="40"/>
  <c r="AC7" i="33"/>
  <c r="V48" i="33" s="1"/>
  <c r="I48" i="33" s="1"/>
  <c r="W7" i="33"/>
  <c r="O14" i="1"/>
  <c r="P14" i="1" s="1"/>
  <c r="AA7" i="37"/>
  <c r="R42" i="37" s="1"/>
  <c r="S7" i="37"/>
  <c r="W7" i="36"/>
  <c r="AC7" i="36"/>
  <c r="V36" i="36" s="1"/>
  <c r="I36" i="36" s="1"/>
  <c r="AB7" i="21"/>
  <c r="U7" i="21"/>
  <c r="E57" i="40"/>
  <c r="E62" i="86"/>
  <c r="E62" i="39"/>
  <c r="E58" i="40"/>
  <c r="E63" i="86"/>
  <c r="E63" i="39"/>
  <c r="E60" i="40"/>
  <c r="E65" i="39"/>
  <c r="E65" i="86"/>
  <c r="S37" i="21"/>
  <c r="AA37" i="21"/>
  <c r="AE8" i="1"/>
  <c r="AE7" i="1"/>
  <c r="F41" i="15"/>
  <c r="F41" i="81"/>
  <c r="F41" i="82"/>
  <c r="F41" i="91"/>
  <c r="J18" i="67" l="1"/>
  <c r="C53" i="81"/>
  <c r="C48" i="81" s="1"/>
  <c r="C66" i="81" s="1"/>
  <c r="J24" i="67"/>
  <c r="C10" i="82"/>
  <c r="C5" i="82" s="1"/>
  <c r="C33" i="82" s="1"/>
  <c r="C48" i="67"/>
  <c r="C60" i="67" s="1"/>
  <c r="C10" i="67"/>
  <c r="C5" i="67" s="1"/>
  <c r="C32" i="67" s="1"/>
  <c r="C10" i="15"/>
  <c r="C5" i="15" s="1"/>
  <c r="C38" i="15" s="1"/>
  <c r="J18" i="82"/>
  <c r="J24" i="82"/>
  <c r="C48" i="82"/>
  <c r="C66" i="82" s="1"/>
  <c r="C48" i="15"/>
  <c r="C60" i="15" s="1"/>
  <c r="C26" i="11"/>
  <c r="D22" i="11" s="1"/>
  <c r="C44" i="11"/>
  <c r="D41" i="11" s="1"/>
  <c r="C24" i="68"/>
  <c r="C44" i="68"/>
  <c r="D41" i="68" s="1"/>
  <c r="C19" i="67"/>
  <c r="C20" i="67" s="1"/>
  <c r="C26" i="67" s="1"/>
  <c r="J26" i="81"/>
  <c r="J29" i="81" s="1"/>
  <c r="J18" i="81"/>
  <c r="J7" i="83"/>
  <c r="F69" i="15"/>
  <c r="F69" i="91"/>
  <c r="F69" i="82"/>
  <c r="F69" i="81"/>
  <c r="J29" i="82"/>
  <c r="C66" i="91"/>
  <c r="C60" i="91"/>
  <c r="C66" i="67"/>
  <c r="J24" i="91"/>
  <c r="J26" i="91"/>
  <c r="J29" i="91" s="1"/>
  <c r="J18" i="91"/>
  <c r="C33" i="91"/>
  <c r="C38" i="91"/>
  <c r="C32" i="91"/>
  <c r="I40" i="36"/>
  <c r="J40" i="36" s="1"/>
  <c r="I53" i="33"/>
  <c r="J53" i="33" s="1"/>
  <c r="I52" i="33"/>
  <c r="J52" i="33" s="1"/>
  <c r="G40" i="36"/>
  <c r="H40" i="36" s="1"/>
  <c r="G41" i="36"/>
  <c r="H41" i="36" s="1"/>
  <c r="C29" i="69"/>
  <c r="D27" i="69" s="1"/>
  <c r="C47" i="69"/>
  <c r="D45" i="69" s="1"/>
  <c r="C29" i="68"/>
  <c r="D27" i="68" s="1"/>
  <c r="C47" i="68"/>
  <c r="D45" i="68" s="1"/>
  <c r="E31" i="6"/>
  <c r="K21" i="6"/>
  <c r="K26" i="6"/>
  <c r="M26" i="6" s="1"/>
  <c r="I26" i="6" s="1"/>
  <c r="S26" i="6" s="1"/>
  <c r="K20" i="6"/>
  <c r="K22" i="6"/>
  <c r="K24" i="6"/>
  <c r="M24" i="6" s="1"/>
  <c r="I24" i="6" s="1"/>
  <c r="S24" i="6" s="1"/>
  <c r="K25" i="6"/>
  <c r="M25" i="6" s="1"/>
  <c r="I25" i="6" s="1"/>
  <c r="S25" i="6" s="1"/>
  <c r="K19" i="6"/>
  <c r="K23" i="6"/>
  <c r="W7" i="89"/>
  <c r="AC7" i="89"/>
  <c r="V48" i="89" s="1"/>
  <c r="I48" i="89" s="1"/>
  <c r="C33" i="81"/>
  <c r="C38" i="81"/>
  <c r="C32" i="81"/>
  <c r="J26" i="15"/>
  <c r="J29" i="15" s="1"/>
  <c r="J18" i="15"/>
  <c r="J24" i="15"/>
  <c r="G37" i="43"/>
  <c r="I37" i="43" s="1"/>
  <c r="E37" i="43"/>
  <c r="E39" i="43"/>
  <c r="G39" i="43"/>
  <c r="I39" i="43" s="1"/>
  <c r="N107" i="43"/>
  <c r="N105" i="43"/>
  <c r="N106" i="43"/>
  <c r="N102" i="43"/>
  <c r="N103" i="43"/>
  <c r="N109" i="43"/>
  <c r="N104" i="43"/>
  <c r="B118" i="43"/>
  <c r="C118" i="43" s="1"/>
  <c r="D116" i="43"/>
  <c r="E116" i="43" s="1"/>
  <c r="F116" i="43" s="1"/>
  <c r="G116" i="43" s="1"/>
  <c r="H116" i="43" s="1"/>
  <c r="G118" i="43"/>
  <c r="H118" i="43" s="1"/>
  <c r="B116" i="43"/>
  <c r="C116"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D115" i="43"/>
  <c r="E115" i="43" s="1"/>
  <c r="F115" i="43" s="1"/>
  <c r="G115" i="43" s="1"/>
  <c r="H115" i="43" s="1"/>
  <c r="B115" i="43"/>
  <c r="I116" i="43"/>
  <c r="J116" i="43" s="1"/>
  <c r="K116" i="43" s="1"/>
  <c r="L116" i="43" s="1"/>
  <c r="M116" i="43" s="1"/>
  <c r="I118" i="43"/>
  <c r="J118" i="43" s="1"/>
  <c r="K118" i="43" s="1"/>
  <c r="L118" i="43" s="1"/>
  <c r="M118" i="43" s="1"/>
  <c r="L102" i="43"/>
  <c r="L107" i="43"/>
  <c r="L106" i="43"/>
  <c r="L105" i="43"/>
  <c r="L109" i="43"/>
  <c r="L104" i="43"/>
  <c r="L103" i="43"/>
  <c r="E102" i="43"/>
  <c r="E107" i="43"/>
  <c r="E109" i="43"/>
  <c r="E106" i="43"/>
  <c r="E104" i="43"/>
  <c r="E105" i="43"/>
  <c r="E103" i="43"/>
  <c r="H102" i="43"/>
  <c r="H107" i="43"/>
  <c r="H105" i="43"/>
  <c r="H106" i="43"/>
  <c r="H103" i="43"/>
  <c r="H109" i="43"/>
  <c r="H104" i="43"/>
  <c r="D109" i="43"/>
  <c r="D102" i="43"/>
  <c r="D104" i="43"/>
  <c r="D103" i="43"/>
  <c r="D106" i="43"/>
  <c r="D107" i="43"/>
  <c r="D105" i="43"/>
  <c r="D22" i="43"/>
  <c r="E66" i="39"/>
  <c r="E66" i="86"/>
  <c r="R37" i="36"/>
  <c r="E36" i="36"/>
  <c r="O16" i="1"/>
  <c r="F70" i="86"/>
  <c r="G68" i="86"/>
  <c r="G53" i="33"/>
  <c r="H53" i="33" s="1"/>
  <c r="C49" i="33"/>
  <c r="C48" i="33"/>
  <c r="C38" i="35"/>
  <c r="C39" i="35"/>
  <c r="B2" i="35" s="1"/>
  <c r="B3" i="35" s="1"/>
  <c r="AC7" i="83"/>
  <c r="V48" i="83" s="1"/>
  <c r="I48" i="83" s="1"/>
  <c r="W7" i="83"/>
  <c r="R43" i="37"/>
  <c r="E42" i="37"/>
  <c r="F65" i="40"/>
  <c r="G63" i="40"/>
  <c r="H7" i="83"/>
  <c r="C29" i="11"/>
  <c r="D27" i="11" s="1"/>
  <c r="C47" i="11"/>
  <c r="D45" i="11" s="1"/>
  <c r="AY6" i="3"/>
  <c r="E3" i="6"/>
  <c r="H7" i="89"/>
  <c r="E29" i="43"/>
  <c r="C26" i="43" s="1"/>
  <c r="C30" i="43"/>
  <c r="E30" i="43" s="1"/>
  <c r="C27" i="43" s="1"/>
  <c r="G38" i="43"/>
  <c r="I38" i="43" s="1"/>
  <c r="E38" i="43"/>
  <c r="K102" i="43"/>
  <c r="K106" i="43"/>
  <c r="K105" i="43"/>
  <c r="K109" i="43"/>
  <c r="K103" i="43"/>
  <c r="K107" i="43"/>
  <c r="K104" i="43"/>
  <c r="F105" i="43"/>
  <c r="F103" i="43"/>
  <c r="F104" i="43"/>
  <c r="F109" i="43"/>
  <c r="F102" i="43"/>
  <c r="F107" i="43"/>
  <c r="F106" i="43"/>
  <c r="C104" i="43"/>
  <c r="C107" i="43"/>
  <c r="C103" i="43"/>
  <c r="C102" i="43"/>
  <c r="C105" i="43"/>
  <c r="C106" i="43"/>
  <c r="C109" i="43"/>
  <c r="I102" i="43"/>
  <c r="I104" i="43"/>
  <c r="I105" i="43"/>
  <c r="I109" i="43"/>
  <c r="I106" i="43"/>
  <c r="I107" i="43"/>
  <c r="I103" i="43"/>
  <c r="G105" i="43"/>
  <c r="G106" i="43"/>
  <c r="G103" i="43"/>
  <c r="G107" i="43"/>
  <c r="G109" i="43"/>
  <c r="G104" i="43"/>
  <c r="G102" i="43"/>
  <c r="J105" i="43"/>
  <c r="J107" i="43"/>
  <c r="J103" i="43"/>
  <c r="J102" i="43"/>
  <c r="J106" i="43"/>
  <c r="J109" i="43"/>
  <c r="J104" i="43"/>
  <c r="M103" i="43"/>
  <c r="M105" i="43"/>
  <c r="M106" i="43"/>
  <c r="M109" i="43"/>
  <c r="M102" i="43"/>
  <c r="M107" i="43"/>
  <c r="M104" i="43"/>
  <c r="I47" i="37"/>
  <c r="J47" i="37" s="1"/>
  <c r="I46" i="37"/>
  <c r="J46" i="37" s="1"/>
  <c r="O68" i="39"/>
  <c r="O70" i="39" s="1"/>
  <c r="F7" i="39" s="1"/>
  <c r="N70" i="39"/>
  <c r="H7" i="39" s="1"/>
  <c r="L16" i="1"/>
  <c r="N16" i="1"/>
  <c r="P16" i="1"/>
  <c r="C11" i="12" s="1"/>
  <c r="C38" i="69"/>
  <c r="C35" i="69"/>
  <c r="E53" i="33"/>
  <c r="F53" i="33" s="1"/>
  <c r="E52" i="33"/>
  <c r="F52" i="33" s="1"/>
  <c r="E42" i="35"/>
  <c r="F42" i="35" s="1"/>
  <c r="E43" i="35"/>
  <c r="F43" i="35" s="1"/>
  <c r="J7" i="39"/>
  <c r="F7" i="83"/>
  <c r="F7" i="89"/>
  <c r="C60" i="81" l="1"/>
  <c r="C32" i="82"/>
  <c r="C38" i="67"/>
  <c r="C38" i="82"/>
  <c r="C66" i="15"/>
  <c r="C32" i="15"/>
  <c r="C33" i="15"/>
  <c r="C60" i="82"/>
  <c r="C23" i="67"/>
  <c r="C29" i="67" s="1"/>
  <c r="C13" i="67" s="1"/>
  <c r="C75" i="67" s="1"/>
  <c r="AA7" i="39"/>
  <c r="S7" i="39"/>
  <c r="AB7" i="39"/>
  <c r="U7" i="39"/>
  <c r="S7" i="83"/>
  <c r="AA7" i="83"/>
  <c r="R48" i="83" s="1"/>
  <c r="F11" i="12"/>
  <c r="F34" i="68"/>
  <c r="F34" i="11"/>
  <c r="AB7" i="89"/>
  <c r="T48" i="89" s="1"/>
  <c r="G48" i="89" s="1"/>
  <c r="U7" i="89"/>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176" i="3"/>
  <c r="AY188" i="3"/>
  <c r="AY297" i="3"/>
  <c r="AY335" i="3"/>
  <c r="AY409" i="3"/>
  <c r="AY228" i="3"/>
  <c r="AY465" i="3"/>
  <c r="BK6" i="3"/>
  <c r="AY108" i="3"/>
  <c r="AY28" i="3"/>
  <c r="AY138" i="3"/>
  <c r="AY294" i="3"/>
  <c r="AY214" i="3"/>
  <c r="AY554" i="3"/>
  <c r="AY24" i="3"/>
  <c r="AY290" i="3"/>
  <c r="AY349" i="3"/>
  <c r="AY488"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07" i="3"/>
  <c r="AY42" i="3"/>
  <c r="AY168" i="3"/>
  <c r="AY366" i="3"/>
  <c r="AY441" i="3"/>
  <c r="AY260" i="3"/>
  <c r="AY310" i="3"/>
  <c r="AY549" i="3"/>
  <c r="AY97" i="3"/>
  <c r="AY44" i="3"/>
  <c r="AY154" i="3"/>
  <c r="AY283" i="3"/>
  <c r="AY230" i="3"/>
  <c r="AY360" i="3"/>
  <c r="AY56" i="3"/>
  <c r="AY295" i="3"/>
  <c r="AY353" i="3"/>
  <c r="AY475"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216" i="3"/>
  <c r="AY482" i="3"/>
  <c r="AY528" i="3"/>
  <c r="AY22" i="3"/>
  <c r="AY288" i="3"/>
  <c r="AY339" i="3"/>
  <c r="AY413" i="3"/>
  <c r="AY301" i="3"/>
  <c r="AY359" i="3"/>
  <c r="AY408" i="3"/>
  <c r="AY107" i="3"/>
  <c r="AY164" i="3"/>
  <c r="AY240" i="3"/>
  <c r="AY477" i="3"/>
  <c r="AY56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83" i="3"/>
  <c r="AY155" i="3"/>
  <c r="AY131" i="3"/>
  <c r="AY268" i="3"/>
  <c r="AY318" i="3"/>
  <c r="AY106" i="3"/>
  <c r="AY395" i="3"/>
  <c r="AY452" i="3"/>
  <c r="AY569" i="3"/>
  <c r="AY77" i="3"/>
  <c r="AY206" i="3"/>
  <c r="AY149" i="3"/>
  <c r="AY263" i="3"/>
  <c r="AY392" i="3"/>
  <c r="BJ6" i="3"/>
  <c r="AY197" i="3"/>
  <c r="AY274" i="3"/>
  <c r="AY317"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87" i="3"/>
  <c r="AY144" i="3"/>
  <c r="AY152" i="3"/>
  <c r="AY253" i="3"/>
  <c r="AY303" i="3"/>
  <c r="AY529" i="3"/>
  <c r="AY217" i="3"/>
  <c r="AY463" i="3"/>
  <c r="AY544" i="3"/>
  <c r="AY92" i="3"/>
  <c r="AY33" i="3"/>
  <c r="AY165" i="3"/>
  <c r="AY278" i="3"/>
  <c r="AY219" i="3"/>
  <c r="BH6" i="3"/>
  <c r="AY202" i="3"/>
  <c r="AY259" i="3"/>
  <c r="AY333" i="3"/>
  <c r="AY472"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383" i="3"/>
  <c r="AY440" i="3"/>
  <c r="AY576" i="3"/>
  <c r="AY195" i="3"/>
  <c r="AY272" i="3"/>
  <c r="AY322" i="3"/>
  <c r="AY15" i="3"/>
  <c r="AY265" i="3"/>
  <c r="AY315" i="3"/>
  <c r="AY500" i="3"/>
  <c r="AY71" i="3"/>
  <c r="D3" i="6"/>
  <c r="AY191" i="3"/>
  <c r="AY31" i="3"/>
  <c r="AY147" i="3"/>
  <c r="AY350" i="3"/>
  <c r="AY425" i="3"/>
  <c r="AY244" i="3"/>
  <c r="AY481" i="3"/>
  <c r="AY562" i="3"/>
  <c r="AY89" i="3"/>
  <c r="AY36" i="3"/>
  <c r="AY146" i="3"/>
  <c r="AY302" i="3"/>
  <c r="AY222" i="3"/>
  <c r="BS6" i="3"/>
  <c r="AY40" i="3"/>
  <c r="AY279" i="3"/>
  <c r="AY356" i="3"/>
  <c r="AY467" i="3"/>
  <c r="AY115" i="3"/>
  <c r="AY225" i="3"/>
  <c r="AY180" i="3"/>
  <c r="AY433" i="3"/>
  <c r="AY45" i="3"/>
  <c r="AY118" i="3"/>
  <c r="AY381" i="3"/>
  <c r="AY177" i="3"/>
  <c r="AY332" i="3"/>
  <c r="AY398" i="3"/>
  <c r="AY534" i="3"/>
  <c r="AY501" i="3"/>
  <c r="AY65" i="3"/>
  <c r="AY137" i="3"/>
  <c r="AY380" i="3"/>
  <c r="AY312" i="3"/>
  <c r="AY426" i="3"/>
  <c r="AY14" i="3"/>
  <c r="AY548" i="3"/>
  <c r="AY30" i="3"/>
  <c r="AY51" i="3"/>
  <c r="AY281" i="3"/>
  <c r="AY473" i="3"/>
  <c r="AY372" i="3"/>
  <c r="AY533" i="3"/>
  <c r="AY190" i="3"/>
  <c r="AY247" i="3"/>
  <c r="AY109" i="3"/>
  <c r="AY242" i="3"/>
  <c r="AY449" i="3"/>
  <c r="AY503" i="3"/>
  <c r="AY520" i="3"/>
  <c r="AY496" i="3"/>
  <c r="AY21" i="3"/>
  <c r="AY267" i="3"/>
  <c r="AY337" i="3"/>
  <c r="AY476" i="3"/>
  <c r="AY415" i="3"/>
  <c r="AY565" i="3"/>
  <c r="AY99" i="3"/>
  <c r="AY156" i="3"/>
  <c r="AY232" i="3"/>
  <c r="AY469" i="3"/>
  <c r="AY560" i="3"/>
  <c r="AY38" i="3"/>
  <c r="AY277" i="3"/>
  <c r="AY354" i="3"/>
  <c r="AY429" i="3"/>
  <c r="AY296" i="3"/>
  <c r="AY421" i="3"/>
  <c r="AY175" i="3"/>
  <c r="AY474" i="3"/>
  <c r="AY248" i="3"/>
  <c r="AY547" i="3"/>
  <c r="AY293" i="3"/>
  <c r="AY400" i="3"/>
  <c r="AY50" i="3"/>
  <c r="AY289" i="3"/>
  <c r="AY261" i="3"/>
  <c r="AY209" i="3"/>
  <c r="AY455" i="3"/>
  <c r="AY116" i="3"/>
  <c r="AY343" i="3"/>
  <c r="AY417" i="3"/>
  <c r="AY539" i="3"/>
  <c r="AY84" i="3"/>
  <c r="AY193" i="3"/>
  <c r="AY134" i="3"/>
  <c r="AY270" i="3"/>
  <c r="AY373" i="3"/>
  <c r="AY88" i="3"/>
  <c r="AY161" i="3"/>
  <c r="AY215" i="3"/>
  <c r="AY324" i="3"/>
  <c r="AY23" i="3"/>
  <c r="AY58" i="3"/>
  <c r="AY428" i="3"/>
  <c r="AY342" i="3"/>
  <c r="AY553" i="3"/>
  <c r="AY170" i="3"/>
  <c r="AY246" i="3"/>
  <c r="AY41" i="3"/>
  <c r="AY377" i="3"/>
  <c r="AY446" i="3"/>
  <c r="BM6" i="3"/>
  <c r="AY510" i="3"/>
  <c r="AY519" i="3"/>
  <c r="AY189" i="3"/>
  <c r="AY266" i="3"/>
  <c r="AY313" i="3"/>
  <c r="AY453" i="3"/>
  <c r="AY579" i="3"/>
  <c r="AY551" i="3"/>
  <c r="AY79" i="3"/>
  <c r="AY151" i="3"/>
  <c r="AY95" i="3"/>
  <c r="AY382" i="3"/>
  <c r="AY300" i="3"/>
  <c r="AY401" i="3"/>
  <c r="AY76" i="3"/>
  <c r="AY125" i="3"/>
  <c r="AY374" i="3"/>
  <c r="AY145" i="3"/>
  <c r="AY316" i="3"/>
  <c r="AY435" i="3"/>
  <c r="BN6" i="3"/>
  <c r="AY508" i="3"/>
  <c r="AY49" i="3"/>
  <c r="AY122" i="3"/>
  <c r="AY385" i="3"/>
  <c r="AY304" i="3"/>
  <c r="AY418" i="3"/>
  <c r="AY564" i="3"/>
  <c r="AY531" i="3"/>
  <c r="AY35" i="3"/>
  <c r="AY280" i="3"/>
  <c r="AY331" i="3"/>
  <c r="AY405" i="3"/>
  <c r="AY86" i="3"/>
  <c r="AY159" i="3"/>
  <c r="AY213" i="3"/>
  <c r="AY459" i="3"/>
  <c r="AY504" i="3"/>
  <c r="AY330" i="3"/>
  <c r="AY39" i="3"/>
  <c r="AY375" i="3"/>
  <c r="AY567" i="3"/>
  <c r="AY451" i="3"/>
  <c r="AY200" i="3"/>
  <c r="AY257" i="3"/>
  <c r="AY307" i="3"/>
  <c r="AY521" i="3"/>
  <c r="AY82" i="3"/>
  <c r="AY132" i="3"/>
  <c r="AY292" i="3"/>
  <c r="AY220" i="3"/>
  <c r="AY486" i="3"/>
  <c r="AY199" i="3"/>
  <c r="AY355" i="3"/>
  <c r="AY404" i="3"/>
  <c r="BO6" i="3"/>
  <c r="AY53" i="3"/>
  <c r="AY182" i="3"/>
  <c r="AY126" i="3"/>
  <c r="AY239" i="3"/>
  <c r="AY389" i="3"/>
  <c r="AY93" i="3"/>
  <c r="AY150" i="3"/>
  <c r="AY226" i="3"/>
  <c r="AY340" i="3"/>
  <c r="AY66" i="3"/>
  <c r="AY276" i="3"/>
  <c r="AY470" i="3"/>
  <c r="AY358" i="3"/>
  <c r="AY541" i="3"/>
  <c r="AY201" i="3"/>
  <c r="AY231" i="3"/>
  <c r="AY104" i="3"/>
  <c r="AY210" i="3"/>
  <c r="AY462" i="3"/>
  <c r="BQ6" i="3"/>
  <c r="AY495" i="3"/>
  <c r="AY582" i="3"/>
  <c r="AY194" i="3"/>
  <c r="AY251" i="3"/>
  <c r="AY329" i="3"/>
  <c r="AY468" i="3"/>
  <c r="AY407" i="3"/>
  <c r="AY537" i="3"/>
  <c r="AY110" i="3"/>
  <c r="AY140" i="3"/>
  <c r="AY124" i="3"/>
  <c r="AY236" i="3"/>
  <c r="AY26" i="3"/>
  <c r="AY420" i="3"/>
  <c r="AY61" i="3"/>
  <c r="AY133" i="3"/>
  <c r="AY397" i="3"/>
  <c r="AY166" i="3"/>
  <c r="AY348" i="3"/>
  <c r="AY406" i="3"/>
  <c r="AY572" i="3"/>
  <c r="AY543" i="3"/>
  <c r="AY81" i="3"/>
  <c r="AY153" i="3"/>
  <c r="AY396" i="3"/>
  <c r="AY320" i="3"/>
  <c r="AY434" i="3"/>
  <c r="AY538" i="3"/>
  <c r="AY570" i="3"/>
  <c r="AY46" i="3"/>
  <c r="AY285" i="3"/>
  <c r="AY362" i="3"/>
  <c r="AY437" i="3"/>
  <c r="AY91" i="3"/>
  <c r="AY148" i="3"/>
  <c r="AY224" i="3"/>
  <c r="AY490" i="3"/>
  <c r="AY511" i="3"/>
  <c r="AY347" i="3"/>
  <c r="AY102" i="3"/>
  <c r="AY208" i="3"/>
  <c r="AY583" i="3"/>
  <c r="AY485" i="3"/>
  <c r="AY54" i="3"/>
  <c r="AY351" i="3"/>
  <c r="AY103" i="3"/>
  <c r="AY160" i="3"/>
  <c r="AY183" i="3"/>
  <c r="AY284" i="3"/>
  <c r="AY319" i="3"/>
  <c r="AY497" i="3"/>
  <c r="AY212" i="3"/>
  <c r="AY478" i="3"/>
  <c r="AY573" i="3"/>
  <c r="AY100" i="3"/>
  <c r="AY20" i="3"/>
  <c r="AY173" i="3"/>
  <c r="AY286" i="3"/>
  <c r="AY227" i="3"/>
  <c r="AY507" i="3"/>
  <c r="AY29" i="3"/>
  <c r="AY275" i="3"/>
  <c r="AY341" i="3"/>
  <c r="AY480" i="3"/>
  <c r="AY59" i="3"/>
  <c r="AY371" i="3"/>
  <c r="AY245" i="3"/>
  <c r="AY513" i="3"/>
  <c r="AY60" i="3"/>
  <c r="AY299" i="3"/>
  <c r="AY357" i="3"/>
  <c r="AY114" i="3"/>
  <c r="AY491" i="3"/>
  <c r="AY427" i="3"/>
  <c r="BF6" i="3"/>
  <c r="AY584" i="3"/>
  <c r="AY80" i="3"/>
  <c r="AY129" i="3"/>
  <c r="AY369" i="3"/>
  <c r="AY487" i="3"/>
  <c r="AY410" i="3"/>
  <c r="AY522" i="3"/>
  <c r="BP6" i="3"/>
  <c r="AY19" i="3"/>
  <c r="AY34" i="3"/>
  <c r="AY111" i="3"/>
  <c r="AY460" i="3"/>
  <c r="AY327" i="3"/>
  <c r="BE6" i="3"/>
  <c r="AY185" i="3"/>
  <c r="AY262" i="3"/>
  <c r="AY73" i="3"/>
  <c r="AY388" i="3"/>
  <c r="AY454" i="3"/>
  <c r="AY525" i="3"/>
  <c r="AY518" i="3"/>
  <c r="AY577" i="3"/>
  <c r="AY205" i="3"/>
  <c r="AY235" i="3"/>
  <c r="AY321" i="3"/>
  <c r="AY461" i="3"/>
  <c r="AY399" i="3"/>
  <c r="AY509" i="3"/>
  <c r="AY94" i="3"/>
  <c r="AY167" i="3"/>
  <c r="AY221" i="3"/>
  <c r="AY466" i="3"/>
  <c r="AY512" i="3"/>
  <c r="AY27" i="3"/>
  <c r="AY273" i="3"/>
  <c r="AY323" i="3"/>
  <c r="AY550" i="3"/>
  <c r="AY233" i="3"/>
  <c r="AY13" i="3"/>
  <c r="AY136" i="3"/>
  <c r="AY432" i="3"/>
  <c r="AY394" i="3"/>
  <c r="AY568" i="3"/>
  <c r="AY143" i="3"/>
  <c r="AY386" i="3"/>
  <c r="AY443" i="3"/>
  <c r="BT6" i="3"/>
  <c r="AB7" i="83"/>
  <c r="T48" i="83" s="1"/>
  <c r="G48" i="83" s="1"/>
  <c r="U7" i="83"/>
  <c r="C43" i="37"/>
  <c r="C42" i="37"/>
  <c r="C37" i="36"/>
  <c r="B2" i="36" s="1"/>
  <c r="B3" i="36" s="1"/>
  <c r="C36" i="36"/>
  <c r="I52" i="89"/>
  <c r="J52" i="89" s="1"/>
  <c r="M23" i="6"/>
  <c r="I23" i="6" s="1"/>
  <c r="S23" i="6" s="1"/>
  <c r="S10" i="1"/>
  <c r="S9" i="1"/>
  <c r="M22" i="6"/>
  <c r="I22" i="6" s="1"/>
  <c r="S22" i="6" s="1"/>
  <c r="AA7" i="89"/>
  <c r="R48" i="89" s="1"/>
  <c r="S7" i="89"/>
  <c r="AC7" i="39"/>
  <c r="W7" i="39"/>
  <c r="C15" i="12"/>
  <c r="C12" i="12"/>
  <c r="B2" i="43"/>
  <c r="M18" i="9"/>
  <c r="B118" i="9" s="1"/>
  <c r="B14" i="74" s="1"/>
  <c r="B1" i="74" s="1"/>
  <c r="D37" i="11"/>
  <c r="E6" i="6"/>
  <c r="C34" i="34"/>
  <c r="C17" i="4"/>
  <c r="B4" i="52" s="1"/>
  <c r="B43" i="72" s="1"/>
  <c r="D3" i="33"/>
  <c r="B2" i="33" s="1"/>
  <c r="B3" i="33" s="1"/>
  <c r="D3" i="37"/>
  <c r="L18" i="9"/>
  <c r="D14" i="12"/>
  <c r="H108" i="9"/>
  <c r="D15" i="53" s="1"/>
  <c r="B31" i="72" s="1"/>
  <c r="D19" i="11"/>
  <c r="C19" i="11" s="1"/>
  <c r="G65" i="40"/>
  <c r="H63" i="40"/>
  <c r="E47" i="37"/>
  <c r="F47" i="37" s="1"/>
  <c r="E46" i="37"/>
  <c r="F46" i="37" s="1"/>
  <c r="I52" i="83"/>
  <c r="J52" i="83" s="1"/>
  <c r="G70" i="86"/>
  <c r="H68" i="86"/>
  <c r="E41" i="36"/>
  <c r="F41" i="36" s="1"/>
  <c r="E40" i="36"/>
  <c r="F40" i="36" s="1"/>
  <c r="C115" i="43"/>
  <c r="D113" i="43" s="1"/>
  <c r="S6" i="1"/>
  <c r="K27" i="6"/>
  <c r="M19" i="6"/>
  <c r="S7" i="1"/>
  <c r="M20" i="6"/>
  <c r="I20" i="6" s="1"/>
  <c r="S20" i="6" s="1"/>
  <c r="S8" i="1"/>
  <c r="M21" i="6"/>
  <c r="I21" i="6" s="1"/>
  <c r="S21" i="6" s="1"/>
  <c r="I41" i="36"/>
  <c r="J41" i="36" s="1"/>
  <c r="E6" i="76"/>
  <c r="C17" i="91"/>
  <c r="C17" i="15"/>
  <c r="B6" i="76"/>
  <c r="C17" i="82"/>
  <c r="C17" i="81"/>
  <c r="C56" i="67" l="1"/>
  <c r="C65" i="67" s="1"/>
  <c r="C33" i="67"/>
  <c r="C31" i="67" s="1"/>
  <c r="C37" i="67"/>
  <c r="C57" i="67"/>
  <c r="J14" i="67"/>
  <c r="Q70" i="67"/>
  <c r="J19" i="67"/>
  <c r="J17" i="67" s="1"/>
  <c r="C36" i="67"/>
  <c r="Q49" i="67"/>
  <c r="J59" i="67"/>
  <c r="J60" i="67" s="1"/>
  <c r="C37" i="11"/>
  <c r="E2" i="76"/>
  <c r="B2" i="76"/>
  <c r="M27" i="6"/>
  <c r="I19" i="6"/>
  <c r="AR6" i="1"/>
  <c r="AQ6" i="1"/>
  <c r="T6" i="1"/>
  <c r="S16" i="1"/>
  <c r="E6" i="70"/>
  <c r="H65" i="40"/>
  <c r="I63" i="40"/>
  <c r="J34" i="34"/>
  <c r="F34" i="34"/>
  <c r="H34" i="34"/>
  <c r="B3" i="43"/>
  <c r="AR9" i="1"/>
  <c r="AQ9" i="1"/>
  <c r="T9" i="1"/>
  <c r="B2" i="37"/>
  <c r="B3" i="37" s="1"/>
  <c r="G52" i="83"/>
  <c r="H52" i="83" s="1"/>
  <c r="G53" i="83"/>
  <c r="H53" i="83" s="1"/>
  <c r="C36" i="11"/>
  <c r="C34" i="11"/>
  <c r="AR8" i="1"/>
  <c r="AQ8" i="1"/>
  <c r="T8" i="1"/>
  <c r="E8" i="70"/>
  <c r="AR7" i="1"/>
  <c r="AQ7" i="1"/>
  <c r="E7" i="70"/>
  <c r="T7" i="1"/>
  <c r="I68" i="86"/>
  <c r="H70" i="86"/>
  <c r="C24" i="11"/>
  <c r="C20" i="11"/>
  <c r="C25" i="11" s="1"/>
  <c r="D17" i="12"/>
  <c r="C17" i="12" s="1"/>
  <c r="C14" i="12"/>
  <c r="C16" i="12" s="1"/>
  <c r="D20" i="12"/>
  <c r="C20" i="12" s="1"/>
  <c r="C18" i="12" s="1"/>
  <c r="D10" i="11"/>
  <c r="C10" i="11" s="1"/>
  <c r="D10" i="69"/>
  <c r="D10" i="68"/>
  <c r="C6" i="74"/>
  <c r="C8" i="74"/>
  <c r="R49" i="89"/>
  <c r="E48" i="89"/>
  <c r="T10" i="1"/>
  <c r="E10" i="70"/>
  <c r="AQ10" i="1"/>
  <c r="AR10" i="1"/>
  <c r="D20" i="6"/>
  <c r="D28" i="6"/>
  <c r="D21" i="6"/>
  <c r="C38" i="39"/>
  <c r="D6" i="6"/>
  <c r="H25" i="6"/>
  <c r="D12" i="6"/>
  <c r="D11" i="6"/>
  <c r="D22" i="6"/>
  <c r="C38" i="86"/>
  <c r="D23" i="6"/>
  <c r="R23" i="6" s="1"/>
  <c r="R10" i="1" s="1"/>
  <c r="H23" i="6"/>
  <c r="D14" i="6"/>
  <c r="L19" i="9"/>
  <c r="D8" i="6"/>
  <c r="D5" i="6"/>
  <c r="H19" i="6"/>
  <c r="D24" i="6"/>
  <c r="H20" i="6"/>
  <c r="D25" i="6"/>
  <c r="R25" i="6" s="1"/>
  <c r="M19" i="9"/>
  <c r="C118" i="9" s="1"/>
  <c r="C14" i="74" s="1"/>
  <c r="B2" i="74" s="1"/>
  <c r="C18" i="4"/>
  <c r="D10" i="6"/>
  <c r="H24" i="6"/>
  <c r="D15" i="6"/>
  <c r="H26" i="6"/>
  <c r="D26" i="6"/>
  <c r="D19" i="6"/>
  <c r="D29" i="6"/>
  <c r="H22" i="6"/>
  <c r="D9" i="6"/>
  <c r="H21" i="6"/>
  <c r="D13" i="6"/>
  <c r="E61" i="40"/>
  <c r="G53" i="89"/>
  <c r="H53" i="89" s="1"/>
  <c r="G52" i="89"/>
  <c r="H52" i="89" s="1"/>
  <c r="C34" i="68"/>
  <c r="C36" i="68"/>
  <c r="R49" i="83"/>
  <c r="E48" i="83"/>
  <c r="C14" i="82"/>
  <c r="C14" i="15"/>
  <c r="C14" i="91"/>
  <c r="M21" i="82"/>
  <c r="C14" i="81"/>
  <c r="F35" i="82"/>
  <c r="C30" i="67" l="1"/>
  <c r="C39" i="67" s="1"/>
  <c r="Q69" i="67" s="1"/>
  <c r="Q68" i="67" s="1"/>
  <c r="C61" i="67"/>
  <c r="C59" i="67" s="1"/>
  <c r="C64" i="67"/>
  <c r="J22" i="67"/>
  <c r="J13" i="67"/>
  <c r="J23" i="67" s="1"/>
  <c r="L46" i="67"/>
  <c r="Q48" i="67"/>
  <c r="D16" i="6"/>
  <c r="R20" i="6"/>
  <c r="R7" i="1" s="1"/>
  <c r="C21" i="12"/>
  <c r="C22" i="12" s="1"/>
  <c r="C15" i="15"/>
  <c r="C18" i="15"/>
  <c r="J20" i="82"/>
  <c r="F63" i="82"/>
  <c r="C62" i="82" s="1"/>
  <c r="C34" i="82"/>
  <c r="C31" i="82" s="1"/>
  <c r="C18" i="82"/>
  <c r="C15" i="82"/>
  <c r="C15" i="81"/>
  <c r="C18" i="81"/>
  <c r="C18" i="91"/>
  <c r="C15" i="91"/>
  <c r="E53" i="83"/>
  <c r="F53" i="83" s="1"/>
  <c r="E52" i="83"/>
  <c r="F52" i="83" s="1"/>
  <c r="I53" i="83"/>
  <c r="J53" i="83" s="1"/>
  <c r="D27" i="6"/>
  <c r="R19" i="6"/>
  <c r="A7" i="51"/>
  <c r="B7" i="72" s="1"/>
  <c r="C4" i="52"/>
  <c r="B45" i="72" s="1"/>
  <c r="A10" i="51"/>
  <c r="B9" i="72" s="1"/>
  <c r="R24" i="6"/>
  <c r="C48" i="89"/>
  <c r="C49" i="89"/>
  <c r="S34" i="34"/>
  <c r="AA34" i="34"/>
  <c r="I65" i="40"/>
  <c r="J63" i="40"/>
  <c r="E2" i="70"/>
  <c r="T16" i="1"/>
  <c r="B3" i="76"/>
  <c r="H27" i="6"/>
  <c r="R22" i="6"/>
  <c r="R9" i="1" s="1"/>
  <c r="R21" i="6"/>
  <c r="R8" i="1" s="1"/>
  <c r="D19" i="68"/>
  <c r="D37" i="68" s="1"/>
  <c r="C37" i="68" s="1"/>
  <c r="C10" i="68"/>
  <c r="C28" i="11"/>
  <c r="C27" i="11" s="1"/>
  <c r="C48" i="83"/>
  <c r="C49" i="83"/>
  <c r="C38" i="68"/>
  <c r="C35" i="68"/>
  <c r="R26" i="6"/>
  <c r="D6" i="74"/>
  <c r="D8" i="74"/>
  <c r="J38" i="86"/>
  <c r="F38" i="86"/>
  <c r="H38" i="86"/>
  <c r="H38" i="39"/>
  <c r="J38" i="39"/>
  <c r="F38" i="39"/>
  <c r="D30" i="6"/>
  <c r="E53" i="89"/>
  <c r="F53" i="89" s="1"/>
  <c r="E52" i="89"/>
  <c r="F52" i="89" s="1"/>
  <c r="I53" i="89"/>
  <c r="J53" i="89" s="1"/>
  <c r="D19" i="69"/>
  <c r="C10" i="69"/>
  <c r="C8" i="69" s="1"/>
  <c r="C5" i="69" s="1"/>
  <c r="C22" i="11"/>
  <c r="C31" i="11" s="1"/>
  <c r="J68" i="86"/>
  <c r="I70" i="86"/>
  <c r="C35" i="11"/>
  <c r="C38" i="11"/>
  <c r="U34" i="34"/>
  <c r="AB34" i="34"/>
  <c r="AC34" i="34"/>
  <c r="W34" i="34"/>
  <c r="S19" i="6"/>
  <c r="S27" i="6" s="1"/>
  <c r="I27" i="6"/>
  <c r="L51" i="67"/>
  <c r="M21" i="81"/>
  <c r="F35" i="81"/>
  <c r="M21" i="91"/>
  <c r="F35" i="91"/>
  <c r="Q67" i="67" l="1"/>
  <c r="L57" i="67"/>
  <c r="L60" i="67" s="1"/>
  <c r="Q66" i="67" s="1"/>
  <c r="C80" i="67"/>
  <c r="C79" i="67" s="1"/>
  <c r="J16" i="67"/>
  <c r="J25" i="67" s="1"/>
  <c r="C40" i="67"/>
  <c r="D2" i="67" s="1"/>
  <c r="C58" i="67"/>
  <c r="C67" i="67" s="1"/>
  <c r="C68" i="67" s="1"/>
  <c r="F63" i="81"/>
  <c r="C62" i="81" s="1"/>
  <c r="C34" i="81"/>
  <c r="C31" i="81" s="1"/>
  <c r="J20" i="81"/>
  <c r="C33" i="11"/>
  <c r="C42" i="11" s="1"/>
  <c r="C33" i="68"/>
  <c r="C42" i="68" s="1"/>
  <c r="C19" i="15"/>
  <c r="C20" i="15" s="1"/>
  <c r="C26" i="15" s="1"/>
  <c r="C19" i="91"/>
  <c r="C20" i="91" s="1"/>
  <c r="C19" i="81"/>
  <c r="C20" i="81" s="1"/>
  <c r="C23" i="81" s="1"/>
  <c r="C19" i="82"/>
  <c r="C20" i="82" s="1"/>
  <c r="J20" i="91"/>
  <c r="F63" i="91"/>
  <c r="C62" i="91" s="1"/>
  <c r="C34" i="91"/>
  <c r="C31" i="91" s="1"/>
  <c r="C23" i="69"/>
  <c r="S38" i="39"/>
  <c r="AA38" i="39"/>
  <c r="U38" i="39"/>
  <c r="AB38" i="39"/>
  <c r="AA38" i="86"/>
  <c r="S38" i="86"/>
  <c r="B3" i="83"/>
  <c r="B2" i="83"/>
  <c r="K63" i="40"/>
  <c r="J65" i="40"/>
  <c r="B3" i="89"/>
  <c r="B2" i="89"/>
  <c r="R6" i="1"/>
  <c r="R27" i="6"/>
  <c r="Q57" i="67"/>
  <c r="J70" i="86"/>
  <c r="K68" i="86"/>
  <c r="C19" i="69"/>
  <c r="C24" i="69" s="1"/>
  <c r="D37" i="69"/>
  <c r="C37" i="69" s="1"/>
  <c r="C33" i="69" s="1"/>
  <c r="W38" i="39"/>
  <c r="AC38" i="39"/>
  <c r="AB38" i="86"/>
  <c r="U38" i="86"/>
  <c r="AC38" i="86"/>
  <c r="W38" i="86"/>
  <c r="D31" i="6"/>
  <c r="F35" i="15"/>
  <c r="M21" i="15"/>
  <c r="B2" i="67" l="1"/>
  <c r="B3" i="67"/>
  <c r="C39" i="11"/>
  <c r="C43" i="11" s="1"/>
  <c r="C43" i="67"/>
  <c r="Q47" i="67"/>
  <c r="Q53" i="67" s="1"/>
  <c r="C83" i="67"/>
  <c r="C82" i="67" s="1"/>
  <c r="Q56" i="67"/>
  <c r="Q62" i="67" s="1"/>
  <c r="Q65" i="67"/>
  <c r="Q75" i="67" s="1"/>
  <c r="C71" i="67"/>
  <c r="C45" i="67"/>
  <c r="C46" i="67" s="1"/>
  <c r="C39" i="68"/>
  <c r="C43" i="68" s="1"/>
  <c r="C41" i="68" s="1"/>
  <c r="C26" i="81"/>
  <c r="C29" i="81" s="1"/>
  <c r="C26" i="82"/>
  <c r="C23" i="82"/>
  <c r="C26" i="91"/>
  <c r="C23" i="91"/>
  <c r="C23" i="15"/>
  <c r="C29" i="15" s="1"/>
  <c r="J20" i="15"/>
  <c r="C34" i="15"/>
  <c r="C31" i="15" s="1"/>
  <c r="F63" i="15"/>
  <c r="C62" i="15" s="1"/>
  <c r="I6" i="6"/>
  <c r="I5" i="6"/>
  <c r="L68" i="86"/>
  <c r="K70" i="86"/>
  <c r="C20" i="69"/>
  <c r="C25" i="69" s="1"/>
  <c r="C22" i="69" s="1"/>
  <c r="C42" i="69"/>
  <c r="C39" i="69"/>
  <c r="C43" i="69" s="1"/>
  <c r="R16" i="1"/>
  <c r="L63" i="40"/>
  <c r="K65" i="40"/>
  <c r="C41" i="11"/>
  <c r="C46" i="11" l="1"/>
  <c r="C45" i="11" s="1"/>
  <c r="C46" i="68"/>
  <c r="C45" i="68" s="1"/>
  <c r="C49" i="11"/>
  <c r="C51" i="11" s="1"/>
  <c r="C52" i="11" s="1"/>
  <c r="B2" i="11" s="1"/>
  <c r="B3" i="11" s="1"/>
  <c r="J19" i="81"/>
  <c r="J17" i="81" s="1"/>
  <c r="Q49" i="81"/>
  <c r="C57" i="81"/>
  <c r="C64" i="81" s="1"/>
  <c r="C13" i="81"/>
  <c r="C37" i="81" s="1"/>
  <c r="C49" i="68"/>
  <c r="C51" i="68" s="1"/>
  <c r="C36" i="81"/>
  <c r="J14" i="81"/>
  <c r="J22" i="81" s="1"/>
  <c r="C46" i="69"/>
  <c r="C45" i="69" s="1"/>
  <c r="C29" i="91"/>
  <c r="C29" i="82"/>
  <c r="J14" i="15"/>
  <c r="Q49" i="15"/>
  <c r="J19" i="15"/>
  <c r="J17" i="15" s="1"/>
  <c r="C13" i="15"/>
  <c r="C36" i="15"/>
  <c r="C57" i="15"/>
  <c r="M63" i="40"/>
  <c r="L65" i="40"/>
  <c r="C41" i="69"/>
  <c r="C28" i="69"/>
  <c r="C27" i="69" s="1"/>
  <c r="C31" i="69" s="1"/>
  <c r="L70" i="86"/>
  <c r="M68" i="86"/>
  <c r="C11" i="21"/>
  <c r="C11" i="39"/>
  <c r="C11" i="86"/>
  <c r="C11" i="34"/>
  <c r="C61" i="81"/>
  <c r="C59" i="81" s="1"/>
  <c r="C75" i="81"/>
  <c r="C56" i="81" l="1"/>
  <c r="C65" i="81" s="1"/>
  <c r="C58" i="81" s="1"/>
  <c r="C67" i="81" s="1"/>
  <c r="C68" i="81" s="1"/>
  <c r="C71" i="81" s="1"/>
  <c r="J13" i="81"/>
  <c r="J23" i="81" s="1"/>
  <c r="J16" i="81" s="1"/>
  <c r="J25" i="81" s="1"/>
  <c r="C30" i="81"/>
  <c r="C39" i="81" s="1"/>
  <c r="Q69" i="81" s="1"/>
  <c r="Q70" i="81"/>
  <c r="C49" i="69"/>
  <c r="C51" i="69" s="1"/>
  <c r="C52" i="69" s="1"/>
  <c r="J19" i="91"/>
  <c r="J17" i="91" s="1"/>
  <c r="C57" i="91"/>
  <c r="C13" i="91"/>
  <c r="C36" i="91"/>
  <c r="J14" i="91"/>
  <c r="Q49" i="91"/>
  <c r="Q49" i="82"/>
  <c r="J19" i="82"/>
  <c r="J17" i="82" s="1"/>
  <c r="C36" i="82"/>
  <c r="C57" i="82"/>
  <c r="J14" i="82"/>
  <c r="C13" i="82"/>
  <c r="C56" i="11"/>
  <c r="C57" i="11" s="1"/>
  <c r="J11" i="34"/>
  <c r="H11" i="34"/>
  <c r="F11" i="34"/>
  <c r="F11" i="39"/>
  <c r="H11" i="39"/>
  <c r="J11" i="39"/>
  <c r="N68" i="86"/>
  <c r="M70" i="86"/>
  <c r="C61" i="15"/>
  <c r="C59" i="15" s="1"/>
  <c r="C64" i="15"/>
  <c r="C56" i="15"/>
  <c r="C65" i="15" s="1"/>
  <c r="C37" i="15"/>
  <c r="C30" i="15" s="1"/>
  <c r="C39" i="15" s="1"/>
  <c r="C75" i="15"/>
  <c r="Q70" i="15"/>
  <c r="F11" i="86"/>
  <c r="H11" i="86"/>
  <c r="J11" i="86"/>
  <c r="F11" i="21"/>
  <c r="H11" i="21"/>
  <c r="J11" i="21"/>
  <c r="N63" i="40"/>
  <c r="M65" i="40"/>
  <c r="J13" i="15"/>
  <c r="J23" i="15" s="1"/>
  <c r="J22" i="15"/>
  <c r="L51" i="81"/>
  <c r="C40" i="81" l="1"/>
  <c r="C46" i="81" s="1"/>
  <c r="C80" i="81"/>
  <c r="C79" i="81" s="1"/>
  <c r="Q68" i="81"/>
  <c r="B2" i="69"/>
  <c r="B3" i="69" s="1"/>
  <c r="C57" i="69"/>
  <c r="C56" i="69" s="1"/>
  <c r="J22" i="82"/>
  <c r="J13" i="82"/>
  <c r="J23" i="82" s="1"/>
  <c r="J22" i="91"/>
  <c r="J13" i="91"/>
  <c r="J23" i="91" s="1"/>
  <c r="C75" i="91"/>
  <c r="C56" i="91"/>
  <c r="C65" i="91" s="1"/>
  <c r="Q70" i="91"/>
  <c r="C37" i="91"/>
  <c r="C30" i="91" s="1"/>
  <c r="C39" i="91" s="1"/>
  <c r="C75" i="82"/>
  <c r="Q70" i="82"/>
  <c r="C56" i="82"/>
  <c r="C65" i="82" s="1"/>
  <c r="C37" i="82"/>
  <c r="C30" i="82" s="1"/>
  <c r="C39" i="82" s="1"/>
  <c r="C61" i="82"/>
  <c r="C59" i="82" s="1"/>
  <c r="C64" i="82"/>
  <c r="C61" i="91"/>
  <c r="C59" i="91" s="1"/>
  <c r="C64" i="91"/>
  <c r="J16" i="15"/>
  <c r="J25" i="15" s="1"/>
  <c r="Q67" i="81"/>
  <c r="W11" i="86"/>
  <c r="AC11" i="86"/>
  <c r="O63" i="40"/>
  <c r="O65" i="40" s="1"/>
  <c r="N65" i="40"/>
  <c r="W11" i="21"/>
  <c r="AC11" i="21"/>
  <c r="V48" i="21" s="1"/>
  <c r="I48" i="21" s="1"/>
  <c r="S11" i="21"/>
  <c r="AA11" i="21"/>
  <c r="R48" i="21" s="1"/>
  <c r="AB11" i="86"/>
  <c r="U11" i="86"/>
  <c r="C80" i="15"/>
  <c r="C79" i="15" s="1"/>
  <c r="C58" i="15"/>
  <c r="C67" i="15" s="1"/>
  <c r="C68" i="15" s="1"/>
  <c r="O68" i="86"/>
  <c r="O70" i="86" s="1"/>
  <c r="N70" i="86"/>
  <c r="AB11" i="39"/>
  <c r="T47" i="39" s="1"/>
  <c r="G47" i="39" s="1"/>
  <c r="U11" i="39"/>
  <c r="S11" i="34"/>
  <c r="AA11" i="34"/>
  <c r="R49" i="34" s="1"/>
  <c r="AC11" i="34"/>
  <c r="V49" i="34" s="1"/>
  <c r="I49" i="34" s="1"/>
  <c r="W11" i="34"/>
  <c r="U11" i="21"/>
  <c r="AB11" i="21"/>
  <c r="T48" i="21" s="1"/>
  <c r="G48" i="21" s="1"/>
  <c r="AA11" i="86"/>
  <c r="S11" i="86"/>
  <c r="C40" i="15"/>
  <c r="Q69" i="15"/>
  <c r="Q68" i="15" s="1"/>
  <c r="AC11" i="39"/>
  <c r="V47" i="39" s="1"/>
  <c r="I47" i="39" s="1"/>
  <c r="W11" i="39"/>
  <c r="AA11" i="39"/>
  <c r="R47" i="39" s="1"/>
  <c r="S11" i="39"/>
  <c r="U11" i="34"/>
  <c r="AB11" i="34"/>
  <c r="T49" i="34" s="1"/>
  <c r="G49" i="34" s="1"/>
  <c r="L51" i="91"/>
  <c r="L51" i="82"/>
  <c r="L51" i="15"/>
  <c r="Q47" i="81" l="1"/>
  <c r="Q53" i="81" s="1"/>
  <c r="B2" i="81"/>
  <c r="Q65" i="81"/>
  <c r="Q75" i="81" s="1"/>
  <c r="C83" i="81"/>
  <c r="C82" i="81" s="1"/>
  <c r="Q56" i="81"/>
  <c r="Q62" i="81" s="1"/>
  <c r="C43" i="81"/>
  <c r="J16" i="82"/>
  <c r="J25" i="82" s="1"/>
  <c r="C58" i="82"/>
  <c r="C67" i="82" s="1"/>
  <c r="C68" i="82" s="1"/>
  <c r="C71" i="82" s="1"/>
  <c r="C80" i="82"/>
  <c r="C79" i="82" s="1"/>
  <c r="C80" i="91"/>
  <c r="C79" i="91" s="1"/>
  <c r="J16" i="91"/>
  <c r="J25" i="91" s="1"/>
  <c r="Q67" i="82"/>
  <c r="Q67" i="91"/>
  <c r="C58" i="91"/>
  <c r="C67" i="91" s="1"/>
  <c r="C68" i="91" s="1"/>
  <c r="C40" i="82"/>
  <c r="Q69" i="82"/>
  <c r="Q68" i="82" s="1"/>
  <c r="C40" i="91"/>
  <c r="Q69" i="91"/>
  <c r="Q68" i="91" s="1"/>
  <c r="Q67" i="15"/>
  <c r="D8" i="12"/>
  <c r="R48" i="39"/>
  <c r="E47" i="39"/>
  <c r="I52" i="39" s="1"/>
  <c r="J52" i="39" s="1"/>
  <c r="I51" i="39"/>
  <c r="J51" i="39" s="1"/>
  <c r="G53" i="21"/>
  <c r="H53" i="21" s="1"/>
  <c r="G52" i="21"/>
  <c r="H52" i="21" s="1"/>
  <c r="E49" i="34"/>
  <c r="I54" i="34" s="1"/>
  <c r="J54" i="34" s="1"/>
  <c r="R50" i="34"/>
  <c r="C71" i="15"/>
  <c r="C46" i="15"/>
  <c r="E48" i="21"/>
  <c r="I53" i="21" s="1"/>
  <c r="J53" i="21" s="1"/>
  <c r="R49" i="21"/>
  <c r="I52" i="21"/>
  <c r="J52" i="21" s="1"/>
  <c r="G54" i="34"/>
  <c r="H54" i="34" s="1"/>
  <c r="G53" i="34"/>
  <c r="H53" i="34" s="1"/>
  <c r="Q65" i="15"/>
  <c r="Q75" i="15" s="1"/>
  <c r="Q56" i="15"/>
  <c r="Q62" i="15" s="1"/>
  <c r="C43" i="15"/>
  <c r="Q47" i="15"/>
  <c r="Q53" i="15" s="1"/>
  <c r="B2" i="15"/>
  <c r="C83" i="15"/>
  <c r="C82" i="15" s="1"/>
  <c r="I53" i="34"/>
  <c r="J53" i="34" s="1"/>
  <c r="G52" i="39"/>
  <c r="H52" i="39" s="1"/>
  <c r="G51" i="39"/>
  <c r="H51" i="39" s="1"/>
  <c r="J7" i="86"/>
  <c r="F7" i="86"/>
  <c r="H7" i="86"/>
  <c r="F7" i="40"/>
  <c r="J7" i="40"/>
  <c r="H7" i="40"/>
  <c r="AO7" i="1"/>
  <c r="AO6" i="1"/>
  <c r="B7" i="70" l="1"/>
  <c r="B3" i="81"/>
  <c r="D6" i="12" s="1"/>
  <c r="C46" i="91"/>
  <c r="C71" i="91"/>
  <c r="Q47" i="91"/>
  <c r="Q53" i="91" s="1"/>
  <c r="C43" i="91"/>
  <c r="Q56" i="91"/>
  <c r="Q62" i="91" s="1"/>
  <c r="B2" i="91"/>
  <c r="Q65" i="91"/>
  <c r="Q75" i="91" s="1"/>
  <c r="C83" i="91"/>
  <c r="C82" i="91" s="1"/>
  <c r="Q56" i="82"/>
  <c r="Q62" i="82" s="1"/>
  <c r="C43" i="82"/>
  <c r="B2" i="82"/>
  <c r="Q65" i="82"/>
  <c r="Q75" i="82" s="1"/>
  <c r="Q47" i="82"/>
  <c r="Q53" i="82" s="1"/>
  <c r="C83" i="82"/>
  <c r="C82" i="82" s="1"/>
  <c r="C46" i="82"/>
  <c r="B6" i="70"/>
  <c r="U7" i="40"/>
  <c r="AB7" i="40"/>
  <c r="T42" i="40" s="1"/>
  <c r="G42" i="40" s="1"/>
  <c r="AA7" i="40"/>
  <c r="R42" i="40" s="1"/>
  <c r="S7" i="40"/>
  <c r="AA7" i="86"/>
  <c r="R47" i="86" s="1"/>
  <c r="S7" i="86"/>
  <c r="C49" i="21"/>
  <c r="C48" i="21"/>
  <c r="C50" i="34"/>
  <c r="C49" i="34"/>
  <c r="E51" i="39"/>
  <c r="F51" i="39" s="1"/>
  <c r="E52" i="39"/>
  <c r="F52" i="39" s="1"/>
  <c r="W7" i="40"/>
  <c r="AC7" i="40"/>
  <c r="V42" i="40" s="1"/>
  <c r="I42" i="40" s="1"/>
  <c r="AB7" i="86"/>
  <c r="T47" i="86" s="1"/>
  <c r="G47" i="86" s="1"/>
  <c r="U7" i="86"/>
  <c r="AC7" i="86"/>
  <c r="V47" i="86" s="1"/>
  <c r="I47" i="86" s="1"/>
  <c r="W7" i="86"/>
  <c r="C8" i="12"/>
  <c r="B3" i="15"/>
  <c r="C6" i="12" s="1"/>
  <c r="E53" i="21"/>
  <c r="F53" i="21" s="1"/>
  <c r="E52" i="21"/>
  <c r="F52" i="21" s="1"/>
  <c r="E54" i="34"/>
  <c r="F54" i="34" s="1"/>
  <c r="E53" i="34"/>
  <c r="F53" i="34" s="1"/>
  <c r="C48" i="39"/>
  <c r="C47" i="39"/>
  <c r="AO10" i="1"/>
  <c r="AO8" i="1"/>
  <c r="B8" i="70" l="1"/>
  <c r="B10" i="70"/>
  <c r="E8" i="12"/>
  <c r="B3" i="91"/>
  <c r="E6" i="12" s="1"/>
  <c r="G8" i="12"/>
  <c r="B3" i="82"/>
  <c r="G6" i="12" s="1"/>
  <c r="I46" i="40"/>
  <c r="J46" i="40" s="1"/>
  <c r="B60" i="39"/>
  <c r="F60" i="39" s="1"/>
  <c r="B57" i="39"/>
  <c r="F57" i="39" s="1"/>
  <c r="B59" i="39"/>
  <c r="F59" i="39" s="1"/>
  <c r="B61" i="39"/>
  <c r="F61" i="39" s="1"/>
  <c r="B63" i="39"/>
  <c r="F63" i="39" s="1"/>
  <c r="B65" i="39"/>
  <c r="F65" i="39" s="1"/>
  <c r="B56" i="39"/>
  <c r="F56" i="39" s="1"/>
  <c r="B58" i="39"/>
  <c r="F58" i="39" s="1"/>
  <c r="B62" i="39"/>
  <c r="F62" i="39" s="1"/>
  <c r="B64" i="39"/>
  <c r="F64" i="39" s="1"/>
  <c r="I51" i="86"/>
  <c r="J51" i="86" s="1"/>
  <c r="G51" i="86"/>
  <c r="H51" i="86" s="1"/>
  <c r="G52" i="86"/>
  <c r="H52" i="86" s="1"/>
  <c r="B3" i="34"/>
  <c r="B2" i="34"/>
  <c r="B3" i="21"/>
  <c r="F6" i="12" s="1"/>
  <c r="B2" i="21"/>
  <c r="F8" i="12" s="1"/>
  <c r="E47" i="86"/>
  <c r="R48" i="86"/>
  <c r="R43" i="40"/>
  <c r="E42" i="40"/>
  <c r="G47" i="40"/>
  <c r="H47" i="40" s="1"/>
  <c r="G46" i="40"/>
  <c r="H46" i="40" s="1"/>
  <c r="F66" i="39" l="1"/>
  <c r="B2" i="39" s="1"/>
  <c r="B3" i="39" s="1"/>
  <c r="B2" i="70"/>
  <c r="B3" i="70" s="1"/>
  <c r="C4" i="12"/>
  <c r="C23" i="12" s="1"/>
  <c r="C43" i="40"/>
  <c r="C42" i="40"/>
  <c r="E52" i="86"/>
  <c r="F52" i="86" s="1"/>
  <c r="E51" i="86"/>
  <c r="F51" i="86" s="1"/>
  <c r="E46" i="40"/>
  <c r="F46" i="40" s="1"/>
  <c r="E47" i="40"/>
  <c r="F47" i="40" s="1"/>
  <c r="C48" i="86"/>
  <c r="C47" i="86"/>
  <c r="I52" i="86"/>
  <c r="J52" i="86" s="1"/>
  <c r="I47" i="40"/>
  <c r="J47" i="40" s="1"/>
  <c r="C31" i="12" l="1"/>
  <c r="C27" i="12"/>
  <c r="C25" i="12" s="1"/>
  <c r="C30" i="12"/>
  <c r="C28" i="12" s="1"/>
  <c r="B59" i="86"/>
  <c r="F59" i="86" s="1"/>
  <c r="B61" i="86"/>
  <c r="F61" i="86" s="1"/>
  <c r="B63" i="86"/>
  <c r="F63" i="86" s="1"/>
  <c r="B65" i="86"/>
  <c r="F65" i="86" s="1"/>
  <c r="B58" i="86"/>
  <c r="B56" i="86"/>
  <c r="F56" i="86" s="1"/>
  <c r="B64" i="86"/>
  <c r="F64" i="86" s="1"/>
  <c r="B57" i="86"/>
  <c r="B60" i="86"/>
  <c r="F60" i="86" s="1"/>
  <c r="B62" i="86"/>
  <c r="F62" i="86" s="1"/>
  <c r="B60" i="40"/>
  <c r="F60" i="40" s="1"/>
  <c r="B52" i="40"/>
  <c r="F52" i="40" s="1"/>
  <c r="B59" i="40"/>
  <c r="F59" i="40" s="1"/>
  <c r="B57" i="40"/>
  <c r="F57" i="40" s="1"/>
  <c r="B51" i="40"/>
  <c r="F51" i="40" s="1"/>
  <c r="B55" i="40"/>
  <c r="F55" i="40" s="1"/>
  <c r="B54" i="40"/>
  <c r="F54" i="40" s="1"/>
  <c r="B56" i="40"/>
  <c r="F56" i="40" s="1"/>
  <c r="B58" i="40"/>
  <c r="F58" i="40" s="1"/>
  <c r="B53" i="40"/>
  <c r="F53" i="40" s="1"/>
  <c r="F61" i="40"/>
  <c r="B2" i="40" s="1"/>
  <c r="B3" i="40" s="1"/>
  <c r="C32" i="12" l="1"/>
  <c r="B2" i="12" s="1"/>
  <c r="B3" i="12" s="1"/>
  <c r="C41" i="9"/>
  <c r="E41" i="9" s="1"/>
  <c r="F58" i="86"/>
  <c r="C40" i="9"/>
  <c r="E40" i="9" s="1"/>
  <c r="C38" i="9" s="1"/>
  <c r="F57" i="86"/>
  <c r="C6" i="68" s="1"/>
  <c r="D20" i="9"/>
  <c r="D19" i="9"/>
  <c r="H106" i="9" l="1"/>
  <c r="F66" i="86"/>
  <c r="B2" i="86" s="1"/>
  <c r="B3" i="86" s="1"/>
  <c r="D21" i="9"/>
  <c r="D102" i="9"/>
  <c r="D103" i="9"/>
  <c r="C7" i="68"/>
  <c r="C5" i="68" s="1"/>
  <c r="H103" i="9" l="1"/>
  <c r="D120" i="9" s="1"/>
  <c r="D12" i="53"/>
  <c r="B28" i="72" s="1"/>
  <c r="C23" i="68"/>
  <c r="C20" i="68"/>
  <c r="C25" i="68" s="1"/>
  <c r="D8" i="53"/>
  <c r="C28" i="68" l="1"/>
  <c r="C27" i="68" s="1"/>
  <c r="B24" i="72"/>
  <c r="D9" i="53"/>
  <c r="B25" i="72" s="1"/>
  <c r="D121" i="9"/>
  <c r="D7" i="52" s="1"/>
  <c r="K120" i="9"/>
  <c r="A18" i="62" s="1"/>
  <c r="B64" i="72" s="1"/>
  <c r="D6" i="52"/>
  <c r="C22" i="68"/>
  <c r="C31" i="68" l="1"/>
  <c r="C52" i="68" s="1"/>
  <c r="B2" i="68" s="1"/>
  <c r="C19" i="9"/>
  <c r="C57" i="68" l="1"/>
  <c r="C56" i="68" s="1"/>
  <c r="G19" i="9"/>
  <c r="D22" i="9"/>
  <c r="C21" i="9"/>
  <c r="C102" i="9"/>
  <c r="B3" i="68"/>
  <c r="D35" i="9"/>
  <c r="C20" i="9"/>
  <c r="D34" i="9"/>
  <c r="C103" i="9" l="1"/>
  <c r="G20" i="9"/>
  <c r="G21" i="9"/>
  <c r="C32" i="9"/>
  <c r="C35" i="9" l="1"/>
  <c r="F118" i="9" s="1"/>
  <c r="H118" i="9"/>
  <c r="F4" i="52" l="1"/>
  <c r="B51" i="72" s="1"/>
  <c r="G118" i="9"/>
  <c r="G4" i="52" s="1"/>
  <c r="B52" i="72" s="1"/>
  <c r="F119" i="9"/>
  <c r="F5" i="52" s="1"/>
  <c r="B53" i="72" s="1"/>
  <c r="D14" i="74"/>
  <c r="H101" i="9"/>
  <c r="H4" i="52"/>
  <c r="H119" i="9"/>
  <c r="H5" i="52" s="1"/>
  <c r="I118" i="9"/>
  <c r="C104" i="9"/>
  <c r="C34" i="9"/>
  <c r="D118" i="9" s="1"/>
  <c r="D45" i="9" l="1"/>
  <c r="D5" i="53"/>
  <c r="M48" i="9"/>
  <c r="M49" i="9" s="1"/>
  <c r="H109" i="9"/>
  <c r="D4" i="52"/>
  <c r="B47" i="72" s="1"/>
  <c r="D119" i="9"/>
  <c r="D5" i="52" s="1"/>
  <c r="B49" i="72" s="1"/>
  <c r="E118" i="9"/>
  <c r="E4" i="52" s="1"/>
  <c r="B48" i="72" s="1"/>
  <c r="C105" i="9"/>
  <c r="H102" i="9"/>
  <c r="D7" i="53" s="1"/>
  <c r="B21" i="72" s="1"/>
  <c r="I4" i="52"/>
  <c r="F14" i="74"/>
  <c r="E14" i="74"/>
  <c r="B5" i="74"/>
  <c r="D124" i="9" l="1"/>
  <c r="H110" i="9"/>
  <c r="D18" i="53" s="1"/>
  <c r="B35" i="72" s="1"/>
  <c r="D16" i="53"/>
  <c r="D6" i="53"/>
  <c r="B22" i="72" s="1"/>
  <c r="B20" i="72"/>
  <c r="C5" i="74"/>
  <c r="D5" i="74"/>
  <c r="L65" i="9"/>
  <c r="M65" i="9" s="1"/>
  <c r="L64" i="9"/>
  <c r="M64" i="9" s="1"/>
  <c r="L68" i="9"/>
  <c r="M68" i="9" s="1"/>
  <c r="L63" i="9"/>
  <c r="M63" i="9" s="1"/>
  <c r="L67" i="9"/>
  <c r="M67" i="9" s="1"/>
  <c r="L66" i="9"/>
  <c r="M66" i="9" s="1"/>
  <c r="C85" i="9"/>
  <c r="C72" i="9"/>
  <c r="C93" i="9"/>
  <c r="C86" i="9" s="1"/>
  <c r="D52" i="9"/>
  <c r="C64" i="9"/>
  <c r="C63" i="9" s="1"/>
  <c r="C67" i="9" s="1"/>
  <c r="C68" i="9" s="1"/>
  <c r="D54" i="9" s="1"/>
  <c r="C78" i="9"/>
  <c r="C73" i="9" s="1"/>
  <c r="D53" i="9"/>
  <c r="D48" i="9" s="1"/>
  <c r="M52" i="9" s="1"/>
  <c r="D55" i="9"/>
  <c r="M53" i="9" s="1"/>
  <c r="C79" i="9" l="1"/>
  <c r="M69" i="9"/>
  <c r="N69" i="9" s="1"/>
  <c r="C95" i="9"/>
  <c r="B34" i="72"/>
  <c r="D17" i="53"/>
  <c r="B36" i="72" s="1"/>
  <c r="H14" i="74"/>
  <c r="B7" i="74" s="1"/>
  <c r="D125" i="9"/>
  <c r="D11" i="52" s="1"/>
  <c r="D10" i="52"/>
  <c r="C96" i="9" l="1"/>
  <c r="E96" i="9" s="1"/>
  <c r="E97" i="9" s="1"/>
  <c r="D7" i="74"/>
  <c r="C7" i="74"/>
  <c r="C80" i="9"/>
  <c r="E80" i="9" s="1"/>
  <c r="E81" i="9" s="1"/>
  <c r="C97" i="9" l="1"/>
  <c r="D58" i="9" s="1"/>
  <c r="D56" i="9" s="1"/>
  <c r="M54" i="9" s="1"/>
  <c r="N57" i="9" s="1"/>
  <c r="N58" i="9" s="1"/>
  <c r="C81" i="9"/>
  <c r="P57"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<sst xmlns="http://schemas.openxmlformats.org/spreadsheetml/2006/main" count="13102" uniqueCount="4497">
  <si>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</si>
  <si>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</si>
  <si>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</si>
  <si>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</si>
  <si>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</si>
  <si>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</si>
  <si>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</si>
  <si>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</si>
  <si>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</si>
  <si>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</si>
  <si>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</si>
  <si>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</si>
  <si>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</si>
  <si>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</si>
  <si>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</si>
  <si>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</si>
  <si>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</si>
  <si>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</si>
  <si>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</si>
  <si>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</si>
  <si>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</si>
  <si>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</si>
  <si>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</si>
  <si>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</si>
  <si>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</si>
  <si>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</si>
  <si>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</si>
  <si>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</si>
  <si>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</si>
  <si>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</si>
  <si>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</si>
  <si>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</si>
  <si>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</si>
  <si>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</si>
  <si>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</si>
  <si>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</si>
  <si>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</si>
  <si>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</si>
  <si>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</si>
  <si>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</si>
  <si>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</si>
  <si>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</si>
  <si>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</si>
  <si>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</si>
  <si>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</si>
  <si>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</si>
  <si>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</si>
  <si>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</si>
  <si>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</si>
  <si>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</si>
  <si>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</si>
  <si>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</si>
  <si>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</si>
  <si>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</si>
  <si>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</si>
  <si>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</si>
  <si>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</si>
  <si>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</si>
  <si>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</si>
  <si>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</si>
  <si>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</si>
  <si>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</si>
  <si>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</si>
  <si>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</si>
  <si>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</si>
  <si>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</si>
  <si>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</si>
  <si>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</si>
  <si>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</si>
  <si>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</si>
  <si>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</si>
  <si>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</si>
  <si>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</si>
  <si>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</si>
  <si>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</si>
  <si>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</si>
  <si>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</si>
  <si>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</si>
  <si>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</si>
  <si>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</si>
  <si>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</si>
  <si>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</si>
  <si>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</si>
  <si>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</si>
  <si>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</si>
  <si>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</si>
  <si>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</si>
  <si>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</si>
  <si>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</si>
  <si>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</si>
  <si>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</si>
  <si>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</si>
  <si>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</si>
  <si>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</si>
  <si>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</si>
  <si>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</si>
  <si>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</si>
  <si>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</si>
  <si>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</si>
  <si>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</si>
  <si>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</si>
  <si>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</si>
  <si>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</si>
  <si>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</si>
  <si>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</si>
  <si>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</si>
  <si>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</si>
  <si>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</si>
  <si>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</si>
  <si>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</si>
  <si>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</si>
  <si>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</si>
  <si>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</si>
  <si>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</si>
  <si>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</si>
  <si>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</si>
  <si>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</si>
  <si>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</si>
  <si>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</si>
  <si>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</si>
  <si>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</si>
  <si>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</si>
  <si>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</si>
  <si>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</si>
  <si>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</si>
  <si>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</si>
  <si>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</si>
  <si>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</si>
  <si>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</si>
  <si>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</si>
  <si>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</si>
  <si>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</si>
  <si>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</si>
  <si>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</si>
  <si>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</si>
  <si>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</si>
  <si>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</si>
  <si>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</si>
  <si>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</si>
  <si>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</si>
  <si>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</si>
  <si>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</si>
  <si>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</si>
  <si>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</si>
  <si>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</si>
  <si>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</si>
  <si>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</si>
  <si>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</si>
  <si>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</si>
  <si>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</si>
  <si>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</si>
  <si>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</si>
  <si>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</si>
  <si>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</si>
  <si>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</si>
  <si>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</si>
  <si>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</si>
  <si>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</si>
  <si>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</si>
  <si>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</si>
  <si>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</si>
  <si>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</si>
  <si>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</si>
  <si>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</si>
  <si>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</si>
  <si>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</si>
  <si>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</si>
  <si>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</si>
  <si>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</si>
  <si>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</si>
  <si>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</si>
  <si>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</si>
  <si>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</si>
  <si>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</si>
  <si>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</si>
  <si>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</si>
  <si>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</si>
  <si>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</si>
  <si>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</si>
  <si>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</si>
  <si>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</si>
  <si>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</si>
  <si>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</si>
  <si>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</si>
  <si>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</si>
  <si>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</si>
  <si>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</si>
  <si>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</si>
  <si>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</si>
  <si>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</si>
  <si>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</si>
  <si>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</si>
  <si>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</si>
  <si>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</si>
  <si>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</si>
  <si>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</si>
  <si>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</si>
  <si>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</si>
  <si>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</si>
  <si>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</si>
  <si>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</si>
  <si>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</si>
  <si>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</si>
  <si>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</si>
  <si>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</si>
  <si>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</si>
  <si>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</si>
  <si>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</si>
  <si>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</si>
  <si>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</si>
  <si>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</si>
  <si>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</si>
  <si>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</si>
  <si>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</si>
  <si>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</si>
  <si>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</si>
  <si>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</si>
  <si>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</si>
  <si>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</si>
  <si>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</si>
  <si>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</si>
  <si>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</si>
  <si>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</si>
  <si>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</si>
  <si>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</si>
  <si>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</si>
  <si>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</si>
  <si>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</si>
  <si>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</si>
  <si>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</si>
  <si>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</si>
  <si>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</si>
  <si>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</si>
  <si>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</si>
  <si>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</si>
  <si>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</si>
  <si>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</si>
  <si>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</si>
  <si>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</si>
  <si>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</si>
  <si>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</si>
  <si>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</si>
  <si>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</si>
  <si>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</si>
  <si>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</si>
  <si>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</si>
  <si>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</si>
  <si>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</si>
  <si>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</si>
  <si>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</si>
  <si>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</si>
  <si>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</si>
  <si>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</si>
  <si>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</si>
  <si>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</si>
  <si>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</si>
  <si>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</si>
  <si>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</si>
  <si>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</si>
  <si>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</si>
  <si>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</si>
  <si>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</si>
  <si>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</si>
  <si>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</si>
  <si>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</si>
  <si>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</si>
  <si>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</si>
  <si>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</si>
  <si>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</si>
  <si>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</si>
  <si>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</si>
  <si>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</si>
  <si>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</si>
  <si>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</si>
  <si>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</si>
  <si>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</si>
  <si>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</si>
  <si>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</si>
  <si>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</si>
  <si>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</si>
  <si>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</si>
  <si>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</si>
  <si>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</si>
  <si>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</si>
  <si>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</si>
  <si>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</si>
  <si>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</si>
  <si>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</si>
  <si>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</si>
  <si>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</si>
  <si>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</si>
  <si>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</si>
  <si>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</si>
  <si>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</si>
  <si>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</si>
  <si>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</si>
  <si>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</si>
  <si>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</si>
  <si>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</si>
  <si>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</si>
  <si>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</si>
  <si>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</si>
  <si>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</si>
  <si>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</si>
  <si>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</si>
  <si>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</si>
  <si>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</si>
  <si>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</si>
  <si>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</si>
  <si>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</si>
  <si>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</si>
  <si>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</si>
  <si>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</si>
  <si>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</si>
  <si>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</si>
  <si>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</si>
  <si>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</si>
  <si>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</si>
  <si>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</si>
  <si>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</si>
  <si>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</si>
  <si>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</si>
  <si>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</si>
  <si>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</si>
  <si>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</si>
  <si>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</si>
  <si>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</si>
  <si>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</si>
  <si>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</si>
  <si>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</si>
  <si>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</si>
  <si>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</si>
  <si>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</si>
  <si>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</si>
  <si>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</si>
  <si>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</si>
  <si>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</si>
  <si>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</si>
  <si>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</si>
  <si>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</si>
  <si>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</si>
  <si>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</si>
  <si>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</si>
  <si>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</si>
  <si>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</si>
  <si>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</si>
  <si>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</si>
  <si>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</si>
  <si>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</si>
  <si>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</si>
  <si>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</si>
  <si>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</si>
  <si>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</si>
  <si>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</si>
  <si>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</si>
  <si>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</si>
  <si>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</si>
  <si>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</si>
  <si>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</si>
  <si>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</si>
  <si>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</si>
  <si>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</si>
  <si>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</si>
  <si>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</si>
  <si>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</si>
  <si>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</si>
  <si>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</si>
  <si>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</si>
  <si>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</si>
  <si>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</si>
  <si>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</si>
  <si>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</si>
  <si>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</si>
  <si>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</si>
  <si>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</si>
  <si>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</si>
  <si>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</si>
  <si>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</si>
  <si>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</si>
  <si>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</si>
  <si>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</si>
  <si>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</si>
  <si>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</si>
  <si>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</si>
  <si>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</si>
  <si>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</si>
  <si>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</si>
  <si>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</si>
  <si>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</si>
  <si>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</si>
  <si>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</si>
  <si>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</si>
  <si>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</si>
  <si>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</si>
  <si>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</si>
  <si>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</si>
  <si>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</si>
  <si>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</si>
  <si>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</si>
  <si>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</si>
  <si>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</si>
  <si>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</si>
  <si>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</si>
  <si>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</si>
  <si>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</si>
  <si>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</si>
  <si>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</si>
  <si>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</si>
  <si>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</si>
  <si>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</si>
  <si>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</si>
  <si>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</si>
  <si>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</si>
  <si>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</si>
  <si>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</si>
  <si>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</si>
  <si>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</si>
  <si>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</si>
  <si>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</si>
  <si>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</si>
  <si>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</si>
  <si>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</si>
  <si>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</si>
  <si>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</si>
  <si>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</si>
  <si>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</si>
  <si>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</si>
  <si>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</si>
  <si>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</si>
  <si>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</si>
  <si>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</si>
  <si>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</si>
  <si>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</si>
  <si>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</si>
  <si>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</si>
  <si>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</si>
  <si>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</si>
  <si>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</si>
  <si>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</si>
  <si>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</si>
  <si>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</si>
  <si>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</si>
  <si>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</si>
  <si>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</si>
  <si>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</si>
  <si>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</si>
  <si>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</si>
  <si>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</si>
  <si>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</si>
  <si>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</si>
  <si>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</si>
  <si>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</si>
  <si>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</si>
  <si>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</si>
  <si>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</si>
  <si>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</si>
  <si>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</si>
  <si>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</si>
  <si>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</si>
  <si>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</si>
  <si>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</si>
  <si>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</si>
  <si>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</si>
  <si>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</si>
  <si>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</si>
  <si>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</si>
  <si>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</si>
  <si>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</si>
  <si>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</si>
  <si>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</si>
  <si>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</si>
  <si>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</si>
  <si>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</si>
  <si>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</si>
  <si>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</si>
  <si>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</si>
  <si>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</si>
  <si>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</si>
  <si>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</si>
  <si>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</si>
  <si>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</si>
  <si>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</si>
  <si>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</si>
  <si>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</si>
  <si>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</si>
  <si>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</si>
  <si>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</si>
  <si>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</si>
  <si>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</si>
  <si>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</si>
  <si>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</si>
  <si>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</si>
  <si>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</si>
  <si>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</si>
  <si>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</si>
  <si>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</si>
  <si>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</si>
  <si>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</si>
  <si>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</si>
  <si>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</si>
  <si>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</si>
  <si>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</si>
  <si>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</si>
  <si>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</si>
  <si>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</si>
  <si>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</si>
  <si>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</si>
  <si>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</si>
  <si>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</si>
  <si>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</si>
  <si>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</si>
  <si>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</si>
  <si>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</si>
  <si>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</si>
  <si>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</si>
  <si>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</si>
  <si>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</si>
  <si>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</si>
  <si>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</si>
  <si>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</si>
  <si>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</si>
  <si>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</si>
  <si>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</si>
  <si>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</si>
  <si>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</si>
  <si>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</si>
  <si>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</si>
  <si>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</si>
  <si>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</si>
  <si>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</si>
  <si>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</si>
  <si>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</si>
  <si>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</si>
  <si>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</si>
  <si>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</si>
  <si>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</si>
  <si>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</si>
  <si>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</si>
  <si>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</si>
  <si>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</si>
  <si>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</si>
  <si>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</si>
  <si>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</si>
  <si>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</si>
  <si>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</si>
  <si>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</si>
  <si>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</si>
  <si>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</si>
  <si>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</si>
  <si>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</si>
  <si>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</si>
  <si>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</si>
  <si>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</si>
  <si>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</si>
  <si>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</si>
  <si>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</si>
  <si>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</si>
  <si>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</si>
  <si>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</si>
  <si>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</si>
  <si>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</si>
  <si>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</si>
  <si>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</si>
  <si>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</si>
  <si>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</si>
  <si>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</si>
  <si>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</si>
  <si>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</si>
  <si>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</si>
  <si>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</si>
  <si>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</si>
  <si>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</si>
  <si>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</si>
  <si>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</si>
  <si>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</si>
  <si>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</si>
  <si>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</si>
  <si>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</si>
  <si>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</si>
  <si>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</si>
  <si>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</si>
  <si>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</si>
  <si>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</si>
  <si>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</si>
  <si>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</si>
  <si>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</si>
  <si>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</si>
  <si>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</si>
  <si>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</si>
  <si>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</si>
  <si>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</si>
  <si>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</si>
  <si>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</si>
  <si>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</si>
  <si>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</si>
  <si>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</si>
  <si>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</si>
  <si>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</si>
  <si>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</si>
  <si>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</si>
  <si>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</si>
  <si>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</si>
  <si>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</si>
  <si>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</si>
  <si>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</si>
  <si>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</si>
  <si>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</si>
  <si>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</si>
  <si>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</si>
  <si>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</si>
  <si>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</si>
  <si>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</si>
  <si>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</si>
  <si>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</si>
  <si>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</si>
  <si>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</si>
  <si>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</si>
  <si>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</si>
  <si>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</si>
  <si>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</si>
  <si>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</si>
  <si>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</si>
  <si>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</si>
  <si>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</si>
  <si>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</si>
  <si>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</si>
  <si>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</si>
  <si>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</si>
  <si>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</si>
  <si>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</si>
  <si>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</si>
  <si>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</si>
  <si>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</si>
  <si>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</si>
  <si>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</si>
  <si>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</si>
  <si>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</si>
  <si>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</si>
  <si>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</si>
  <si>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</si>
  <si>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</si>
  <si>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</si>
  <si>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</si>
  <si>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</si>
  <si>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</si>
  <si>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</si>
  <si>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</si>
  <si>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</si>
  <si>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</si>
  <si>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</si>
  <si>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</si>
  <si>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</si>
  <si>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</si>
  <si>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</si>
  <si>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</si>
  <si>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</si>
  <si>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</si>
  <si>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</si>
  <si>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</si>
  <si>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</si>
  <si>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</si>
  <si>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</si>
  <si>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</si>
  <si>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</si>
  <si>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</si>
  <si>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</si>
  <si>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</si>
  <si>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</si>
  <si>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</si>
  <si>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</si>
  <si>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</si>
  <si>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</si>
  <si>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</si>
  <si>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</si>
  <si>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</si>
  <si>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</si>
  <si>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</si>
  <si>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</si>
  <si>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</si>
  <si>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</si>
  <si>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</si>
  <si>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</si>
  <si>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</si>
  <si>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</si>
  <si>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</si>
  <si>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</si>
  <si>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</si>
  <si>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</si>
  <si>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</si>
  <si>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</si>
  <si>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</si>
  <si>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</si>
  <si>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</si>
  <si>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</si>
  <si>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</si>
  <si>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</si>
  <si>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</si>
  <si>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</si>
  <si>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</si>
  <si>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</si>
  <si>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</si>
  <si>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</si>
  <si>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</si>
  <si>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</si>
  <si>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</si>
  <si>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</si>
  <si>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</si>
  <si>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</si>
  <si>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</si>
  <si>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</si>
  <si>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</si>
  <si>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</si>
  <si>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</si>
  <si>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</si>
  <si>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</si>
  <si>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</si>
  <si>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</si>
  <si>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</si>
  <si>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</si>
  <si>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</si>
  <si>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</si>
  <si>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</si>
  <si>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</si>
  <si>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</si>
  <si>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</si>
  <si>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</si>
  <si>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</si>
  <si>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</si>
  <si>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</si>
  <si>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</si>
  <si>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</si>
  <si>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</si>
  <si>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</si>
  <si>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</si>
  <si>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</si>
  <si>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</si>
  <si>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</si>
  <si>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</si>
  <si>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</si>
  <si>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</si>
  <si>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</si>
  <si>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</si>
  <si>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</si>
  <si>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</si>
  <si>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</si>
  <si>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</si>
  <si>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</si>
  <si>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</si>
  <si>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</si>
  <si>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</si>
  <si>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</si>
  <si>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</si>
  <si>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</si>
  <si>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</si>
  <si>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</si>
  <si>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</si>
  <si>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</si>
  <si>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</si>
  <si>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</si>
  <si>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</si>
  <si>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</si>
  <si>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</si>
  <si>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</si>
  <si>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</si>
  <si>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</si>
  <si>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</si>
  <si>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</si>
  <si>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</si>
  <si>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</si>
  <si>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</si>
  <si>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</si>
  <si>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</si>
  <si>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</si>
  <si>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</si>
  <si>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</si>
  <si>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</si>
  <si>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</si>
  <si>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</si>
  <si>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</si>
  <si>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</si>
  <si>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</si>
  <si>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</si>
  <si>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</si>
  <si>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</si>
  <si>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</si>
  <si>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</si>
  <si>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</si>
  <si>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</si>
  <si>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</si>
  <si>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</si>
  <si>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</si>
  <si>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</si>
  <si>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</si>
  <si>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</si>
  <si>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</si>
  <si>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</si>
  <si>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</si>
  <si>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</si>
  <si>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</si>
  <si>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</si>
  <si>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</si>
  <si>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</si>
  <si>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</si>
  <si>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</si>
  <si>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</si>
  <si>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</si>
  <si>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</si>
  <si>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</si>
  <si>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</si>
  <si>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</si>
  <si>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</si>
  <si>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</si>
  <si>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</si>
  <si>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</si>
  <si>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</si>
  <si>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</si>
  <si>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</si>
  <si>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</si>
  <si>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</si>
  <si>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</si>
  <si>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</si>
  <si>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</si>
  <si>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</si>
  <si>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</si>
  <si>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</si>
  <si>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</si>
  <si>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</si>
  <si>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</si>
  <si>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</si>
  <si>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</si>
  <si>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</si>
  <si>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</si>
  <si>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</si>
  <si>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</si>
  <si>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</si>
  <si>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</si>
  <si>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</si>
  <si>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</si>
  <si>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</si>
  <si>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</si>
  <si>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</si>
  <si>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</si>
  <si>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</si>
  <si>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</si>
  <si>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</si>
  <si>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</si>
  <si>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</si>
  <si>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</si>
  <si>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</si>
  <si>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</si>
  <si>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</si>
  <si>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</si>
  <si>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</si>
  <si>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</si>
  <si>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</si>
  <si>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</si>
  <si>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</si>
  <si>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</si>
  <si>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</si>
  <si>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</si>
  <si>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</si>
  <si>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</si>
  <si>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</si>
  <si>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</si>
  <si>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</si>
  <si>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</si>
  <si>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</si>
  <si>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</si>
  <si>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</si>
  <si>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</si>
  <si>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</si>
  <si>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</si>
  <si>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</si>
  <si>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</si>
  <si>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</si>
  <si>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</si>
  <si>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</si>
  <si>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</si>
  <si>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</si>
  <si>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</si>
  <si>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</si>
  <si>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</si>
  <si>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</si>
  <si>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</si>
  <si>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</si>
  <si>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</si>
  <si>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</si>
  <si>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</si>
  <si>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</si>
  <si>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</si>
  <si>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</si>
  <si>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</si>
  <si>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</si>
  <si>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</si>
  <si>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</si>
  <si>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</si>
  <si>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</si>
  <si>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</si>
  <si>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</si>
  <si>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</si>
  <si>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</si>
  <si>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</si>
  <si>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</si>
  <si>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</si>
  <si>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</si>
  <si>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</si>
  <si>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</si>
  <si>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</si>
  <si>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</si>
  <si>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</si>
  <si>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</si>
  <si>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</si>
  <si>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</si>
  <si>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</si>
  <si>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</si>
  <si>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</si>
  <si>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</si>
  <si>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</si>
  <si>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</si>
  <si>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</si>
  <si>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</si>
  <si>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</si>
  <si>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</si>
  <si>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</si>
  <si>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</si>
  <si>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</si>
  <si>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</si>
  <si>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</si>
  <si>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</si>
  <si>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</si>
  <si>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</si>
  <si>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</si>
  <si>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</si>
  <si>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</si>
  <si>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</si>
  <si>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</si>
  <si>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</si>
  <si>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</si>
  <si>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</si>
  <si>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</si>
  <si>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</si>
  <si>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</si>
  <si>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</si>
  <si>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</si>
  <si>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</si>
  <si>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</si>
  <si>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</si>
  <si>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</si>
  <si>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</si>
  <si>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</si>
  <si>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</si>
  <si>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</si>
  <si>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</si>
  <si>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</si>
  <si>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</si>
  <si>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</si>
  <si>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</si>
  <si>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</si>
  <si>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</si>
  <si>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</si>
  <si>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</si>
  <si>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</si>
  <si>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</si>
  <si>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</si>
  <si>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</si>
  <si>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</si>
  <si>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</si>
  <si>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</si>
  <si>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</si>
  <si>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</si>
  <si>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</si>
  <si>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</si>
  <si>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</si>
  <si>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</si>
  <si>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</si>
  <si>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</si>
  <si>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</si>
  <si>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</si>
  <si>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</si>
  <si>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</si>
  <si>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</si>
  <si>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</si>
  <si>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</si>
  <si>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</si>
  <si>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</si>
  <si>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</si>
  <si>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</si>
  <si>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</si>
  <si>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</si>
  <si>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</si>
  <si>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</si>
  <si>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</si>
  <si>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</si>
  <si>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</si>
  <si>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</si>
  <si>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</si>
  <si>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</si>
  <si>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</si>
  <si>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</si>
  <si>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</si>
  <si>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</si>
  <si>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</si>
  <si>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</si>
  <si>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</si>
  <si>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</si>
  <si>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</si>
  <si>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</si>
  <si>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</si>
  <si>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</si>
  <si>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</si>
  <si>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</si>
  <si>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</si>
  <si>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</si>
  <si>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</si>
  <si>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</si>
  <si>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</si>
  <si>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</si>
  <si>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</si>
  <si>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</si>
  <si>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</si>
  <si>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</si>
  <si>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</si>
  <si>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</si>
  <si>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</si>
  <si>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</si>
  <si>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</si>
  <si>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</si>
  <si>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</si>
  <si>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</si>
  <si>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</si>
  <si>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</si>
  <si>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</si>
  <si>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</si>
  <si>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</si>
  <si>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</si>
  <si>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</si>
  <si>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</si>
  <si>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</si>
  <si>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</si>
  <si>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</si>
  <si>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</si>
  <si>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</si>
  <si>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</si>
  <si>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</si>
  <si>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</si>
  <si>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</si>
  <si>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</si>
  <si>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</si>
  <si>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</si>
  <si>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</si>
  <si>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</si>
  <si>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</si>
  <si>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</si>
  <si>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</si>
  <si>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</si>
  <si>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</si>
  <si>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</si>
  <si>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</si>
  <si>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</si>
  <si>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</si>
  <si>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</si>
  <si>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</si>
  <si>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</si>
  <si>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</si>
  <si>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</si>
  <si>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</si>
  <si>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</si>
  <si>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</si>
  <si>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</si>
  <si>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</si>
  <si>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</si>
  <si>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</si>
  <si>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</si>
  <si>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</si>
  <si>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</si>
  <si>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</si>
  <si>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</si>
  <si>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</si>
  <si>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</si>
  <si>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</si>
  <si>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</si>
  <si>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</si>
  <si>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</si>
  <si>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</si>
  <si>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</si>
  <si>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</si>
  <si>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</si>
  <si>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</si>
  <si>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</si>
  <si>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</si>
  <si>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</si>
  <si>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</si>
  <si>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</si>
  <si>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</si>
  <si>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</si>
  <si>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</si>
  <si>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</si>
  <si>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</si>
  <si>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</si>
  <si>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</si>
  <si>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</si>
  <si>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</si>
  <si>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</si>
  <si>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</si>
  <si>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</si>
  <si>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</si>
  <si>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</si>
  <si>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</si>
  <si>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</si>
  <si>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</si>
  <si>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</si>
  <si>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</si>
  <si>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</si>
  <si>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</si>
  <si>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</si>
  <si>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</si>
  <si>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</si>
  <si>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</si>
  <si>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</si>
  <si>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</si>
  <si>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</si>
  <si>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</si>
  <si>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</si>
  <si>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</si>
  <si>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</si>
  <si>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</si>
  <si>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</si>
  <si>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</si>
  <si>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</si>
  <si>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</si>
  <si>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</si>
  <si>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</si>
  <si>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</si>
  <si>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</si>
  <si>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</si>
  <si>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</si>
  <si>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</si>
  <si>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</si>
  <si>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</si>
  <si>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</si>
  <si>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</si>
  <si>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</si>
  <si>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</si>
  <si>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</si>
  <si>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</si>
  <si>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</si>
  <si>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</si>
  <si>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</si>
  <si>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</si>
  <si>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</si>
  <si>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</si>
  <si>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</si>
  <si>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</si>
  <si>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</si>
  <si>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</si>
  <si>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</si>
  <si>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</si>
  <si>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</si>
  <si>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</si>
  <si>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</si>
  <si>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</si>
  <si>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</si>
  <si>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</si>
  <si>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</si>
  <si>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</si>
  <si>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</si>
  <si>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</si>
  <si>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</si>
  <si>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</si>
  <si>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</si>
  <si>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</si>
  <si>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</si>
  <si>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</si>
  <si>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</si>
  <si>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</si>
  <si>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</si>
  <si>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</si>
  <si>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</si>
  <si>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</si>
  <si>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</si>
  <si>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</si>
  <si>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</si>
  <si>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</si>
  <si>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</si>
  <si>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</si>
  <si>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</si>
  <si>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</si>
  <si>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</si>
  <si>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</si>
  <si>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</si>
  <si>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</si>
  <si>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</si>
  <si>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</si>
  <si>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</si>
  <si>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</si>
  <si>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</si>
  <si>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</si>
  <si>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</si>
  <si>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</si>
  <si>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</si>
  <si>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</si>
  <si>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</si>
  <si>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</si>
  <si>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</si>
  <si>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</si>
  <si>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</si>
  <si>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</si>
  <si>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</si>
  <si>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</si>
  <si>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</si>
  <si>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</si>
  <si>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</si>
  <si>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</si>
  <si>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</si>
  <si>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</si>
  <si>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</si>
  <si>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</si>
  <si>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</si>
  <si>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</si>
  <si>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</si>
  <si>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</si>
  <si>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</si>
  <si>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</si>
  <si>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</si>
  <si>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</si>
  <si>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</si>
  <si>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</si>
  <si>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</si>
  <si>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</si>
  <si>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</si>
  <si>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</si>
  <si>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</si>
  <si>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</si>
  <si>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</si>
  <si>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</si>
  <si>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</si>
  <si>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</si>
  <si>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</si>
  <si>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</si>
  <si>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</si>
  <si>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</si>
  <si>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</si>
  <si>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</si>
  <si>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</si>
  <si>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</si>
  <si>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</si>
  <si>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</si>
  <si>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</si>
  <si>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</si>
  <si>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</si>
  <si>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</si>
  <si>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</si>
  <si>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</si>
  <si>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</si>
  <si>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</si>
  <si>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</si>
  <si>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</si>
  <si>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</si>
  <si>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</si>
  <si>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</si>
  <si>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</si>
  <si>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</si>
  <si>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</si>
  <si>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</si>
  <si>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</si>
  <si>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</si>
  <si>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</si>
  <si>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</si>
  <si>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</si>
  <si>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</si>
  <si>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</si>
  <si>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</si>
  <si>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</si>
  <si>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</si>
  <si>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</si>
  <si>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</si>
  <si>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</si>
  <si>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</si>
  <si>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</si>
  <si>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</si>
  <si>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</si>
  <si>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</si>
  <si>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</si>
  <si>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</si>
  <si>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</si>
  <si>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</si>
  <si>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</si>
  <si>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</si>
  <si>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</si>
  <si>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</si>
  <si>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</si>
  <si>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</si>
  <si>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</si>
  <si>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</si>
  <si>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</si>
  <si>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</si>
  <si>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</si>
  <si>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</si>
  <si>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</si>
  <si>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</si>
  <si>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</si>
  <si>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</si>
  <si>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</si>
  <si>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</si>
  <si>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</si>
  <si>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</si>
  <si>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</si>
  <si>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</si>
  <si>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</si>
  <si>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</si>
  <si>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</si>
  <si>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</si>
  <si>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</si>
  <si>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</si>
  <si>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</si>
  <si>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</si>
  <si>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</si>
  <si>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</si>
  <si>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</si>
  <si>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</si>
  <si>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</si>
  <si>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</si>
  <si>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</si>
  <si>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</si>
  <si>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</si>
  <si>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</si>
  <si>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</si>
  <si>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</si>
  <si>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</si>
  <si>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</si>
  <si>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</si>
  <si>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</si>
  <si>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</si>
  <si>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</si>
  <si>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</si>
  <si>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</si>
  <si>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</si>
  <si>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</si>
  <si>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</si>
  <si>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</si>
  <si>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</si>
  <si>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</si>
  <si>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</si>
  <si>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</si>
  <si>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</si>
  <si>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</si>
  <si>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</si>
  <si>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</si>
  <si>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</si>
  <si>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</si>
  <si>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</si>
  <si>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</si>
  <si>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</si>
  <si>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</si>
  <si>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</si>
  <si>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</si>
  <si>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</si>
  <si>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</si>
  <si>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</si>
  <si>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</si>
  <si>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</si>
  <si>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</si>
  <si>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</si>
  <si>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</si>
  <si>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</si>
  <si>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</si>
  <si>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</si>
  <si>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</si>
  <si>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</si>
  <si>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</si>
  <si>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</si>
  <si>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</si>
  <si>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</si>
  <si>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</si>
  <si>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</si>
  <si>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</si>
  <si>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</si>
  <si>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</si>
  <si>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</si>
  <si>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</si>
  <si>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</si>
  <si>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</si>
  <si>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</si>
  <si>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</si>
  <si>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</si>
  <si>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</si>
  <si>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</si>
  <si>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</si>
  <si>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</si>
  <si>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</si>
  <si>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</si>
  <si>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</si>
  <si>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</si>
  <si>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</si>
  <si>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</si>
  <si>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</si>
  <si>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</si>
  <si>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</si>
  <si>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</si>
  <si>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</si>
  <si>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</si>
  <si>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</si>
  <si>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</si>
  <si>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</si>
  <si>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</si>
  <si>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</si>
  <si>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</si>
  <si>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</si>
  <si>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</si>
  <si>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</si>
  <si>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</si>
  <si>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</si>
  <si>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</si>
  <si>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</si>
  <si>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</si>
  <si>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</si>
  <si>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</si>
  <si>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</si>
  <si>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</si>
  <si>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</si>
  <si>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</si>
  <si>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</si>
  <si>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</si>
  <si>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</si>
  <si>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</si>
  <si>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</si>
  <si>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</si>
  <si>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</si>
  <si>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</si>
  <si>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</si>
  <si>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</si>
  <si>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</si>
  <si>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</si>
  <si>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</si>
  <si>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</si>
  <si>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</si>
  <si>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</si>
  <si>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</si>
  <si>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</si>
  <si>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</si>
  <si>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</si>
  <si>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</si>
  <si>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</si>
  <si>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</si>
  <si>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</si>
  <si>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</si>
  <si>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</si>
  <si>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</si>
  <si>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</si>
  <si>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</si>
  <si>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</si>
  <si>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</si>
  <si>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</si>
  <si>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</si>
  <si>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</si>
  <si>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</si>
  <si>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</si>
  <si>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</si>
  <si>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</si>
  <si>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</si>
  <si>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</si>
  <si>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</si>
  <si>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</si>
  <si>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</si>
  <si>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</si>
  <si>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</si>
  <si>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</si>
  <si>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</si>
  <si>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</si>
  <si>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</si>
  <si>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</si>
  <si>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</si>
  <si>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</si>
  <si>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</si>
  <si>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</si>
  <si>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</si>
  <si>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</si>
  <si>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</si>
  <si>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</si>
  <si>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</si>
  <si>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</si>
  <si>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</si>
  <si>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</si>
  <si>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</si>
  <si>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</si>
  <si>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</si>
  <si>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</si>
  <si>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</si>
  <si>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</si>
  <si>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</si>
  <si>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</si>
  <si>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</si>
  <si>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</si>
  <si>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</si>
  <si>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</si>
  <si>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</si>
  <si>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</si>
  <si>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</si>
  <si>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</si>
  <si>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</si>
  <si>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</si>
  <si>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</si>
  <si>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</si>
  <si>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</si>
  <si>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</si>
  <si>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</si>
  <si>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</si>
  <si>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</si>
  <si>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</si>
  <si>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</si>
  <si>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</si>
  <si>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</si>
  <si>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</si>
  <si>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</si>
  <si>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</si>
  <si>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</si>
  <si>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</si>
  <si>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</si>
  <si>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</si>
  <si>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</si>
  <si>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</si>
  <si>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</si>
  <si>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</si>
  <si>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</si>
  <si>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</si>
  <si>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</si>
  <si>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</si>
  <si>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</si>
  <si>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</si>
  <si>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</si>
  <si>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</si>
  <si>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</si>
  <si>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</si>
  <si>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</si>
  <si>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</si>
  <si>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</si>
  <si>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</si>
  <si>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</si>
  <si>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</si>
  <si>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</si>
  <si>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</si>
  <si>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</si>
  <si>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</si>
  <si>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</si>
  <si>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</si>
  <si>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</si>
  <si>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</si>
  <si>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</si>
  <si>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</si>
  <si>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</si>
  <si>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</si>
  <si>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</si>
  <si>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</si>
  <si>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</si>
  <si>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</si>
  <si>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</si>
  <si>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</si>
  <si>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</si>
  <si>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</si>
  <si>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</si>
  <si>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</si>
  <si>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</si>
  <si>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</si>
  <si>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</si>
  <si>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</si>
  <si>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</si>
  <si>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</si>
  <si>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</si>
  <si>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</si>
  <si>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</si>
  <si>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</si>
  <si>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</si>
  <si>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</si>
  <si>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</si>
  <si>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</si>
  <si>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</si>
  <si>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</si>
  <si>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</si>
  <si>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</si>
  <si>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</si>
  <si>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</si>
  <si>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</si>
  <si>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</si>
  <si>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</si>
  <si>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</si>
  <si>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</si>
  <si>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</si>
  <si>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</si>
  <si>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</si>
  <si>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</si>
  <si>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</si>
  <si>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</si>
  <si>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</si>
  <si>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</si>
  <si>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</si>
  <si>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</si>
  <si>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</si>
  <si>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</si>
  <si>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</si>
  <si>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</si>
  <si>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</si>
  <si>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</si>
  <si>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</si>
  <si>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</si>
  <si>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</si>
  <si>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</si>
  <si>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</si>
  <si>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</si>
  <si>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</si>
  <si>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</si>
  <si>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</si>
  <si>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</si>
  <si>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</si>
  <si>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</si>
  <si>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</si>
  <si>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</si>
  <si>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</si>
  <si>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</si>
  <si>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</si>
  <si>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</si>
  <si>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</si>
  <si>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</si>
  <si>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</si>
  <si>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</si>
  <si>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</si>
  <si>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</si>
  <si>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</si>
  <si>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</si>
  <si>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</si>
  <si>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</si>
  <si>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</si>
  <si>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</si>
  <si>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</si>
  <si>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</si>
  <si>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</si>
  <si>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</si>
  <si>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</si>
  <si>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</si>
  <si>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</si>
  <si>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</si>
  <si>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</si>
  <si>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</si>
  <si>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</si>
  <si>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</si>
  <si>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</si>
  <si>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</si>
  <si>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</si>
  <si>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</si>
  <si>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</si>
  <si>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</si>
  <si>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</si>
  <si>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</si>
  <si>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</si>
  <si>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</si>
  <si>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</si>
  <si>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</si>
  <si>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</si>
  <si>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</si>
  <si>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</si>
  <si>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</si>
  <si>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</si>
  <si>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</si>
  <si>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</si>
  <si>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</si>
  <si>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</si>
  <si>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</si>
  <si>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</si>
  <si>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</si>
  <si>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</si>
  <si>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</si>
  <si>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</si>
  <si>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</si>
  <si>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</si>
  <si>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</si>
  <si>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</si>
  <si>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</si>
  <si>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</si>
  <si>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</si>
  <si>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</si>
  <si>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</si>
  <si>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</si>
  <si>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</si>
  <si>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</si>
  <si>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</si>
  <si>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</si>
  <si>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</si>
  <si>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</si>
  <si>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</si>
  <si>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</si>
  <si>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</si>
  <si>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</si>
  <si>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</si>
  <si>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</si>
  <si>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</si>
  <si>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</si>
  <si>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</si>
  <si>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</si>
  <si>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</si>
  <si>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</si>
  <si>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</si>
  <si>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</si>
  <si>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</si>
  <si>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</si>
  <si>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</si>
  <si>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</si>
  <si>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</si>
  <si>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</si>
  <si>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</si>
  <si>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</si>
  <si>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</si>
  <si>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</si>
  <si>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</si>
  <si>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</si>
  <si>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</si>
  <si>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</si>
  <si>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</si>
  <si>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</si>
  <si>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</si>
  <si>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</si>
  <si>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</si>
  <si>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</si>
  <si>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</si>
  <si>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</si>
  <si>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</si>
  <si>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</si>
  <si>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</si>
  <si>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</si>
  <si>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</si>
  <si>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</si>
  <si>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</si>
  <si>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</si>
  <si>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</si>
  <si>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</si>
  <si>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</si>
  <si>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</si>
  <si>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</si>
  <si>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</si>
  <si>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</si>
  <si>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</si>
  <si>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</si>
  <si>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</si>
  <si>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</si>
  <si>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</si>
  <si>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</si>
  <si>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</si>
  <si>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</si>
  <si>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</si>
  <si>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</si>
  <si>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</si>
  <si>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</si>
  <si>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</si>
  <si>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</si>
  <si>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</si>
  <si>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</si>
  <si>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</si>
  <si>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</si>
  <si>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</si>
  <si>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</si>
  <si>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</si>
  <si>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</si>
  <si>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</si>
  <si>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</si>
  <si>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</si>
  <si>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</si>
  <si>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</si>
  <si>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</si>
  <si>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</si>
  <si>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</si>
  <si>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</si>
  <si>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</si>
  <si>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</si>
  <si>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</si>
  <si>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</si>
  <si>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</si>
  <si>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</si>
  <si>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</si>
  <si>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</si>
  <si>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</si>
  <si>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</si>
  <si>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</si>
  <si>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</si>
  <si>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</si>
  <si>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</si>
  <si>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</si>
  <si>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</si>
  <si>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</si>
  <si>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</si>
  <si>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</si>
  <si>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</si>
  <si>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</si>
  <si>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</si>
  <si>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</si>
  <si>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</si>
  <si>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</si>
  <si>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</si>
  <si>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</si>
  <si>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</si>
  <si>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</si>
  <si>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</si>
  <si>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</si>
  <si>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</si>
  <si>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</si>
  <si>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</si>
  <si>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</si>
  <si>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</si>
  <si>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</si>
  <si>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</si>
  <si>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</si>
  <si>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</si>
  <si>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</si>
  <si>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</si>
  <si>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</si>
  <si>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</si>
  <si>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</si>
  <si>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</si>
  <si>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</si>
  <si>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</si>
  <si>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</si>
  <si>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</si>
  <si>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</si>
  <si>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</si>
  <si>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</si>
  <si>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</si>
  <si>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</si>
  <si>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</si>
  <si>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</si>
  <si>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</si>
  <si>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</si>
  <si>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</si>
  <si>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</si>
  <si>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</si>
  <si>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</si>
  <si>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</si>
  <si>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</si>
  <si>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</si>
  <si>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</si>
  <si>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</si>
  <si>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</si>
  <si>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</si>
  <si>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</si>
  <si>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</si>
  <si>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</si>
  <si>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</si>
  <si>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</si>
  <si>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</si>
  <si>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</si>
  <si>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</si>
  <si>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</si>
  <si>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</si>
  <si>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</si>
  <si>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</si>
  <si>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</si>
  <si>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</si>
  <si>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</si>
  <si>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</si>
  <si>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</si>
  <si>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</si>
  <si>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</si>
  <si>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</si>
  <si>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</si>
  <si>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</si>
  <si>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</si>
  <si>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</si>
  <si>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</si>
  <si>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</si>
  <si>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</si>
  <si>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</si>
  <si>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</si>
  <si>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</si>
  <si>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</si>
  <si>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</si>
  <si>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</si>
  <si>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</si>
  <si>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</si>
  <si>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</si>
  <si>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</si>
  <si>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</si>
  <si>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</si>
  <si>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</si>
  <si>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</si>
  <si>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</si>
  <si>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</si>
  <si>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</si>
  <si>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</si>
  <si>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</si>
  <si>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</si>
  <si>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</si>
  <si>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</si>
  <si>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</si>
  <si>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</si>
  <si>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</si>
  <si>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</si>
  <si>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</si>
  <si>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</si>
  <si>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</si>
  <si>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</si>
  <si>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</si>
  <si>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</si>
  <si>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</si>
  <si>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</si>
  <si>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</si>
  <si>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</si>
  <si>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</si>
  <si>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</si>
  <si>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</si>
  <si>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</si>
  <si>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</si>
  <si>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</si>
  <si>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</si>
  <si>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</si>
  <si>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</si>
  <si>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</si>
  <si>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</si>
  <si>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</si>
  <si>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</si>
  <si>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</si>
  <si>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</si>
  <si>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</si>
  <si>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</si>
  <si>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</si>
  <si>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</si>
  <si>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</si>
  <si>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</si>
  <si>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</si>
  <si>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</si>
  <si>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</si>
  <si>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</si>
  <si>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</si>
  <si>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</si>
  <si>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</si>
  <si>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</si>
  <si>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</si>
  <si>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</si>
  <si>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</si>
  <si>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</si>
  <si>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</si>
  <si>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</si>
  <si>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</si>
  <si>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</si>
  <si>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</si>
  <si>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</si>
  <si>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</si>
  <si>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</si>
  <si>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</si>
  <si>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</si>
  <si>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</si>
  <si>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</si>
  <si>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</si>
  <si>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</si>
  <si>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</si>
  <si>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</si>
  <si>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</si>
  <si>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</si>
  <si>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</si>
  <si>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</si>
  <si>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</si>
  <si>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</si>
  <si>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</si>
  <si>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</si>
  <si>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</si>
  <si>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</si>
  <si>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</si>
  <si>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</si>
  <si>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</si>
  <si>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</si>
  <si>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</si>
  <si>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</si>
  <si>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</si>
  <si>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</si>
  <si>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</si>
  <si>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</si>
  <si>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</si>
  <si>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</si>
  <si>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</si>
  <si>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</si>
  <si>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</si>
  <si>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</si>
  <si>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</si>
  <si>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</si>
  <si>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</si>
  <si>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</si>
  <si>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</si>
  <si>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</si>
  <si>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</si>
  <si>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</si>
  <si>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</si>
  <si>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</si>
  <si>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</si>
  <si>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</si>
  <si>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</si>
  <si>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</si>
  <si>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</si>
  <si>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</si>
  <si>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</si>
  <si>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</si>
  <si>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</si>
  <si>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</si>
  <si>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</si>
  <si>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</si>
  <si>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</si>
  <si>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</si>
  <si>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</si>
  <si>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</si>
  <si>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</si>
  <si>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</si>
  <si>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</si>
  <si>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</si>
  <si>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</si>
  <si>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</si>
  <si>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</si>
  <si>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</si>
  <si>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</si>
  <si>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</si>
  <si>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</si>
  <si>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</si>
  <si>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</si>
  <si>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</si>
  <si>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</si>
  <si>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</si>
  <si>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</si>
  <si>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</si>
  <si>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</si>
  <si>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</si>
  <si>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</si>
  <si>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</si>
  <si>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</si>
  <si>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</si>
  <si>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</si>
  <si>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</si>
  <si>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</si>
  <si>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</si>
  <si>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</si>
  <si>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</si>
  <si>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</si>
  <si>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</si>
  <si>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</si>
  <si>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</si>
  <si>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</si>
  <si>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</si>
  <si>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</si>
  <si>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</si>
  <si>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</si>
  <si>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</si>
  <si>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</si>
  <si>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</si>
  <si>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</si>
  <si>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</si>
  <si>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</si>
  <si>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</si>
  <si>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</si>
  <si>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</si>
  <si>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</si>
  <si>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</si>
  <si>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</si>
  <si>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</si>
  <si>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</si>
  <si>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</si>
  <si>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</si>
  <si>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</si>
  <si>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</si>
  <si>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</si>
  <si>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</si>
  <si>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</si>
  <si>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</si>
  <si>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</si>
  <si>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</si>
  <si>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</si>
  <si>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</si>
  <si>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</si>
  <si>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</si>
  <si>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</si>
  <si>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</si>
  <si>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</si>
  <si>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</si>
  <si>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</si>
  <si>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</si>
  <si>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</si>
  <si>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</si>
  <si>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</si>
  <si>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</si>
  <si>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</si>
  <si>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</si>
  <si>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</si>
  <si>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</si>
  <si>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</si>
  <si>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</si>
  <si>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</si>
  <si>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</si>
  <si>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</si>
  <si>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</si>
  <si>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</si>
  <si>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</si>
  <si>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</si>
  <si>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</si>
  <si>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</si>
  <si>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</si>
  <si>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</si>
  <si>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</si>
  <si>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</si>
  <si>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</si>
  <si>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</si>
  <si>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</si>
  <si>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</si>
  <si>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</si>
  <si>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</si>
  <si>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</si>
  <si>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</si>
  <si>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</si>
  <si>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</si>
  <si>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</si>
  <si>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</si>
  <si>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</si>
  <si>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</si>
  <si>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</si>
  <si>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</si>
  <si>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</si>
  <si>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</si>
  <si>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</si>
  <si>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</si>
  <si>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</si>
  <si>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</si>
  <si>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</si>
  <si>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</si>
  <si>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</si>
  <si>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</si>
  <si>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</si>
  <si>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</si>
  <si>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</si>
  <si>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</si>
  <si>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</si>
  <si>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</si>
  <si>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</si>
  <si>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</si>
  <si>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</si>
  <si>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</si>
  <si>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</si>
  <si>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</si>
  <si>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</si>
  <si>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</si>
  <si>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</si>
  <si>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</si>
  <si>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</si>
  <si>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</si>
  <si>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</si>
  <si>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</si>
  <si>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</si>
  <si>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</si>
  <si>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</si>
  <si>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</si>
  <si>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</si>
  <si>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</si>
  <si>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</si>
  <si>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</si>
  <si>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</si>
  <si>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</si>
  <si>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</si>
  <si>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</si>
  <si>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</si>
  <si>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</si>
  <si>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</si>
  <si>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</si>
  <si>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</si>
  <si>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</si>
  <si>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</si>
  <si>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</si>
  <si>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</si>
  <si>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</si>
  <si>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</si>
  <si>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</si>
  <si>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</si>
  <si>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</si>
  <si>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</si>
  <si>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</si>
  <si>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</si>
  <si>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</si>
  <si>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</si>
  <si>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</si>
  <si>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</si>
  <si>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</si>
  <si>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</si>
  <si>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</si>
  <si>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</si>
  <si>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</si>
  <si>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</si>
  <si>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</si>
  <si>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</si>
  <si>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</si>
  <si>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</si>
  <si>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</si>
  <si>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</si>
  <si>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</si>
  <si>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</si>
  <si>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</si>
  <si>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</si>
  <si>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</si>
  <si>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</si>
  <si>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</si>
  <si>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</si>
  <si>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</si>
  <si>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</si>
  <si>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</si>
  <si>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</si>
  <si>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</si>
  <si>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</si>
  <si>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</si>
  <si>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</si>
  <si>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</si>
  <si>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</si>
  <si>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</si>
  <si>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</si>
  <si>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</si>
  <si>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</si>
  <si>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</si>
  <si>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</si>
  <si>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</si>
  <si>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</si>
  <si>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</si>
  <si>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</si>
  <si>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</si>
  <si>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</si>
  <si>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</si>
  <si>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</si>
  <si>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</si>
  <si>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</si>
  <si>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</si>
  <si>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</si>
  <si>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</si>
  <si>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</si>
  <si>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</si>
  <si>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</si>
  <si>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</si>
  <si>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</si>
  <si>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</si>
  <si>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</si>
  <si>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</si>
  <si>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</si>
  <si>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</si>
  <si>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</si>
  <si>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</si>
  <si>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</si>
  <si>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</si>
  <si>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</si>
  <si>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</si>
  <si>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</si>
  <si>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</si>
  <si>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</si>
  <si>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</si>
  <si>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</si>
  <si>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</si>
  <si>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</si>
  <si>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</si>
  <si>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</si>
  <si>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</si>
  <si>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</si>
  <si>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</si>
  <si>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</si>
  <si>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</si>
  <si>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</si>
  <si>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</si>
  <si>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</si>
  <si>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</si>
  <si>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</si>
  <si>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</si>
  <si>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</si>
  <si>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</si>
  <si>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</si>
  <si>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</si>
  <si>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</si>
  <si>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</si>
  <si>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</si>
  <si>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</si>
  <si>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</si>
  <si>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</si>
  <si>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</si>
  <si>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</si>
  <si>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</si>
  <si>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</si>
  <si>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</si>
  <si>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</si>
  <si>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</si>
  <si>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</si>
  <si>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</si>
  <si>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</si>
  <si>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</si>
  <si>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</si>
  <si>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</si>
  <si>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</si>
  <si>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</si>
  <si>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</si>
  <si>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</si>
  <si>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</si>
  <si>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</si>
  <si>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</si>
  <si>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</si>
  <si>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</si>
  <si>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</si>
  <si>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</si>
  <si>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</si>
  <si>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</si>
  <si>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</si>
  <si>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</si>
  <si>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</si>
  <si>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</si>
  <si>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</si>
  <si>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</si>
  <si>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</si>
  <si>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</si>
  <si>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</si>
  <si>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</si>
  <si>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</si>
  <si>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</si>
  <si>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</si>
  <si>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</si>
  <si>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</si>
  <si>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</si>
  <si>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</si>
  <si>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</si>
  <si>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</si>
  <si>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</si>
  <si>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</si>
  <si>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</si>
  <si>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</si>
  <si>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</si>
  <si>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</si>
  <si>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</si>
  <si>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</si>
  <si>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</si>
  <si>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</si>
  <si>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</si>
  <si>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</si>
  <si>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</si>
  <si>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</si>
  <si>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</si>
  <si>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</si>
  <si>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</si>
  <si>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</si>
  <si>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</si>
  <si>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</si>
  <si>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</si>
  <si>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</si>
  <si>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</si>
  <si>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</si>
  <si>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</si>
  <si>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</si>
  <si>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</si>
  <si>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</si>
  <si>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</si>
  <si>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</si>
  <si>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</si>
  <si>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</si>
  <si>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</si>
  <si>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</si>
  <si>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</si>
  <si>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</si>
  <si>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</si>
  <si>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</si>
  <si>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</si>
  <si>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</si>
  <si>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</si>
  <si>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</si>
  <si>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</si>
  <si>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</si>
  <si>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</si>
  <si>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</si>
  <si>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</si>
  <si>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</si>
  <si>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</si>
  <si>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</si>
  <si>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</si>
  <si>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</si>
  <si>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</si>
  <si>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</si>
  <si>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</si>
  <si>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</si>
  <si>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</si>
  <si>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</si>
  <si>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</si>
  <si>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</si>
  <si>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</si>
  <si>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</si>
  <si>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</si>
  <si>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</si>
  <si>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</si>
  <si>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</si>
  <si>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</si>
  <si>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</si>
  <si>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</si>
  <si>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</si>
  <si>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</si>
  <si>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</si>
  <si>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</si>
  <si>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</si>
  <si>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</si>
  <si>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</si>
  <si>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</si>
  <si>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</si>
  <si>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</si>
  <si>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</si>
  <si>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</si>
  <si>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</si>
  <si>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</si>
  <si>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</si>
  <si>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</si>
  <si>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</si>
  <si>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</si>
  <si>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</si>
  <si>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</si>
  <si>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</si>
  <si>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</si>
  <si>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</si>
  <si>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</si>
  <si>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</si>
  <si>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</si>
  <si>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</si>
  <si>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</si>
  <si>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</si>
  <si>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</si>
  <si>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</si>
  <si>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</si>
  <si>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</si>
  <si>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</si>
  <si>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</si>
  <si>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</si>
  <si>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</si>
  <si>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</si>
  <si>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</si>
  <si>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</si>
  <si>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</si>
  <si>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</si>
  <si>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</si>
  <si>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</si>
  <si>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</si>
  <si>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</si>
  <si>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</si>
  <si>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</si>
  <si>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</si>
  <si>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</si>
  <si>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</si>
  <si>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</si>
  <si>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</si>
  <si>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</si>
  <si>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</si>
  <si>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</si>
  <si>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</si>
  <si>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</si>
  <si>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</si>
  <si>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</si>
  <si>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</si>
  <si>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</si>
  <si>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</si>
  <si>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</si>
  <si>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</si>
  <si>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</si>
  <si>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</si>
  <si>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</si>
  <si>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</si>
  <si>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</si>
  <si>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</si>
  <si>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</si>
  <si>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</si>
  <si>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</si>
  <si>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</si>
  <si>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</si>
  <si>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</si>
  <si>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</si>
  <si>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</si>
  <si>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</si>
  <si>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</si>
  <si>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</si>
  <si>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</si>
  <si>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</si>
  <si>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</si>
  <si>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</si>
  <si>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</si>
  <si>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</si>
  <si>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</si>
  <si>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</si>
  <si>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</si>
  <si>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</si>
  <si>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</si>
  <si>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</si>
  <si>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</si>
  <si>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</si>
  <si>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</si>
  <si>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</si>
  <si>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</si>
  <si>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</si>
  <si>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</si>
  <si>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</si>
  <si>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</si>
  <si>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</si>
  <si>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</si>
  <si>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</si>
  <si>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</si>
  <si>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</si>
  <si>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</si>
  <si>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</si>
  <si>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</si>
  <si>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</si>
  <si>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</si>
  <si>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</si>
  <si>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</si>
  <si>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</si>
  <si>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</si>
  <si>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</si>
  <si>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</si>
  <si>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</si>
  <si>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</si>
  <si>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</si>
  <si>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</si>
  <si>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</si>
  <si>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</si>
  <si>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</si>
  <si>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</si>
  <si>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</si>
  <si>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</si>
  <si>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</si>
  <si>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</si>
  <si>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</si>
  <si>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</si>
  <si>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</si>
  <si>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</si>
  <si>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</si>
  <si>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</si>
  <si>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</si>
  <si>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</si>
  <si>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</si>
  <si>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</si>
  <si>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</si>
  <si>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</si>
  <si>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</si>
  <si>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</si>
  <si>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</si>
  <si>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</si>
  <si>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</si>
  <si>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</si>
  <si>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</si>
  <si>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</si>
  <si>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</si>
  <si>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</si>
  <si>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</si>
  <si>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</si>
  <si>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</si>
  <si>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</si>
  <si>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</si>
  <si>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</si>
  <si>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</si>
  <si>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</si>
  <si>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</si>
  <si>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</si>
  <si>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</si>
  <si>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</si>
  <si>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</si>
  <si>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</si>
  <si>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</si>
  <si>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</si>
  <si>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</si>
  <si>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</si>
  <si>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</si>
  <si>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</si>
  <si>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</si>
  <si>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</si>
  <si>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</si>
  <si>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</si>
  <si>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</si>
  <si>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</si>
  <si>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</si>
  <si>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</si>
  <si>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</si>
  <si>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</si>
  <si>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</si>
  <si>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</si>
  <si>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</si>
  <si>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</si>
  <si>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</si>
  <si>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</si>
  <si>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</si>
  <si>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</si>
  <si>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</si>
  <si>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</si>
  <si>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</si>
  <si>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</si>
  <si>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</si>
  <si>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</si>
  <si>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</si>
  <si>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</si>
  <si>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</si>
  <si>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</si>
  <si>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</si>
  <si>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</si>
  <si>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</si>
  <si>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</si>
  <si>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</si>
  <si>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</si>
  <si>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</si>
  <si>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</si>
  <si>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</si>
  <si>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</si>
  <si>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</si>
  <si>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</si>
  <si>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</si>
  <si>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</si>
  <si>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</si>
  <si>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</si>
  <si>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</si>
  <si>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</si>
  <si>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</si>
  <si>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</si>
  <si>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</si>
  <si>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</si>
  <si>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</si>
  <si>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</si>
  <si>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</si>
  <si>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</si>
  <si>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</si>
  <si>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</si>
  <si>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</si>
  <si>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</si>
  <si>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</si>
  <si>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</si>
  <si>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</si>
  <si>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</si>
  <si>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</si>
  <si>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</si>
  <si>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</si>
  <si>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</si>
  <si>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</si>
  <si>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</si>
  <si>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</si>
  <si>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</si>
  <si>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</si>
  <si>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</si>
  <si>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</si>
  <si>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</si>
  <si>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</si>
  <si>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</si>
  <si>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</si>
  <si>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</si>
  <si>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</si>
  <si>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</si>
  <si>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</si>
  <si>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</si>
  <si>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</si>
  <si>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</si>
  <si>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</si>
  <si>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</si>
  <si>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</si>
  <si>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</si>
  <si>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</si>
  <si>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</si>
  <si>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</si>
  <si>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</si>
  <si>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</si>
  <si>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</si>
  <si>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</si>
  <si>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</si>
  <si>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</si>
  <si>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</si>
  <si>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</si>
  <si>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</si>
  <si>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</si>
  <si>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</si>
  <si>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</si>
  <si>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</si>
  <si>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</si>
  <si>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</si>
  <si>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</si>
  <si>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</si>
  <si>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</si>
  <si>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</si>
  <si>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</si>
  <si>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</si>
  <si>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</si>
  <si>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</si>
  <si>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</si>
  <si>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</si>
  <si>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</si>
  <si>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</si>
  <si>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</si>
  <si>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</si>
  <si>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</si>
  <si>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</si>
  <si>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</si>
  <si>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</si>
  <si>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</si>
  <si>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</si>
  <si>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</si>
  <si>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</si>
  <si>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</si>
  <si>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</si>
  <si>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</si>
  <si>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</si>
  <si>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</si>
  <si>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</si>
  <si>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</si>
  <si>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</si>
  <si>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</si>
  <si>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</si>
  <si>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</si>
  <si>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</si>
  <si>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</si>
  <si>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</si>
  <si>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</si>
  <si>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</si>
  <si>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</si>
  <si>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</si>
  <si>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</si>
  <si>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</si>
  <si>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</si>
  <si>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</si>
  <si>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</si>
  <si>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</si>
  <si>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</si>
  <si>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</si>
  <si>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</si>
  <si>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</si>
  <si>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</si>
  <si>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</si>
  <si>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</si>
  <si>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</si>
  <si>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</si>
  <si>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</si>
  <si>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</si>
  <si>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</si>
  <si>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</si>
  <si>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</si>
  <si>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</si>
  <si>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</si>
  <si>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</si>
  <si>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</si>
  <si>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</si>
  <si>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</si>
  <si>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</si>
  <si>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</si>
  <si>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</si>
  <si>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</si>
  <si>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</si>
  <si>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</si>
  <si>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</si>
  <si>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</si>
  <si>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</si>
  <si>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</si>
  <si>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</si>
  <si>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</si>
  <si>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</si>
  <si>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</si>
  <si>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</si>
  <si>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</si>
  <si>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</si>
  <si>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</si>
  <si>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</si>
  <si>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</si>
  <si>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</si>
  <si>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</si>
  <si>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</si>
  <si>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</si>
  <si>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</si>
  <si>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</si>
  <si>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</si>
  <si>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</si>
  <si>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</si>
  <si>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</si>
  <si>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</si>
  <si>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</si>
  <si>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</si>
  <si>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</si>
  <si>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</si>
  <si>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</si>
  <si>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</si>
  <si>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</si>
  <si>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</si>
  <si>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</si>
  <si>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</si>
  <si>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</si>
  <si>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</si>
  <si>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</si>
  <si>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</si>
  <si>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</si>
  <si>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</si>
  <si>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</si>
  <si>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</si>
  <si>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</si>
  <si>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</si>
  <si>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</si>
  <si>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</si>
  <si>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</si>
  <si>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</si>
  <si>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</si>
  <si>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</si>
  <si>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</si>
  <si>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</si>
  <si>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</si>
  <si>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</si>
  <si>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</si>
  <si>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</si>
  <si>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</si>
  <si>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</si>
  <si>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</si>
  <si>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</si>
  <si>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</si>
  <si>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</si>
  <si>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</si>
  <si>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</si>
  <si>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</si>
  <si>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</si>
  <si>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</si>
  <si>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</si>
  <si>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</si>
  <si>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</si>
  <si>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</si>
  <si>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</si>
  <si>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</si>
  <si>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</si>
  <si>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</si>
  <si>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</si>
  <si>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</si>
  <si>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</si>
  <si>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</si>
  <si>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</si>
  <si>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</si>
  <si>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</si>
  <si>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</si>
  <si>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</si>
  <si>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</si>
  <si>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</si>
  <si>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</si>
  <si>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</si>
  <si>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</si>
  <si>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</si>
  <si>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</si>
  <si>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</si>
  <si>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</si>
  <si>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</si>
  <si>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</si>
  <si>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</si>
  <si>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</si>
  <si>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</si>
  <si>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</si>
  <si>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</si>
  <si>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</si>
  <si>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</si>
  <si>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</si>
  <si>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</si>
  <si>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</si>
  <si>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</si>
  <si>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</si>
  <si>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</si>
  <si>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</si>
  <si>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</si>
  <si>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</si>
  <si>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</si>
  <si>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</si>
  <si>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</si>
  <si>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</si>
  <si>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</si>
  <si>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</si>
  <si>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</si>
  <si>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</si>
  <si>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</si>
  <si>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</si>
  <si>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</si>
  <si>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</si>
  <si>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</si>
  <si>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</si>
  <si>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</si>
  <si>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</si>
  <si>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</si>
  <si>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</si>
  <si>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</si>
  <si>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</si>
  <si>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</si>
  <si>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</si>
  <si>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</si>
  <si>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</si>
  <si>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</si>
  <si>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</si>
  <si>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</si>
  <si>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</si>
  <si>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</si>
  <si>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</si>
  <si>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</si>
  <si>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</si>
  <si>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</si>
  <si>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</si>
  <si>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</si>
  <si>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</si>
  <si>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</si>
  <si>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</si>
  <si>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</si>
  <si>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</si>
  <si>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</si>
  <si>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</si>
  <si>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</si>
  <si>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</si>
  <si>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</si>
  <si>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</si>
  <si>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</si>
  <si>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</si>
  <si>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</si>
  <si>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</si>
  <si>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</si>
  <si>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</si>
  <si>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</si>
  <si>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</si>
  <si>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</si>
  <si>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</si>
  <si>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</si>
  <si>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</si>
  <si>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</si>
  <si>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</si>
  <si>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</si>
  <si>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</si>
  <si>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</si>
  <si>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</si>
  <si>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</si>
  <si>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</si>
  <si>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</si>
  <si>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</si>
  <si>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</si>
  <si>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</si>
  <si>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</si>
  <si>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</si>
  <si>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</si>
  <si>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</si>
  <si>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</si>
  <si>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</si>
  <si>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</si>
  <si>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</si>
  <si>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</si>
  <si>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</si>
  <si>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</si>
  <si>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</si>
  <si>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</si>
  <si>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</si>
  <si>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</si>
  <si>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</si>
  <si>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</si>
  <si>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</si>
  <si>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</si>
  <si>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</si>
  <si>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</si>
  <si>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</si>
  <si>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</si>
  <si>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</si>
  <si>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</si>
  <si>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</si>
  <si>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</si>
  <si>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</si>
  <si>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</si>
  <si>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</si>
  <si>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</si>
  <si>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</si>
  <si>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</si>
  <si>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</si>
  <si>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</si>
  <si>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</si>
  <si>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</si>
  <si>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</si>
  <si>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</si>
  <si>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</si>
  <si>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</si>
  <si>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</si>
  <si>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</si>
  <si>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</si>
  <si>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</si>
  <si>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</si>
  <si>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</si>
  <si>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</si>
  <si>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</si>
  <si>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</si>
  <si>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</si>
  <si>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</si>
  <si>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</si>
  <si>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</si>
  <si>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</si>
  <si>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</si>
  <si>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</si>
  <si>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</si>
  <si>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</si>
  <si>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</si>
  <si>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</si>
  <si>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</si>
  <si>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</si>
  <si>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</si>
  <si>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</si>
  <si>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</si>
  <si>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</si>
  <si>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</si>
  <si>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</si>
  <si>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</si>
  <si>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</si>
  <si>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</si>
  <si>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</si>
  <si>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</si>
  <si>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</si>
  <si>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</si>
  <si>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</si>
  <si>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</si>
  <si>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</si>
  <si>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</si>
  <si>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</si>
  <si>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</si>
  <si>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</si>
  <si>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</si>
  <si>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</si>
  <si>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</si>
  <si>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</si>
  <si>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</si>
  <si>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</si>
  <si>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</si>
  <si>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</si>
  <si>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</si>
  <si>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</si>
  <si>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</si>
  <si>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</si>
  <si>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</si>
  <si>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</si>
  <si>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</si>
  <si>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</si>
  <si>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</si>
  <si>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</si>
  <si>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</si>
  <si>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</si>
  <si>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</si>
  <si>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</si>
  <si>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</si>
  <si>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</si>
  <si>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</si>
  <si>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</si>
  <si>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</si>
  <si>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</si>
  <si>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</si>
  <si>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</si>
  <si>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</si>
  <si>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</si>
  <si>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</si>
  <si>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出让</t>
  </si>
  <si>
    <t>企业</t>
  </si>
  <si>
    <t>其他：</t>
  </si>
  <si>
    <t>房地产抵押价值</t>
  </si>
  <si>
    <t>抵押</t>
  </si>
  <si>
    <t>地上</t>
  </si>
  <si>
    <t>是</t>
  </si>
  <si>
    <t>未包含在土地购买价格中</t>
  </si>
  <si>
    <t>已包含在土地取得成本中</t>
  </si>
  <si>
    <t>住宅</t>
  </si>
  <si>
    <t>住宅</t>
    <phoneticPr fontId="7" type="noConversion"/>
  </si>
  <si>
    <t>地上商业</t>
    <phoneticPr fontId="7" type="noConversion"/>
  </si>
  <si>
    <t>地下商业</t>
    <phoneticPr fontId="7" type="noConversion"/>
  </si>
  <si>
    <t>办公</t>
    <phoneticPr fontId="7" type="noConversion"/>
  </si>
  <si>
    <t>地下车位</t>
    <phoneticPr fontId="7" type="noConversion"/>
  </si>
  <si>
    <t>地下</t>
  </si>
  <si>
    <t>车库—商业</t>
  </si>
  <si>
    <t>车库</t>
  </si>
  <si>
    <t>商业</t>
    <phoneticPr fontId="143" type="noConversion"/>
  </si>
  <si>
    <t>车位</t>
    <phoneticPr fontId="143" type="noConversion"/>
  </si>
  <si>
    <t>非收益</t>
    <phoneticPr fontId="143" type="noConversion"/>
  </si>
  <si>
    <t>人防</t>
    <phoneticPr fontId="143" type="noConversion"/>
  </si>
  <si>
    <t>商业</t>
    <phoneticPr fontId="143" type="noConversion"/>
  </si>
  <si>
    <t>电影院</t>
    <phoneticPr fontId="143" type="noConversion"/>
  </si>
  <si>
    <t>办公</t>
    <phoneticPr fontId="143" type="noConversion"/>
  </si>
  <si>
    <t>省会市名称</t>
  </si>
  <si>
    <t>建筑型式</t>
  </si>
  <si>
    <t>说明</t>
  </si>
  <si>
    <t>多层</t>
  </si>
  <si>
    <t>小高层</t>
  </si>
  <si>
    <t>高层</t>
  </si>
  <si>
    <t>重庆</t>
  </si>
  <si>
    <t>1450</t>
  </si>
  <si>
    <t>1420</t>
  </si>
  <si>
    <t>1620</t>
  </si>
  <si>
    <t>请录依据文件名称：重庆市人民政府关于城市建设配套费征收标准的通知</t>
    <phoneticPr fontId="3" type="noConversion"/>
  </si>
  <si>
    <t>地上商业</t>
  </si>
  <si>
    <t>地下商业</t>
  </si>
  <si>
    <t>地下车位</t>
  </si>
  <si>
    <t>钢混</t>
  </si>
  <si>
    <t>非生产用房</t>
  </si>
  <si>
    <t>按租金收入计税</t>
  </si>
  <si>
    <t>在建（套用方法）</t>
  </si>
  <si>
    <t>成本比率</t>
  </si>
  <si>
    <t>成本法</t>
  </si>
  <si>
    <t>假设开发法</t>
  </si>
  <si>
    <t>项目全部</t>
  </si>
  <si>
    <t>收益法（地上商业）</t>
  </si>
  <si>
    <t>收益法（地下商业）</t>
  </si>
  <si>
    <t>收益法（地下车位）</t>
  </si>
  <si>
    <t>地块名称</t>
  </si>
  <si>
    <t>城市</t>
  </si>
  <si>
    <t>用地性质</t>
  </si>
  <si>
    <t>出让方式</t>
  </si>
  <si>
    <t>详细规划</t>
  </si>
  <si>
    <t>建设用地面积(㎡)</t>
  </si>
  <si>
    <t>容积率</t>
  </si>
  <si>
    <t>成交日期</t>
  </si>
  <si>
    <t>受让单位</t>
  </si>
  <si>
    <t>成交价(万元)</t>
  </si>
  <si>
    <t>成交每亩价(万元/亩)</t>
  </si>
  <si>
    <t>成交楼面价(元/㎡)</t>
  </si>
  <si>
    <t>溢价率</t>
  </si>
  <si>
    <t>出让年限</t>
  </si>
  <si>
    <t>江北区唐家沱组团M分区M6-1/05、M7-1/05</t>
  </si>
  <si>
    <t>重庆市</t>
  </si>
  <si>
    <t>综合用地(含住宅)</t>
  </si>
  <si>
    <t>挂牌</t>
  </si>
  <si>
    <t>二类居住用地、商业商务用地</t>
  </si>
  <si>
    <t>＞1并且≤2.24</t>
  </si>
  <si>
    <t>2018-04-24</t>
  </si>
  <si>
    <t>重庆协信远汇房地产开发有限公司</t>
  </si>
  <si>
    <t>40年</t>
  </si>
  <si>
    <t>江北区大石坝组团E分区E14-2-1/03号宗地</t>
  </si>
  <si>
    <t>住宅用地</t>
  </si>
  <si>
    <t>拍卖</t>
  </si>
  <si>
    <t>二类居住用地</t>
  </si>
  <si>
    <t>＞1并且≤3.5</t>
  </si>
  <si>
    <t>2018-02-13</t>
  </si>
  <si>
    <t>重庆辉沛企业管理有限公司、重庆旭鹏房地产开发有限公司</t>
  </si>
  <si>
    <t>渝中区大杨石组团黄荆社分区2-5-1/04号宗地</t>
  </si>
  <si>
    <t>＞1并且≤1.5</t>
  </si>
  <si>
    <t>2017-09-26</t>
  </si>
  <si>
    <t>中海地产集团有限公司</t>
  </si>
  <si>
    <t>渝中区渝中组团C分区C29-7号宗地</t>
  </si>
  <si>
    <t>二类居住用地、商业用地、商务用地</t>
  </si>
  <si>
    <t>＞1并且≤4.5</t>
  </si>
  <si>
    <t>2017-09-15</t>
  </si>
  <si>
    <t>成都市中天盈房地产开发有限公司</t>
  </si>
  <si>
    <t>江北区大石坝组团G分区G20-1-2/02号宗地</t>
  </si>
  <si>
    <t>＞1并且≤5.5</t>
  </si>
  <si>
    <t>2017-08-22</t>
  </si>
  <si>
    <t>南国置业股份有限公司</t>
  </si>
  <si>
    <t>渝中区大杨石组团I分区I-3-1-9号宗地</t>
  </si>
  <si>
    <t>≥1并且≤4.2</t>
  </si>
  <si>
    <t>2017-06-30</t>
  </si>
  <si>
    <t>重庆华宇集团有限公司、重庆华宇业升实业有限公司</t>
  </si>
  <si>
    <t>江北区观音桥组团F分区FJ03-1-1/04、FJ03-1-2/04号宗地</t>
  </si>
  <si>
    <t>≤3</t>
  </si>
  <si>
    <t>2016-12-30</t>
  </si>
  <si>
    <t>70年40年</t>
  </si>
  <si>
    <t>江北区观音桥组团I分区I02-1/03号宗地</t>
  </si>
  <si>
    <t>商业商务兼容居住用地</t>
  </si>
  <si>
    <t>≤3.5</t>
  </si>
  <si>
    <t>2016-12-27</t>
  </si>
  <si>
    <t>重庆河东房地产开发有限公司</t>
  </si>
  <si>
    <t>渝中区渝中组团H分区3-5/03、5-1/04、6-1/04、3-8-4/03号宗地</t>
  </si>
  <si>
    <t>商业用地、商务用地、二类居住用地</t>
  </si>
  <si>
    <t>≤10.49</t>
  </si>
  <si>
    <t>2016-11-28</t>
  </si>
  <si>
    <t>重庆渝中新浩郡房地产开发有限公司</t>
  </si>
  <si>
    <t>70年、40年</t>
  </si>
  <si>
    <t>江北区观音桥组团A分区A34-1-3/07、A34-1-5/07、A34-1-8/07、A34-1-10/07、A34-1-17/07号宗地</t>
  </si>
  <si>
    <t>商业商务用地;二类居住用地;二类居住用地、商业用地</t>
  </si>
  <si>
    <t>≤3.64</t>
  </si>
  <si>
    <t>2016-08-30</t>
  </si>
  <si>
    <t>重庆鲁能开发(集团)有限公司</t>
  </si>
  <si>
    <t>40年、70年</t>
  </si>
  <si>
    <t>江北区观音桥组团A分区A34-1-16/07、A34-1-19/07、A34-1-20/07号宗地</t>
  </si>
  <si>
    <t>二类居住用地、商业用地</t>
  </si>
  <si>
    <t>≤3.94</t>
  </si>
  <si>
    <t>中铁建房地产公司</t>
  </si>
  <si>
    <t>江北区观音桥组团M分区M16-3/02号宗地</t>
  </si>
  <si>
    <t>2016-08-12</t>
  </si>
  <si>
    <t>保利(重庆)投资实业有限公司</t>
  </si>
  <si>
    <t>70年</t>
  </si>
  <si>
    <t>江北区唐家沱组团J分区J15-7-1/08号宗地</t>
  </si>
  <si>
    <t>2016-03-30</t>
  </si>
  <si>
    <t>重庆市奔力房地产开发有限责任公司</t>
  </si>
  <si>
    <t>渝中区渝中组团E分区E6-1号宗地</t>
  </si>
  <si>
    <t>小于或等于8.1</t>
  </si>
  <si>
    <t>2015-11-26</t>
  </si>
  <si>
    <t>重庆康翔实业有限公司</t>
  </si>
  <si>
    <t>较规则</t>
  </si>
  <si>
    <t>较规则</t>
    <phoneticPr fontId="31" type="noConversion"/>
  </si>
  <si>
    <t>六通一平</t>
    <phoneticPr fontId="31" type="noConversion"/>
  </si>
  <si>
    <t>五通一平</t>
    <phoneticPr fontId="31" type="noConversion"/>
  </si>
  <si>
    <t>四通一平</t>
    <phoneticPr fontId="31" type="noConversion"/>
  </si>
  <si>
    <t>较好</t>
  </si>
  <si>
    <t>较好</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</si>
  <si>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</si>
  <si>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</si>
  <si>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</si>
  <si>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</si>
  <si>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</si>
  <si>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</si>
  <si>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重庆监测指标情况一览表</t>
  </si>
  <si>
    <t>时间</t>
  </si>
  <si>
    <t>水平值</t>
  </si>
  <si>
    <t>环比增长率</t>
  </si>
  <si>
    <t>指数</t>
  </si>
  <si>
    <t>住宅</t>
    <phoneticPr fontId="143" type="noConversion"/>
  </si>
  <si>
    <t>商服</t>
    <phoneticPr fontId="143" type="noConversion"/>
  </si>
  <si>
    <t>正常</t>
  </si>
  <si>
    <t>一般</t>
  </si>
  <si>
    <t>好</t>
  </si>
  <si>
    <t>住宅</t>
    <phoneticPr fontId="31" type="noConversion"/>
  </si>
  <si>
    <t>地块编号</t>
  </si>
  <si>
    <t>公告编号</t>
  </si>
  <si>
    <t>两江新区鱼嘴组团P分区P7-1/01(部分)号宗地</t>
  </si>
  <si>
    <t>商业/办公用地</t>
  </si>
  <si>
    <t>B29-其它商务用地(生产性服务业用地)</t>
  </si>
  <si>
    <t>2018-03-27</t>
  </si>
  <si>
    <t>渝[2018]7号-2</t>
  </si>
  <si>
    <t>重庆聚祥燃气有限公司、重庆长兴渝电力服务股份有限公司</t>
  </si>
  <si>
    <t>2018-01-18</t>
  </si>
  <si>
    <t>江北区大石坝组团L分区L10-12/02(部分)号宗地</t>
  </si>
  <si>
    <t>商业用地、商务用地</t>
  </si>
  <si>
    <t>≥1并且≤4.5</t>
  </si>
  <si>
    <t>2017-05-05</t>
  </si>
  <si>
    <t>渝[2017]12号-4</t>
  </si>
  <si>
    <t>重庆祺宝汽车销售服务有限公司</t>
  </si>
  <si>
    <t>渝中区渝中组团H分区3-4/03、3-9-1/03、3-6/03号宗地</t>
  </si>
  <si>
    <t>公园绿地、商业用地、商务用地、社会停车场用地</t>
  </si>
  <si>
    <t>≤1.38</t>
  </si>
  <si>
    <t>2016-10-20</t>
  </si>
  <si>
    <t>渝国土房管告字[2016]31号-3</t>
  </si>
  <si>
    <t>杭州新天地集团有限公司</t>
  </si>
  <si>
    <t>40年、50年</t>
  </si>
  <si>
    <t>2016-09-09</t>
  </si>
  <si>
    <t>江北区观音桥组团O07-1/02、O07-2/02号宗地</t>
  </si>
  <si>
    <t>商业用地、商务用地、社会停车场用地</t>
  </si>
  <si>
    <t>＞1且≤1.37</t>
  </si>
  <si>
    <t>2016-07-12</t>
  </si>
  <si>
    <t>渝国土房管告字[2016]19号-1</t>
  </si>
  <si>
    <t>重庆市澜凯房地产开发有限公司</t>
  </si>
  <si>
    <t>渝中区渝中组团J分区J9-2/03号宗地</t>
  </si>
  <si>
    <t>大于1并且小于或等于2.25</t>
  </si>
  <si>
    <t>2016-05-17</t>
  </si>
  <si>
    <t>渝国土房管告字[2016]11号</t>
  </si>
  <si>
    <t>重庆市诚投房地产开发有限公司</t>
  </si>
  <si>
    <t>两江新区鱼嘴组团Q分区Q13-3/01号宗地</t>
  </si>
  <si>
    <t>≤0.8</t>
  </si>
  <si>
    <t>2016-01-13</t>
  </si>
  <si>
    <t>渝国土房管告字[2015]63号-2</t>
  </si>
  <si>
    <t>重庆两江新区鱼复工业园建设投资有限公司</t>
  </si>
  <si>
    <t>两江新区鱼嘴组团A分区A01-4/03号宗地</t>
  </si>
  <si>
    <t>≤2.5</t>
  </si>
  <si>
    <t>渝国土房管告字[2015]63号-1</t>
  </si>
  <si>
    <t>两江新区鱼嘴组团C标准分区C7-3/01号宗地</t>
  </si>
  <si>
    <t>商业用地</t>
  </si>
  <si>
    <t>大于1并且小于或等于2</t>
  </si>
  <si>
    <t>2015-12-21</t>
  </si>
  <si>
    <t>渝国土房管告字[2015]56号-1</t>
  </si>
  <si>
    <t>两江新区鱼嘴组团M标准分区M21/01、M23-1/01号宗地</t>
  </si>
  <si>
    <t>大于1并且小于或等于2.5</t>
  </si>
  <si>
    <t>2015-12-04</t>
  </si>
  <si>
    <t>渝国土房管告字[2015]52号-2</t>
  </si>
  <si>
    <t>重庆两江新区置业发展有限公司</t>
  </si>
  <si>
    <t>两江新区鱼嘴组团P标准分区P22-2/02、P26-2/03号宗地</t>
  </si>
  <si>
    <t>小于或等于2.1</t>
  </si>
  <si>
    <t>2015-11-27</t>
  </si>
  <si>
    <t>渝国土房管告字[2015]51号-4</t>
  </si>
  <si>
    <t>重庆两江新区格力地产有限公司</t>
  </si>
  <si>
    <t>渝中区渝中组团E分区E18-2号宗地</t>
  </si>
  <si>
    <t>文化设施用地、娱乐用地、商业用地、商务用地</t>
  </si>
  <si>
    <t>≤19.8</t>
  </si>
  <si>
    <t>2015-09-28</t>
  </si>
  <si>
    <t>渝国土房管告字[2015]41号-7</t>
  </si>
  <si>
    <t>重庆新华书店集团公司、重庆新华传媒有限公司、重庆北青实业有限公司</t>
  </si>
  <si>
    <t>江北区唐家沱组团E分区E28-1/02号宗地</t>
  </si>
  <si>
    <t>≤2</t>
  </si>
  <si>
    <t>渝国土房管告字[2015]41号-1</t>
  </si>
  <si>
    <t>重庆市港城工业园区建设有限公司</t>
  </si>
  <si>
    <t>两江新区鱼嘴组团P标准分区P8-1/01、P8-3/01号宗地</t>
  </si>
  <si>
    <t>≤1.5</t>
  </si>
  <si>
    <t>渝国土房管告字[2015]41号-8</t>
  </si>
  <si>
    <t>重庆绿满川农业发展有限公司</t>
  </si>
  <si>
    <t>渝北区两路组团S标准分区S61-1(部分)、S64-1(部分)、S68-1/02、S69-3/02(部分)、S74-1(部分)、S75-1、S79-1/02、S80-1/02(部分)、S81-1/02(部分)号宗地</t>
  </si>
  <si>
    <t>商业用地、商务用地、社会停车场用地、公共交通场站用地</t>
  </si>
  <si>
    <t>＞1并且≤1.48</t>
  </si>
  <si>
    <t>2018-02-27</t>
  </si>
  <si>
    <t>渝[2018]5号-1</t>
  </si>
  <si>
    <t>重庆仙桃数据谷投资管理有限公司</t>
  </si>
  <si>
    <t>两江新区人和组团M分区M9-2/02号宗地</t>
  </si>
  <si>
    <t>其它商务用地、防护绿地</t>
  </si>
  <si>
    <t>2017-08-17</t>
  </si>
  <si>
    <t>渝[2017]26号-2</t>
  </si>
  <si>
    <t>重庆康田置业(集团)有限公司</t>
  </si>
  <si>
    <t>渝北区人和组团B分区25-3号宗地</t>
  </si>
  <si>
    <t>＞1并且≤4</t>
  </si>
  <si>
    <t>重庆飞洋控股(集团)有限公司、重庆创拓房地产开发有限公司</t>
  </si>
  <si>
    <t>两江新区礼嘉组团B标准分区B13-3-1/04、B21-4-2/07、B21-3-2/06、B13-4-2/06号宗地</t>
  </si>
  <si>
    <t>娱乐康体用地、商业用地</t>
  </si>
  <si>
    <t>≥1并且≤1.5</t>
  </si>
  <si>
    <t>2017-06-07</t>
  </si>
  <si>
    <t>渝[2017]16号-4</t>
  </si>
  <si>
    <t>重庆华侨城实业发展有限公司</t>
  </si>
  <si>
    <t>两江新区大竹林组团O分区O9-7/05(部分)宗地</t>
  </si>
  <si>
    <t>商业商务用地</t>
  </si>
  <si>
    <t>2017-05-16</t>
  </si>
  <si>
    <t>渝[2017]13号-3</t>
  </si>
  <si>
    <t>重庆城市综合交通枢纽(集团)有限公司</t>
  </si>
  <si>
    <t>两江新区龙兴组团C标准分区C59-1/02、C60-1/02号宗地</t>
  </si>
  <si>
    <t>其他商服用地</t>
  </si>
  <si>
    <t>＞1,≤1.8</t>
  </si>
  <si>
    <t>2017-03-28</t>
  </si>
  <si>
    <t>渝[2017]7号-5</t>
  </si>
  <si>
    <t>重庆两江新区产业发展集团有限公司</t>
  </si>
  <si>
    <t>两江新区龙兴组团C标准分区C64*-1/02号宗地</t>
  </si>
  <si>
    <t>渝[2017]7号-4</t>
  </si>
  <si>
    <t>两江新区两路组团J分区J15-1-2/05号宗地</t>
  </si>
  <si>
    <t>＞1且≤2</t>
  </si>
  <si>
    <t>2017-03-13</t>
  </si>
  <si>
    <t>渝[2017]5号-1</t>
  </si>
  <si>
    <t>重庆保税港区开发管理集团有限公司</t>
  </si>
  <si>
    <t>渝北区两路组团G分区G45-1-2/02号宗地</t>
  </si>
  <si>
    <t>2016-12-12</t>
  </si>
  <si>
    <t>渝国土房管告字[2016]38号-2</t>
  </si>
  <si>
    <t>重庆华星锦业汽车销售服务有限公司、重庆北部农业开发(集团)有限公司</t>
  </si>
  <si>
    <t>渝北区两路街道原双凤桥街道新华村1社地块</t>
  </si>
  <si>
    <t>批发零售用地</t>
  </si>
  <si>
    <t>等于1.5</t>
  </si>
  <si>
    <t>2016-06-02</t>
  </si>
  <si>
    <t>渝国土房管告字[2016]14号-1</t>
  </si>
  <si>
    <t>重庆工贸实业(集团)有限责任公司</t>
  </si>
  <si>
    <t>北部新区人和(原北部新区金山组团)组团C分区C28-1-4/07、C35-1-1/05、C35-1-5/05号宗地</t>
  </si>
  <si>
    <t>≤3.2</t>
  </si>
  <si>
    <t>2016-05-09</t>
  </si>
  <si>
    <t>渝国土房管告字[2016]10号-1</t>
  </si>
  <si>
    <t>重庆美联国际物流有限公司、重庆中美恒置业有限公司</t>
  </si>
  <si>
    <t>50年</t>
  </si>
  <si>
    <t>两江新区悦来组团D分区D06/04部分宗地</t>
  </si>
  <si>
    <t>≤1.3</t>
  </si>
  <si>
    <t>2016-01-20</t>
  </si>
  <si>
    <t>渝国土房管告字[2015]64号-6</t>
  </si>
  <si>
    <t>重庆悦来投资集团有限公司</t>
  </si>
  <si>
    <t>渝北区两路组团E标准分区E25-1/02号宗地</t>
  </si>
  <si>
    <t>2015-12-25</t>
  </si>
  <si>
    <t>渝国土房管告字[2015]59号-3</t>
  </si>
  <si>
    <t>重庆重之龙商贸有限公司、华成置业有限公司</t>
  </si>
  <si>
    <t>商业40年</t>
  </si>
  <si>
    <t>两江新区龙兴组团I分区I05-2/01号宗地</t>
  </si>
  <si>
    <t>商务商业用地</t>
  </si>
  <si>
    <t>大于1并且小于或等于1</t>
  </si>
  <si>
    <t>渝国土房管告字[2015]52号-1</t>
  </si>
  <si>
    <t>重庆古堡酒店管理有限公司</t>
  </si>
  <si>
    <t>两江新区龙兴组团G14-1/01、G14-1/02号(部分2)宗地</t>
  </si>
  <si>
    <t>Z15004</t>
  </si>
  <si>
    <t>小于或等于0.98</t>
  </si>
  <si>
    <t>2015-11-30</t>
  </si>
  <si>
    <t>渝地转告字[2015]3号-2</t>
  </si>
  <si>
    <t>重庆龙天下农业开发有限责任公司</t>
  </si>
  <si>
    <t>至2052年12月30日止</t>
  </si>
  <si>
    <t>两江新区龙兴组团G14-1/01、G14-1/02号(部分1)宗地</t>
  </si>
  <si>
    <t>Z15003</t>
  </si>
  <si>
    <t>小于或等于1.3</t>
  </si>
  <si>
    <t>渝地转告字[2015]3号-1</t>
  </si>
  <si>
    <t>重庆泽胜文化旅游发展有限公司</t>
  </si>
  <si>
    <t>渝北区两路组团G标准分区G42-1/04、Ga20-1/02号宗地</t>
  </si>
  <si>
    <t>小于或等于2.2</t>
  </si>
  <si>
    <t>渝国土房管告字[2015]50号-1</t>
  </si>
  <si>
    <t>竞得方信息暂无,待成交公告公布后补齐</t>
  </si>
  <si>
    <t>2015-11-20</t>
  </si>
  <si>
    <t>两江新区龙兴组团A标准分区A9/01号宗地</t>
  </si>
  <si>
    <t>小于或等于1.5</t>
  </si>
  <si>
    <t>渝国土房管告字[2015]49号-2</t>
  </si>
  <si>
    <t>两江新区龙兴组团A标准分区A2-2/01号宗地</t>
  </si>
  <si>
    <t>B9-其它服务设施用地</t>
  </si>
  <si>
    <t>渝国土房管告字[2015]49号-3</t>
  </si>
  <si>
    <t>东方时尚驾驶学校股份有限公司、重庆灿金投资有限公司</t>
  </si>
  <si>
    <t>两江新区龙兴组团J标准分区J48-1/01、J49-1/01、J50-1/01、J51-1/01号宗地</t>
  </si>
  <si>
    <t>其他商务用地(生产性服务业用地)、商业用地、商务用地、娱乐康体用地</t>
  </si>
  <si>
    <t>小于或等于1.54</t>
  </si>
  <si>
    <t>2015-11-09</t>
  </si>
  <si>
    <t>渝国土房管告字[2015]46号-2</t>
  </si>
  <si>
    <t>重庆乐视界置业发展有限公司</t>
  </si>
  <si>
    <t>六通</t>
  </si>
  <si>
    <t>40年</t>
    <phoneticPr fontId="31" type="noConversion"/>
  </si>
  <si>
    <t>商业</t>
    <phoneticPr fontId="3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</si>
  <si>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</si>
  <si>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</si>
  <si>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周边居住用地比例、居住小区规模和社区发展完善程度</t>
    <phoneticPr fontId="41" type="noConversion"/>
  </si>
  <si>
    <t>周边道路状况、公共交通通达情况、停车便捷程度（地铁三号线观音桥</t>
    <phoneticPr fontId="41" type="noConversion"/>
  </si>
  <si>
    <t>江北一支路</t>
    <phoneticPr fontId="31" type="noConversion"/>
  </si>
  <si>
    <t>北滨一路</t>
    <phoneticPr fontId="31" type="noConversion"/>
  </si>
  <si>
    <t>江</t>
    <phoneticPr fontId="31" type="noConversion"/>
  </si>
  <si>
    <t>九龙坡区大渡口组团I分区I10-2-2/03号宗地</t>
  </si>
  <si>
    <t>＞1并且≤2</t>
  </si>
  <si>
    <t>2018-06-26</t>
  </si>
  <si>
    <t>渝[2018]21号-1</t>
  </si>
  <si>
    <t>重庆酒宜实业有限公司、重庆陆幺陆实业有限公司</t>
  </si>
  <si>
    <t>沙坪坝区西永组团I标准分区I64-01/05、I67-01/05号宗地</t>
  </si>
  <si>
    <t>零售商业用地</t>
  </si>
  <si>
    <t>≤1</t>
  </si>
  <si>
    <t>渝[2018]7号-3</t>
  </si>
  <si>
    <t>Summer*Rhythm*Limited</t>
  </si>
  <si>
    <t>2018-01-30</t>
  </si>
  <si>
    <t>渝[2018]1号-2</t>
  </si>
  <si>
    <t>沙坪坝区西永组团L标准分区L70/04(部分)号宗地</t>
  </si>
  <si>
    <t>娱乐健康用地、商业用地</t>
  </si>
  <si>
    <t>≤0.36</t>
  </si>
  <si>
    <t>2017-12-13</t>
  </si>
  <si>
    <t>渝[2017]46号-2</t>
  </si>
  <si>
    <t>大连万达商业地产股份有限公司</t>
  </si>
  <si>
    <t>九龙坡区大杨石组团H分区H10-2/02号宗地</t>
  </si>
  <si>
    <t>≤6</t>
  </si>
  <si>
    <t>2017-12-11</t>
  </si>
  <si>
    <t>渝[2017]45号-2</t>
  </si>
  <si>
    <t>华硕电脑(重庆)有限公司</t>
  </si>
  <si>
    <t>沙坪坝区沙坪坝组团A标准分区A03-10/02号宗地</t>
  </si>
  <si>
    <t>＞1并且≤1.1</t>
  </si>
  <si>
    <t>渝[2017]26号-1</t>
  </si>
  <si>
    <t>金融街重庆裕隆实业有限公司</t>
  </si>
  <si>
    <t>沙坪坝区沙坪坝组团D分区D11-1/04、D11-2/04号</t>
  </si>
  <si>
    <t>≥1并且≤5.9</t>
  </si>
  <si>
    <t>2017-06-16</t>
  </si>
  <si>
    <t>渝[2017]18号-4</t>
  </si>
  <si>
    <t>重庆龙湖地产发展有限公司</t>
  </si>
  <si>
    <t>沙坪坝区沙坪坝组团A标准分区A03-10/02、A03-11/02号宗地</t>
  </si>
  <si>
    <t>2017-02-09</t>
  </si>
  <si>
    <t>渝[2017]3号-4</t>
  </si>
  <si>
    <t>金融街重庆置业有限公司</t>
  </si>
  <si>
    <t>沙坪坝区西永组团L分区L70/04号宗地</t>
  </si>
  <si>
    <t>2017-01-26</t>
  </si>
  <si>
    <t>渝国[2017]2号-5</t>
  </si>
  <si>
    <t>九龙坡区大杨石组团W分区W01-3-2/05、W01-10/04(地下空间)号宗地</t>
  </si>
  <si>
    <t>商业商务混合用地、公园绿地兼容娱乐康体及社会停车场用地</t>
  </si>
  <si>
    <t>≤3.11</t>
  </si>
  <si>
    <t>渝国土房管告字[2016]46号-7</t>
  </si>
  <si>
    <t>重庆五洲世纪文化产业投资集团有限公司、重庆国洲文化产业有限公司</t>
  </si>
  <si>
    <t>沙坪坝区大杨石组团A分区A10/03号宗地</t>
  </si>
  <si>
    <t>≤2.73</t>
  </si>
  <si>
    <t>2016-12-20</t>
  </si>
  <si>
    <t>渝国土房管告字[2016]40号-1</t>
  </si>
  <si>
    <t>2016-09-20</t>
  </si>
  <si>
    <t>沙坪坝区西永组团L标准分区L68/05号宗地</t>
  </si>
  <si>
    <t>商业用地、娱乐康体用地</t>
  </si>
  <si>
    <t>≤0.84</t>
  </si>
  <si>
    <t>渝国土房管告字[2016]28号-3</t>
  </si>
  <si>
    <t>重庆万达城投资有限公司</t>
  </si>
  <si>
    <t>沙坪坝区西永组团L标准分区L83-1/01号宗地</t>
  </si>
  <si>
    <t>≤4.5</t>
  </si>
  <si>
    <t>渝国土房管告字[2016]28号-4</t>
  </si>
  <si>
    <t>沙坪坝区沙坪坝组团D分区D5-1/04号宗地</t>
  </si>
  <si>
    <t>≥8.0</t>
  </si>
  <si>
    <t>2016-08-19</t>
  </si>
  <si>
    <t>渝国土房管告字[2016]24号-1</t>
  </si>
  <si>
    <t>重庆迈瑞城市建设投资有限责任公司</t>
  </si>
  <si>
    <t>九龙坡区西永组团Ab分区Ab21-3/03号宗地</t>
  </si>
  <si>
    <t>等于0.53</t>
  </si>
  <si>
    <t>2016-06-28</t>
  </si>
  <si>
    <t>渝国土房管告字[2016]18号-3</t>
  </si>
  <si>
    <t>重庆市粮油批发市场有限责任公司</t>
  </si>
  <si>
    <t>九龙坡区大杨石组团Q分区QF3-6-1/04(地下)号宗地</t>
  </si>
  <si>
    <t>商业服务业设施用地、社会停车场用地(地下用地性质)</t>
  </si>
  <si>
    <t>≤2.9</t>
  </si>
  <si>
    <t>渝国土房管告字[2015]64号-2</t>
  </si>
  <si>
    <t>重庆德兴胜大置业有限公司、重庆融和茂科技有限公司</t>
  </si>
  <si>
    <t>2015-12-30</t>
  </si>
  <si>
    <t>沙坪坝区西永组团J分区J02-01/04、J02-03/03号宗地</t>
  </si>
  <si>
    <t>商业用地,商务用地</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</si>
  <si>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</si>
  <si>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</si>
  <si>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</si>
  <si>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</si>
  <si>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</si>
  <si>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</si>
  <si>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沙坪坝区西永组团I标准分区I27-01/03、I29-01/03、I31-01/02号宗地</t>
  </si>
  <si>
    <t>＞1并且≤1.9</t>
  </si>
  <si>
    <t>2018-08-03</t>
  </si>
  <si>
    <t>渝[2018]25号-1</t>
  </si>
  <si>
    <t>北京远坤房地产开发有限公司</t>
  </si>
  <si>
    <t>沙坪坝区西永K、W组团W分区W05-1/02、W03-10/02、W03-7/02、W03-3/02号宗地</t>
  </si>
  <si>
    <t>2018-06-28</t>
  </si>
  <si>
    <t>渝[2018]23号-3</t>
  </si>
  <si>
    <t>成都市朗升房地产开发有限公司、朗基地产集团有限公司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</si>
  <si>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</si>
  <si>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</si>
  <si>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</si>
  <si>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</si>
  <si>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</si>
  <si>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</si>
  <si>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</si>
  <si>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</si>
  <si>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渝[2018]14号-3</t>
  </si>
  <si>
    <t>北京首钢房地产开发有限公司</t>
  </si>
  <si>
    <t>两江新区两路组团C分区C126-1-1/04、C126-1-2/04、C127-1/03、C128-1/03、C129-1/03号宗地</t>
  </si>
  <si>
    <t>渝[2018]7号-1</t>
  </si>
  <si>
    <t>万科(重庆)房地产有限公司</t>
  </si>
  <si>
    <t>两江新区两路组团C分区C119-1/03、C123-1/04、C120-1/03号宗地</t>
  </si>
  <si>
    <t>沙坪坝区西永组团L标准分区L63-1/06、L63-2/06号宗地</t>
  </si>
  <si>
    <t>＞1并且≤2.5</t>
  </si>
  <si>
    <t>绿城房地产集团有限公司、重庆天拓置业发展有限公司</t>
  </si>
  <si>
    <t>两江新区两路组团J分区J01-2/04、J02/04、J03-1/04、J04/04号宗地</t>
  </si>
  <si>
    <t>重庆招商依城房地产开发有限公司</t>
  </si>
  <si>
    <t>渝[2018]4号-1</t>
  </si>
  <si>
    <t>九龙坡区大杨石组团V分区V08-3/05、V09-2/03号、V11-1-2/04号宗地</t>
  </si>
  <si>
    <t>中建信和地产有限公司</t>
  </si>
  <si>
    <t>沙坪坝区西永组团L标准分区L18-1/05号宗地</t>
  </si>
  <si>
    <t>渝[2017]52号-5</t>
  </si>
  <si>
    <t>金科地产集团股份有限公司、贵阳市美的房地产发展有限公司、福建中骏置业有限公司、南充世纪城(中南)房地产开发有限责任公司</t>
  </si>
  <si>
    <t>两江新区大竹林组团G分区G10-1/05号宗地</t>
  </si>
  <si>
    <t>2018-01-04</t>
  </si>
  <si>
    <t>渝[2017]51号-1</t>
  </si>
  <si>
    <t>深圳安创投资管理有限公司、重庆龙湖地产发展有限公司</t>
  </si>
  <si>
    <t>两江新区悦来组团C分区C53/05号宗地</t>
  </si>
  <si>
    <t>渝[2017]45号-3</t>
  </si>
  <si>
    <t>宁波投创荣安置业有限公司</t>
  </si>
  <si>
    <t>两江新区两路组团C标准分区C27-1/04、C28-1-1/04号宗地</t>
  </si>
  <si>
    <t>＞1并且≤1.7</t>
  </si>
  <si>
    <t>2017-09-27</t>
  </si>
  <si>
    <t>渝[2017]34号-2</t>
  </si>
  <si>
    <t>两江新区两路组团C标准分区C28-2-1/03、C28-2-4/03、C30-1-1/03、C28-2-3/03、C29-1-1/03(部分)、C30-1-3/03、C30-1-4/03号宗地</t>
  </si>
  <si>
    <t>＞1并且≤1.8</t>
  </si>
  <si>
    <t>渝[2017]33号-1</t>
  </si>
  <si>
    <t>九龙坡区大杨石组团G分区G14-5-1/04号宗地</t>
  </si>
  <si>
    <t>≥1并且≤3.5</t>
  </si>
  <si>
    <t>2017-08-31</t>
  </si>
  <si>
    <t>渝[2017]30号-1</t>
  </si>
  <si>
    <t>重庆象屿置业有限公司</t>
  </si>
  <si>
    <t>两江新区两路组团J分区J06-1/06号宗地</t>
  </si>
  <si>
    <t>≥1并且≤2.5</t>
  </si>
  <si>
    <t>渝[2017]30号-2</t>
  </si>
  <si>
    <t>浙江佳源房地产集团有限公司、重庆佳源中恒文化旅游开发有限公司、中农国信控股集团有限公司</t>
  </si>
  <si>
    <t>两江新区两路组团I分区I49-5/03、I50-1/03、I51/03号宗地</t>
  </si>
  <si>
    <t>≥1并且≤2.7</t>
  </si>
  <si>
    <t>两江新区两路组团J分区J05/05号宗地</t>
  </si>
  <si>
    <t>两江新区礼嘉组团A标准分区A21-4-1/06、A21-4-2/06、A22-1/06、A22-2/06号宗地</t>
  </si>
  <si>
    <t>≥1并且≤1.35</t>
  </si>
  <si>
    <t>2017-08-30</t>
  </si>
  <si>
    <t>渝[2017]29号-2</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</si>
  <si>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</si>
  <si>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</si>
  <si>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</si>
  <si>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</si>
  <si>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</si>
  <si>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</si>
  <si>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</si>
  <si>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渝[2017]28号-2</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</si>
  <si>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</si>
  <si>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</si>
  <si>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</si>
  <si>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</si>
  <si>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渝[2017]27号</t>
  </si>
  <si>
    <t>沙坪坝区西永组团C分区C20-4-1-1/03号宗地</t>
  </si>
  <si>
    <t>＞1并且≤1.2</t>
  </si>
  <si>
    <t>重庆国盛滨溪房地产开发有限公司</t>
  </si>
  <si>
    <t>两江新区龙兴组团H分区H35-1/02、H38-1/02、H42-1/02、H44-1/02、H49-1/02号宗地</t>
  </si>
  <si>
    <t>≥1并且≤1</t>
  </si>
  <si>
    <t>2017-07-31</t>
  </si>
  <si>
    <t>渝[2017]25号-4</t>
  </si>
  <si>
    <t>天津保盛乾元企业管理合伙企业(有限合伙)、北京方兴亦城置业有限公司</t>
  </si>
  <si>
    <t>渝[2017]20号-3</t>
  </si>
  <si>
    <t>渝北区大石坝组团B分区27-1号宗地</t>
  </si>
  <si>
    <t>2017-06-27</t>
  </si>
  <si>
    <t>渝[2017]19号-1</t>
  </si>
  <si>
    <t>绿城房地产集团有限公司</t>
  </si>
  <si>
    <t>沙坪坝区西永组团L标准分区L39-6/03、L39-7/04、L21-1-1/05、L22-1/05号宗地</t>
  </si>
  <si>
    <t>深圳联新投资管理有限公司、重庆龙湖企业拓展有限公司</t>
  </si>
  <si>
    <t>沙坪坝区西永组团L标准分区L01-1/04、L01-3/04号宗地</t>
  </si>
  <si>
    <t>≥1并且≤2.2</t>
  </si>
  <si>
    <t>渝[2017]16号-3</t>
  </si>
  <si>
    <t>重庆金科房地产开发有限公司</t>
  </si>
  <si>
    <t>沙坪坝区沙坪坝组团B分区B11-2-2/03号宗地</t>
  </si>
  <si>
    <t>2017-04-18</t>
  </si>
  <si>
    <t>渝[2017]10号-1</t>
  </si>
  <si>
    <t>重庆市垫江县碧桂园房地产开发有限公司</t>
  </si>
  <si>
    <t>九龙坡区大杨石组团L分区L10-4-1/03、LB9-1/06号宗地</t>
  </si>
  <si>
    <t>2017-03-24</t>
  </si>
  <si>
    <t>渝[2017]6号-1</t>
  </si>
  <si>
    <t>两江新区龙兴组团F标准分区F12-1/03号宗地</t>
  </si>
  <si>
    <t>≤1.0</t>
  </si>
  <si>
    <t>2017-02-15</t>
  </si>
  <si>
    <t>渝[2017]4号-1</t>
  </si>
  <si>
    <t>九龙坡区大杨石组团D分区D5-3/03、D8-2-1/04号宗地</t>
  </si>
  <si>
    <t>≤2.25</t>
  </si>
  <si>
    <t>2017-02-10</t>
  </si>
  <si>
    <t>渝[2017]3号-3</t>
  </si>
  <si>
    <t>四川蓝光和骏实业有限公司</t>
  </si>
  <si>
    <t>沙坪坝区西永组团L标准分区L73-1/01、L73-2/02、L73-4/02、L73-10/02号宗地</t>
  </si>
  <si>
    <t>≤2.6</t>
  </si>
  <si>
    <t>渝国[2017]2号-2</t>
  </si>
  <si>
    <t>沙坪坝区西永组团L标准分区L67-3/06、L72-7/02、L72-8/02、L72-4/01号宗地</t>
  </si>
  <si>
    <t>≤1.77</t>
  </si>
  <si>
    <t>渝国[2017]2号-3</t>
  </si>
  <si>
    <t>两江新区悦来组团D分区D02-2/05、D04-4/05、D03-2/06、D04-1-1/07号宗地</t>
  </si>
  <si>
    <t>≤2.11</t>
  </si>
  <si>
    <t>2017-01-25</t>
  </si>
  <si>
    <t>渝国[2017]1号-1</t>
  </si>
  <si>
    <t>四川友华房地产开发有限公司、自贡市龙宇置业有限公司</t>
  </si>
  <si>
    <t>沙坪坝区西永组团W标准分区W13-1/02、W14-1/02、W15-1/02号宗地</t>
  </si>
  <si>
    <t>＞1且≤1.5</t>
  </si>
  <si>
    <t>2017-01-20</t>
  </si>
  <si>
    <t>渝[2016]48号-3</t>
  </si>
  <si>
    <t>两江新区龙兴组团H分区H58-1/02、H63-1/02、H65-1/01、H69-1/01号宗地</t>
  </si>
  <si>
    <t>渝国土房管告字[2016]43号-4</t>
  </si>
  <si>
    <t>两江新区龙兴组团H分区H56-1/01、H62-1/01、H64-1/01、H68-1/01号宗地</t>
  </si>
  <si>
    <t>渝国土房管告字[2016]43号-5</t>
  </si>
  <si>
    <t>两江新区龙兴组团H标准分区H60-1/02、H61-1/02、H66-1/02、H67-1/01、H69-2/01号宗地</t>
  </si>
  <si>
    <t>渝国土房管告字[2016]43号-3</t>
  </si>
  <si>
    <t>两江新区大竹林组团G标准分区G13-5-4/04号宗地</t>
  </si>
  <si>
    <t>渝国土房管告字[2016]38号-1</t>
  </si>
  <si>
    <t>九龙坡区西彭组团C标准分区C30-1/03地块</t>
  </si>
  <si>
    <t>2016-11-10</t>
  </si>
  <si>
    <t>渝国土房管告字[2016]33号-2</t>
  </si>
  <si>
    <t>重庆创大地产集团有限公司</t>
  </si>
  <si>
    <t>两江新区悦来组团C分区C71-2/05、C74/05、C75-2/05、C81/05、C82/05、C83-3/05、C83-2/05、C84/05、C60-1/05、C61-2/05号宗地</t>
  </si>
  <si>
    <t>二类居住用地、服务设施用地、商业用地、商务用地</t>
  </si>
  <si>
    <t>＞1并且＜2.39</t>
  </si>
  <si>
    <t>渝[2018]23号-2</t>
  </si>
  <si>
    <t>重庆华宇业和实业有限公司、重庆辉沛企业管理有限公司、重庆华侨城实业发展有限公司</t>
  </si>
  <si>
    <t>两江新区悦来组团C分区C89/05、C60-2/06、C79-2/05、C78-2/05、C73/05、C76/05、C75-1/05号宗地</t>
  </si>
  <si>
    <t>二类居住用地、商业用地、商务用地、娱乐康体用地、其他商务用地</t>
  </si>
  <si>
    <t>＞1并且≤2.7</t>
  </si>
  <si>
    <t>2018-06-27</t>
  </si>
  <si>
    <t>渝[2018]22号-1</t>
  </si>
  <si>
    <t>重庆辉沛企业管理有限公司、重庆华宇集团有限公司、重庆华宇业帆实业有限公司、重庆华侨城实业发展有限公司</t>
  </si>
  <si>
    <t>沙坪坝区西永组团M标准分区M40-1-1/04、M40-1-3/04、M43-2/05、M45-2/03号宗地</t>
  </si>
  <si>
    <t>＞1并且≤2.3</t>
  </si>
  <si>
    <t>渝[2018]21号-3</t>
  </si>
  <si>
    <t>重庆华润置地发展有限公司</t>
  </si>
  <si>
    <t>沙坪坝区大杨石组团C分区C11-1/03号宗地</t>
  </si>
  <si>
    <t>渝[2018]14号-2</t>
  </si>
  <si>
    <t>南京红太阳房地产开发有限公司</t>
  </si>
  <si>
    <t>两江新区两路组团I分区I45-4/03、I45-1/03、I45-5/03、I45-7/03、I46-1/03、I48-3/03、I49-8/03、I49-17/03号宗地</t>
  </si>
  <si>
    <t>美的西南房地产发展有限公司</t>
  </si>
  <si>
    <t>两江新区两路组团I分区I6-1/03、I7-4/03、I7-5/03、I7-8/03、I10-3/03、I11-1/03、I11-2/03、I12-2/03、I16-3/04号宗地</t>
  </si>
  <si>
    <t>沙坪坝区西永组团C标准分区C2-1-2/02号宗地</t>
  </si>
  <si>
    <t>远洋朗基置业有限公司、朗基地产集团有限公司</t>
  </si>
  <si>
    <t>两江新区龙兴组团H分区H70-4/01、H72-1/01、H73-2/01、H74-1/01、H76/01、H77/01号宗地</t>
  </si>
  <si>
    <t>商业用地、商务用地、二类居住用地、社会停车场用地</t>
  </si>
  <si>
    <t>2018-05-04</t>
  </si>
  <si>
    <t>渝[2018]13号-2</t>
  </si>
  <si>
    <t>重庆两江新区龙湖新御置业发展有限公司</t>
  </si>
  <si>
    <t>渝[2018]12号-2</t>
  </si>
  <si>
    <t>两江新区悦来组团C分区C62-2/06、C62-3-3/05、C63/05、C64/05、C65-1/05、C66/05、C67/05、C68/05、C69-1/05、C69-2/05号宗地</t>
  </si>
  <si>
    <t>二类居住用地、娱乐康体用地、其他商务设施用地、文化设施用地、服务设施用地、商业用地</t>
  </si>
  <si>
    <t>＞1并且≤2.58</t>
  </si>
  <si>
    <t>2018-04-04</t>
  </si>
  <si>
    <t>渝[2018]9号</t>
  </si>
  <si>
    <t>两江新区龙兴组团H分区H13-1/01、H16-1/01、H17-1/01、H17-2/01、H19-1/01、H26-1/01号宗地</t>
  </si>
  <si>
    <t>其他服务设施用地(民办学校)、二类居住用地、商业用地、行政办公用地</t>
  </si>
  <si>
    <t>＞1并且≤1.04</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</si>
  <si>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</si>
  <si>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</si>
  <si>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</si>
  <si>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</si>
  <si>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</si>
  <si>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</si>
  <si>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九龙坡区中梁山组团I分区I07-02/04号宗地</t>
  </si>
  <si>
    <t>二类居住兼容商业商务用地</t>
  </si>
  <si>
    <t>＞1并且≤1.79</t>
  </si>
  <si>
    <t>渝[2018]5号-4</t>
  </si>
  <si>
    <t>中昂地产(集团)有限公司</t>
  </si>
  <si>
    <t>两江新区龙兴组团K、H分区K28-1/01、H1-3/01、H2-3/01、H3-2/01、H4-2/01、H14-2/01、H24-3/01号宗地</t>
  </si>
  <si>
    <t>二类居住用地、商业用地、商务用地、其他服务设施用地(民办学校)</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</si>
  <si>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</si>
  <si>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</si>
  <si>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</si>
  <si>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</si>
  <si>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沙坪坝区沙坪坝组团F分区F6-1/01、F7/01号宗地</t>
  </si>
  <si>
    <t>二类居住用地、商业用地、商务用地、娱乐康体用地</t>
  </si>
  <si>
    <t>＞1并且≤3.26</t>
  </si>
  <si>
    <t>2018-02-08</t>
  </si>
  <si>
    <t>渝[2018]3号-1</t>
  </si>
  <si>
    <t>重庆旭鹏房地产开发有限公司、重庆辉沛企业管理有限公司</t>
  </si>
  <si>
    <t>沙坪坝区西永组团L标准分区L50/06、L52/06、L54/05号宗地</t>
  </si>
  <si>
    <t>渝[2018]1号-1</t>
  </si>
  <si>
    <t>沙坪坝区西永组团L标准分区L23-1/04、L23-2/04、L23-3/04、L23-4/04、L23-5/04、L23-6/04号宗地</t>
  </si>
  <si>
    <t>＞1并且≤2.54</t>
  </si>
  <si>
    <t>渝[2017]51号-3</t>
  </si>
  <si>
    <t>南充世纪城(中南)房地产开发有限责任公司</t>
  </si>
  <si>
    <t>沙坪坝区西永组团L标准分区L74-1/01、L74-2/01、L75-2/02、L75-4/02、*L79-5/02号宗地</t>
  </si>
  <si>
    <t>旅馆用地、商业用地、二类居住用地</t>
  </si>
  <si>
    <t>≤0.73</t>
  </si>
  <si>
    <t>九龙坡区大杨石组团R分区R18-9-1/04号宗地</t>
  </si>
  <si>
    <t>2017-11-17</t>
  </si>
  <si>
    <t>渝[2017]42号-1</t>
  </si>
  <si>
    <t>卓越置业集团有限公司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</si>
  <si>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</si>
  <si>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</si>
  <si>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</si>
  <si>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</si>
  <si>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</si>
  <si>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</si>
  <si>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＞1并且≤3.4</t>
  </si>
  <si>
    <t>2017-10-12</t>
  </si>
  <si>
    <t>渝[2017]38号-3</t>
  </si>
  <si>
    <t>重庆龙湖企业拓展有限公司、深圳联新投资管理有限公司</t>
  </si>
  <si>
    <t>两江新区龙兴组团C分区C51-1/01、C51-3/01、C51-4/01、C51-6/01、C51-8/01号宗地</t>
  </si>
  <si>
    <t>二类居住用地、其它商务用地(生产性服务业用地)</t>
  </si>
  <si>
    <t>2017-09-29</t>
  </si>
  <si>
    <t>渝[2017]36号-1</t>
  </si>
  <si>
    <t>重庆作平置业有限公司、重庆金可镂实业有限公司</t>
  </si>
  <si>
    <t>渝北区两路组团F分区F110-1/02、F111-1/02、F114-1/02、F114-2/02、F115-1/02、F115-2/02号宗地</t>
  </si>
  <si>
    <t>＞1并且≤3.6</t>
  </si>
  <si>
    <t>2017-09-28</t>
  </si>
  <si>
    <t>渝[2017]35号-3</t>
  </si>
  <si>
    <t>渝北区两路组团F分区F134-1、F135-1、F129-1、F131-1、F131-2号宗地</t>
  </si>
  <si>
    <t>创滔有限公司</t>
  </si>
  <si>
    <t>渝北区两路组团F分区F108-1、F107-2、F58-2、F63-1、F63-2、F64-1号宗地</t>
  </si>
  <si>
    <t>上海新城万嘉房地产有限公司</t>
  </si>
  <si>
    <t>渝[2017]32号-1</t>
  </si>
  <si>
    <t>渝北区观音桥组团C分区8-1/04、13-1/04、8-6/02号宗地</t>
  </si>
  <si>
    <t>二类居住用地、服务设施用地</t>
  </si>
  <si>
    <t>＞1并且≤4.3</t>
  </si>
  <si>
    <t>2017-09-08</t>
  </si>
  <si>
    <t>渝[2017]31号-1</t>
  </si>
  <si>
    <t>两江新区两路组团J分区J12-1/05、J01-17/05、J13-4/05、J13-13/05号宗地</t>
  </si>
  <si>
    <t>二类居住用地、医疗卫生用地</t>
  </si>
  <si>
    <t>≥1并且≤1.65</t>
  </si>
  <si>
    <t>两江新区大竹林组团O分区O01-4/05、O01-1/05、O01-2/05号宗地</t>
  </si>
  <si>
    <t>二类居住用地、一类居住用地、商业用地</t>
  </si>
  <si>
    <t>≥1并且≤1.13</t>
  </si>
  <si>
    <t>重庆怡置房地产开发有限公司、重庆新辰北兴企业管理有限公司</t>
  </si>
  <si>
    <t>两江新区礼嘉组团A标准分区A21-2-1/06、A23-2/05、A23-1/06号宗地</t>
  </si>
  <si>
    <t>一类居住用地、商业用地、二类居住用地</t>
  </si>
  <si>
    <t>≥1并且≤1.1</t>
  </si>
  <si>
    <t>两江新区龙兴组团H分区H30-1/02、H30-6-1/02、H31-1/02、H31-3/02、H34-1/02、H37-1/02号宗地</t>
  </si>
  <si>
    <t>两江新区龙兴组团H分区H46-1/01、H47-2/01、H48-2/01、H50-1/01、H51-2/01、H52-2/01号宗地</t>
  </si>
  <si>
    <t>≤0.7</t>
  </si>
  <si>
    <t>渝[2017]20号-2</t>
  </si>
  <si>
    <t>北京方兴亦城置业有限公司</t>
  </si>
  <si>
    <t>两江新区龙兴组团H分区H32-1/01、H32-3/01、H33-2/01、H33-4/01、H39-2/01、H40-1/01、H41-2/01、H45-1/01、H45-4/01号宗地</t>
  </si>
  <si>
    <t>其他普通商品住房用地</t>
  </si>
  <si>
    <t>＞1,≤1.1</t>
  </si>
  <si>
    <t>2017-04-21</t>
  </si>
  <si>
    <t>渝[2017]11号-2</t>
  </si>
  <si>
    <t>重庆中讯物业发展有限公司</t>
  </si>
  <si>
    <t>九龙坡区大杨石组团N分区N02-4-1/03、N02-4-2/03、N03-2/08、N03-3/06、N04-2/04、*N05-9/04、N05-1/05号宗地</t>
  </si>
  <si>
    <t>＞1,≤3.7</t>
  </si>
  <si>
    <t>2017-04-07</t>
  </si>
  <si>
    <t>渝[2017]9号-1</t>
  </si>
  <si>
    <t>重庆旭鹏房地产开发有限公司、重庆同原房地产开发有限公司</t>
  </si>
  <si>
    <t>九龙坡区西彭组团O分区O39-2/02号宗地</t>
  </si>
  <si>
    <t>＞1,≤2.2</t>
  </si>
  <si>
    <t>渝[2017]9号-2</t>
  </si>
  <si>
    <t>两江新区悦来组团C标准分区C11-2/05号宗地</t>
  </si>
  <si>
    <t>一类居住用地</t>
  </si>
  <si>
    <t>＞1,≤1</t>
  </si>
  <si>
    <t>2017-04-01</t>
  </si>
  <si>
    <t>渝[2017]8号-4</t>
  </si>
  <si>
    <t>渝北区两路组团A分区A062-1/03号宗地</t>
  </si>
  <si>
    <t>＞1,≤3.4</t>
  </si>
  <si>
    <t>渝[2017]8号-3</t>
  </si>
  <si>
    <t>两江新区两路组团C分区C66-2/02、*C67-4/03、C71-1/02、C72-1/02、C72-2/02、C72-3/02、C72-5/02、C85-1/03、C85-4/03、C85-7/03号宗地</t>
  </si>
  <si>
    <t>渝[2017]7号-6</t>
  </si>
  <si>
    <t>沙坪坝区沙坪坝组团B分区B12/02号宗地</t>
  </si>
  <si>
    <t>＞1且≤6.9</t>
  </si>
  <si>
    <t>渝[2017]5号-7</t>
  </si>
  <si>
    <t>渝北区两路组团A标准分区A104-2/03号宗地</t>
  </si>
  <si>
    <t>2017-02-16</t>
  </si>
  <si>
    <t>渝[2017]4号-3</t>
  </si>
  <si>
    <t>重庆市涪陵金宏房地产开发有限公司</t>
  </si>
  <si>
    <t>商业40年,住宅70年</t>
  </si>
  <si>
    <t>沙坪坝区西永组团L标准分区L77-3/02、L77-4/02、L77-5/02号宗地</t>
  </si>
  <si>
    <t>二类居住用地、一类居住用地</t>
  </si>
  <si>
    <t>≤1.65</t>
  </si>
  <si>
    <t>渝国[2017]2号-4</t>
  </si>
  <si>
    <t>渝国土房管告字[2016]46号-5</t>
  </si>
  <si>
    <t>两江新区龙兴组团F分区F1-1/03、F5-1/04号宗地</t>
  </si>
  <si>
    <t>2016-12-29</t>
  </si>
  <si>
    <t>渝国土房管告字[2016]45号-1</t>
  </si>
  <si>
    <t>重庆国瑞控股集团有限公司、重庆市明发房地产开发有限公司</t>
  </si>
  <si>
    <t>渝国土房管告字[2016]43号-1</t>
  </si>
  <si>
    <t>两江新区两路组团C标准分区C75-1/04、C77-1/03、C79-1/02、C80-1/02、C82-3/03、C83-1/03号宗地</t>
  </si>
  <si>
    <t>≤2.8</t>
  </si>
  <si>
    <t>2016-12-26</t>
  </si>
  <si>
    <t>渝国土房管告字[2016]42号-2</t>
  </si>
  <si>
    <t>重庆金辉长江房地产有限公司</t>
  </si>
  <si>
    <t>两江新区两路组团C标准分区C65-3/03、C68-1/04、C74-2/04、C74-1/04、C69-1/02、C76-2/03、C76-1/03、C81-1/03号宗地</t>
  </si>
  <si>
    <t>≤2.7</t>
  </si>
  <si>
    <t>渝国土房管告字[2016]42号-1</t>
  </si>
  <si>
    <t>华润置地(成都)有限公司</t>
  </si>
  <si>
    <t>两江新区礼嘉组团A标准分区A37-4/05、A40-1/05、A40-4/05、A49-5/05(东侧部分)、A57-2/05、A58-1/05号宗地</t>
  </si>
  <si>
    <t>≤2.56</t>
  </si>
  <si>
    <t>2016-12-23</t>
  </si>
  <si>
    <t>渝国土房管告字[2016]41号-1</t>
  </si>
  <si>
    <t>两江新区礼嘉组团A标准分区A29-3/05、A29-4/05、A37-2/05、A37-5-1/05、A37-6-1/05、A39-1/05、A49-5/05(西侧部分)号宗地</t>
  </si>
  <si>
    <t>≤2.72</t>
  </si>
  <si>
    <t>渝国土房管告字[2016]41号-2</t>
  </si>
  <si>
    <t>重庆华宇集团有限公司</t>
  </si>
  <si>
    <t>两江新区悦来组团C分区C39-3/05、C41/05、C45-1/05、C45-3/05、C46/05、C48/05、C50/05、C51/05、C57-1/05、C58-1/05号宗地</t>
  </si>
  <si>
    <t>二类居住用地、服务设施用地、商业用地、娱乐康体用地</t>
  </si>
  <si>
    <t>渝国土房管告字[2016]40号-3</t>
  </si>
  <si>
    <t>重庆融创基业房地产开发有限公司</t>
  </si>
  <si>
    <t>两江新区悦来组团C分区C27/05、C28-2/05、C29-2/05、C30-2/05、C31/05、C32/06、C37-1/07、C38/06、C39-1/06、C43-2/06、C70-1/05号宗地</t>
  </si>
  <si>
    <t>二类居住用地、服务设施用地、商业用地</t>
  </si>
  <si>
    <t>渝国土房管告字[2016]40号-2</t>
  </si>
  <si>
    <t>北京城建重庆地产有限公司</t>
  </si>
  <si>
    <t>渝国土房管告字[2016]35号-3</t>
  </si>
  <si>
    <t>两江新区两路组团Q标准分区Q22-2-1/05、Q23-1/04、Q23-4/04、Q24-3/04、Q25-1/04、Q25-4/03号宗地</t>
  </si>
  <si>
    <t>渝国土房管告字[2016]31号-2</t>
  </si>
  <si>
    <t>绍兴华裕房地产开发有限公司</t>
  </si>
  <si>
    <t>沙坪坝区西永组团L标准分区L75-1/01、L79-1/01、L79-2/01、L79-3/01、L84-1/01、L82-3/01号宗地</t>
  </si>
  <si>
    <t>一类居住用地、服务设施用地、二类居住用地、商业用地、商务用地</t>
  </si>
  <si>
    <t>≤1.39</t>
  </si>
  <si>
    <t>渝国土房管告字[2016]27号-3</t>
  </si>
  <si>
    <t>沙坪坝区西永组团L标准分区L80-2/01、L80-3/01、L84-2/01号宗地</t>
  </si>
  <si>
    <t>一类居住用地、二类居住用地</t>
  </si>
  <si>
    <t>≤1.84</t>
  </si>
  <si>
    <t>渝国土房管告字[2016]27号-1</t>
  </si>
  <si>
    <t>沙坪坝区西永组团L标准分区L81-1/01、L81-2/01、L85-1/01、L85-2/01号宗地</t>
  </si>
  <si>
    <t>≤2.37</t>
  </si>
  <si>
    <t>渝国土房管告字[2016]27号-2</t>
  </si>
  <si>
    <t>南岸区茶园组团F分区F65-1/03、F65-2/03、F66-1/04、F66-2/04号宗地</t>
  </si>
  <si>
    <t>＞1并且≤2.09</t>
  </si>
  <si>
    <t>2018-05-31</t>
  </si>
  <si>
    <t>渝[2018]15号-5</t>
  </si>
  <si>
    <t>联发集团重庆房地产开发有限公司、重庆金科房地产开发有限公司</t>
  </si>
  <si>
    <t>大渡口区大渡口组团K分区K14-1、K15-2号宗地</t>
  </si>
  <si>
    <t>渝[2018]15号-7</t>
  </si>
  <si>
    <t>卓越置业集团重庆两江有限公司</t>
  </si>
  <si>
    <t>大渡口区大渡口组团K分区K13-1号宗地</t>
  </si>
  <si>
    <t>联发集团重庆房地产开发有限公司</t>
  </si>
  <si>
    <t>南岸区弹子石组团D分区D3-1/03号宗地</t>
  </si>
  <si>
    <t>公共交通场站用地、二类居住用地、商业用地、商务用地</t>
  </si>
  <si>
    <t>渝[2018]13号-4</t>
  </si>
  <si>
    <t>融侨集团股份有限公司</t>
  </si>
  <si>
    <t>南岸区茶园组团A分区A81-3/03号宗地</t>
  </si>
  <si>
    <t>2018-04-16</t>
  </si>
  <si>
    <t>渝[2018]11号</t>
  </si>
  <si>
    <t>中铁二十局集团房地产开发有限公司</t>
  </si>
  <si>
    <t>南岸区茶园组团B分区B37/03号宗地</t>
  </si>
  <si>
    <t>2018-04-13</t>
  </si>
  <si>
    <t>渝[2018]10号-2</t>
  </si>
  <si>
    <t>重庆首创新石置业有限公司</t>
  </si>
  <si>
    <t>南岸区茶园组团B分区B40-1/03、B45/03号宗地</t>
  </si>
  <si>
    <t>＞1并且＜1.5</t>
  </si>
  <si>
    <t>重庆北大资源投资有限公司、重庆盈丰地产有限公司</t>
  </si>
  <si>
    <t>南岸区茶园组团B分区B36/03号宗地</t>
  </si>
  <si>
    <t>渝[2018]8号-1</t>
  </si>
  <si>
    <t>成都云盛房地产开发有限公司、重庆国兴置业有限公司</t>
  </si>
  <si>
    <t>南岸区茶园组团F分区F16-1-3/02、F16-1-1/02、F13-4/02、F62/02、F13-1/02、F13-8/02、F13-3/01号宗地</t>
  </si>
  <si>
    <t>＞1并且≤2.1</t>
  </si>
  <si>
    <t>渝[2017]35号-4</t>
  </si>
  <si>
    <t>重庆市金科宸居置业有限公司</t>
  </si>
  <si>
    <t>南岸区茶园组团B分区B41-1/03、B43-3/03、B42-2/03、B43-2/03、B43-1/03号宗地</t>
  </si>
  <si>
    <t>＞1并且≤1.4</t>
  </si>
  <si>
    <t>南岸区茶园组团J分区J1-2-1/03号宗地</t>
  </si>
  <si>
    <t>渝[2017]33号-2</t>
  </si>
  <si>
    <t>朗基地产集团有限公司、重庆同原房地产开发有限公司、成都永进合能房地产有限公司</t>
  </si>
  <si>
    <t>大渡口区大渡口组团F分区F5-2号宗地</t>
  </si>
  <si>
    <t>渝[2017]32号-4</t>
  </si>
  <si>
    <t>重庆金科兆基房地产开发有限公司</t>
  </si>
  <si>
    <t>大渡口区大渡口组团N分区N23-1、N23-3-1、N23-3-2号宗地</t>
  </si>
  <si>
    <t>二类居住用地、其它服务设施用地</t>
  </si>
  <si>
    <t>大渡口区重钢片区组团F分区F7-5/03(部分)号宗地</t>
  </si>
  <si>
    <t>渝[2017]25号-1</t>
  </si>
  <si>
    <t>重庆建桥置业有限公司</t>
  </si>
  <si>
    <t>大渡口区大渡口组团M分区M01-4、M02-2号宗地</t>
  </si>
  <si>
    <t>＞1并且≤2.8</t>
  </si>
  <si>
    <t>2017-06-29</t>
  </si>
  <si>
    <t>渝[2017]20号-1</t>
  </si>
  <si>
    <t>大渡口区大渡口组团M分区M36-1、M39-1、M41-1号宗地</t>
  </si>
  <si>
    <t>≥1并且≤3</t>
  </si>
  <si>
    <t>西安金地置业投资有限公司</t>
  </si>
  <si>
    <t>大渡口区大渡口组团M分区M37-1、M40-1号宗地</t>
  </si>
  <si>
    <t>渝[2017]19号-3</t>
  </si>
  <si>
    <t>重庆市金科骏凯房地产开发有限公司</t>
  </si>
  <si>
    <t>南岸区茶园组团J分区J2-4/02、J3-1/02号宗地</t>
  </si>
  <si>
    <t>≥1并且≤2.1</t>
  </si>
  <si>
    <t>渝[2017]18号-2</t>
  </si>
  <si>
    <t>重庆市垫江县碧桂园房地产开发有限公司、重庆东原睿合置业有限公司</t>
  </si>
  <si>
    <t>大渡口区大渡口组团L分区L20-01(部分)、L23-1-1、大渡口组团N分区N32-1、N31-2-3号宗地</t>
  </si>
  <si>
    <t>≥1并且≤2.4</t>
  </si>
  <si>
    <t>渝[2017]18号-3</t>
  </si>
  <si>
    <t>大渡口区大渡口组团I分区I07-1、I08-2、I09、I11-2、I11-4、I15-1、I21-1号宗地</t>
  </si>
  <si>
    <t>渝[2017]16号</t>
  </si>
  <si>
    <t>重庆荣盛鑫煜房地产开发有限公司</t>
  </si>
  <si>
    <t>南岸区弹子石组团D分区D1-6-1/03部分宗地</t>
  </si>
  <si>
    <t>2017-06-13</t>
  </si>
  <si>
    <t>渝[2017]16号-2</t>
  </si>
  <si>
    <t>南岸区茶园新区组团A分区A74-3/02、A74-1/03、A74-2/02、A75-1/02号宗地</t>
  </si>
  <si>
    <t>≥1并且≤1.6</t>
  </si>
  <si>
    <t>南岸区茶园新区组团A分区A76-2/03、A79-1/03、A79-3/02号宗地</t>
  </si>
  <si>
    <t>大渡口区大渡口组团I分区I02-2、I02-6、I04-1、I05、I06号宗地</t>
  </si>
  <si>
    <t>2017-06-06</t>
  </si>
  <si>
    <t>渝[2017]15号-2</t>
  </si>
  <si>
    <t>大渡口区大渡口组团I分区I12、I13、I19、I25、I30(部分)、I61-1、I62-1、I64-1(部分)、I71-3号宗地</t>
  </si>
  <si>
    <t>≥1并且≤2.8</t>
  </si>
  <si>
    <t>大渡口区大渡口组团P分区P2-14号宗地</t>
  </si>
  <si>
    <t>2017-05-27</t>
  </si>
  <si>
    <t>渝[2017]14号-1</t>
  </si>
  <si>
    <t>深圳市中洲投资控股股份有限公司</t>
  </si>
  <si>
    <t>南岸区南坪组团D分区D10-3-2/02号宗地</t>
  </si>
  <si>
    <t>≥1并且≤7.9</t>
  </si>
  <si>
    <t>2017-06-09</t>
  </si>
  <si>
    <t>渝[2017]14号-2</t>
  </si>
  <si>
    <t>大渡口区中梁山组团L分区L20-01(部分)、L18-02-3、L18-02-1、L22地块、大渡口组团L分区L19地块</t>
  </si>
  <si>
    <t>≥1并且≤2.3</t>
  </si>
  <si>
    <t>2017-05-08</t>
  </si>
  <si>
    <t>渝[2017]12号-3</t>
  </si>
  <si>
    <t>大渡口区大渡口组团F分区F1-9-2号宗地</t>
  </si>
  <si>
    <t>≤4</t>
  </si>
  <si>
    <t>渝[2017]4号-2</t>
  </si>
  <si>
    <t>重庆旭鹏房地产开发有限公司</t>
  </si>
  <si>
    <t>南岸区南坪组团F标准分区F2-2/04部分宗地</t>
  </si>
  <si>
    <t>≤4.6</t>
  </si>
  <si>
    <t>渝国[2017]2号-1</t>
  </si>
  <si>
    <t>长江重庆航道工程局、重庆港九波顿发展有限责任公司</t>
  </si>
  <si>
    <t>南岸区南坪组团D分区D13-10-1/03号宗地</t>
  </si>
  <si>
    <t>二类居住及商业混合用地</t>
  </si>
  <si>
    <t>≤3.50</t>
  </si>
  <si>
    <t>渝国土房管告字[2016]41号-3</t>
  </si>
  <si>
    <t>重庆伟清房地产开发有限公司</t>
  </si>
  <si>
    <t>大渡口区大渡口组团T分区T05-1号宗地</t>
  </si>
  <si>
    <t>B1B3R2(商业用地、娱乐康体用地、二类居住用地)</t>
  </si>
  <si>
    <t>≤1.6</t>
  </si>
  <si>
    <t>2016-12-14</t>
  </si>
  <si>
    <t>渝国土房管告字[2016]39号-1</t>
  </si>
  <si>
    <t>重庆小南海水泥厂</t>
  </si>
  <si>
    <t>大渡口区大渡口组团D分区D10-3-1号宗地</t>
  </si>
  <si>
    <t>二类居住用地、防护绿地</t>
  </si>
  <si>
    <t>≤3.53</t>
  </si>
  <si>
    <t>2016-10-24</t>
  </si>
  <si>
    <t>渝国土房管告字[2016]32号-1</t>
  </si>
  <si>
    <t>重庆业瑞房地产可开发有限公司</t>
  </si>
  <si>
    <t>70年、50年</t>
  </si>
  <si>
    <t>沙坪坝区西永组团L标准分区L76-4/01、L78-1/01、L78-2/01、L78-3/01号宗地</t>
  </si>
  <si>
    <t>≤3.67</t>
  </si>
  <si>
    <t>渝国土房管告字[2016]27号-4</t>
  </si>
  <si>
    <t>九龙坡区大杨石组团N分区NF1-9/04号宗地</t>
  </si>
  <si>
    <t>二类居住用地兼容商业商务用地</t>
  </si>
  <si>
    <t>≤2.77</t>
  </si>
  <si>
    <t>渝国土房管告字[2016]26号-3</t>
  </si>
  <si>
    <t>重庆国兴置业有限公司</t>
  </si>
  <si>
    <t>40年70年</t>
  </si>
  <si>
    <t>渝国土房管告字[2016]25号-1</t>
  </si>
  <si>
    <t>渝国土房管告字[2016]25号-2</t>
  </si>
  <si>
    <t>九龙坡区大杨石组团二郎新城中心区分区C3-4-3/03号宗地</t>
  </si>
  <si>
    <t>≤3.8</t>
  </si>
  <si>
    <t>渝国土房管告字[2016]25号-4</t>
  </si>
  <si>
    <t>中铁十一局集团重庆房地产开发有限公司</t>
  </si>
  <si>
    <t>渝国土房管告字[2016]23号-1</t>
  </si>
  <si>
    <t>两江新区大竹林组团G标准分区G17/05(部分)宗地</t>
  </si>
  <si>
    <t>≤1.47</t>
  </si>
  <si>
    <t>2016-08-04</t>
  </si>
  <si>
    <t>渝国土房管告字[2016]22号-5</t>
  </si>
  <si>
    <t>重庆龙湖创安地产发展有限公司</t>
  </si>
  <si>
    <t>九龙坡区中梁山组团G分区G42-2-2/03号宗地</t>
  </si>
  <si>
    <t>渝国土房管告字[2016]22号-3</t>
  </si>
  <si>
    <t>南岸区弹子石A分区A8-1/03、A8-3/03、A8-5/03、A17-1/04号宗地</t>
  </si>
  <si>
    <t>娱乐康体、商务、商业、二类居住、服务设施用地</t>
  </si>
  <si>
    <t>≤2.95</t>
  </si>
  <si>
    <t>2016-07-20</t>
  </si>
  <si>
    <t>渝国土房管告字[2016]21号-1</t>
  </si>
  <si>
    <t>重庆至元成方房地产开发有限公司</t>
  </si>
  <si>
    <t>两江新区悦来组团C标准分区C14-1/06、C14-2/07、C18-1/07、C18-6/06号宗地</t>
  </si>
  <si>
    <t>2016-07-15</t>
  </si>
  <si>
    <t>渝国土房管告字[2016]20号-4</t>
  </si>
  <si>
    <t>重庆北辰两江置业有限公司</t>
  </si>
  <si>
    <t>两江新区悦来组团C分区C15-2/07、C17-5/04、C18-3/06号宗地</t>
  </si>
  <si>
    <t>渝国土房管告字[2016]20号-5</t>
  </si>
  <si>
    <t>两江新区悦来组团C分区C05-1/07、C05-3/07、C06-1/06、C09-2/06、C10-3/06、C10-1/06号宗地</t>
  </si>
  <si>
    <t>≤2.45</t>
  </si>
  <si>
    <t>渝国土房管告字[2016]20号-3</t>
  </si>
  <si>
    <t>两江新区礼嘉组团F标准分区F05-8/05、F05-16/03号宗地</t>
  </si>
  <si>
    <t>渝国土房管告字[2016]18号-6</t>
  </si>
  <si>
    <t>深圳市创泰投资管理有限公司、重庆龙湖地产发展有限公司</t>
  </si>
  <si>
    <t>两江新区礼嘉组团F标准分区F03-10/05、F03-11-1/05号宗地</t>
  </si>
  <si>
    <t>等于1</t>
  </si>
  <si>
    <t>渝国土房管告字[2016]18号-9</t>
  </si>
  <si>
    <t>沙坪坝区中梁山组团B分区B4-5/05号宗地</t>
  </si>
  <si>
    <t>大于1并且小于或等于2.8</t>
  </si>
  <si>
    <t>渝国土房管告字[2016]18号-2</t>
  </si>
  <si>
    <t>重庆市沙坪坝区房地产开发总公司</t>
  </si>
  <si>
    <t>两江新区礼嘉组团F标准分区F06-1/05、F06-9/03、F06-12/04号宗地</t>
  </si>
  <si>
    <t>渝国土房管告字[2016]18号-8</t>
  </si>
  <si>
    <t>两江新区礼嘉组团F标准分区F05-9/05号宗地</t>
  </si>
  <si>
    <t>渝国土房管告字[2016]18号-7</t>
  </si>
  <si>
    <t>成都朗基地产有限公司</t>
  </si>
  <si>
    <t>沙坪坝区西永组团L标准分区L37-2/04号宗地</t>
  </si>
  <si>
    <t>2016-06-21</t>
  </si>
  <si>
    <t>渝国土房管告字[2016]17号-2</t>
  </si>
  <si>
    <t>九龙坡区大杨石组团H分区H10-1-3/06号宗地</t>
  </si>
  <si>
    <t>二类居住用地兼容商业用地、商务用地</t>
  </si>
  <si>
    <t>＞1且≤4</t>
  </si>
  <si>
    <t>渝国土房管告字[2016]17号-1</t>
  </si>
  <si>
    <t>住宅70年、商业40年</t>
  </si>
  <si>
    <t>沙坪坝区西永组团L标准分区L73-5/01、L76-2/01号宗地</t>
  </si>
  <si>
    <t>＞1且≤2.25</t>
  </si>
  <si>
    <t>2016-06-14</t>
  </si>
  <si>
    <t>渝国土房管告字[2016]16号-3</t>
  </si>
  <si>
    <t>沙坪坝区西永组团L标准分区L67-2/02、L72-1/02号宗地</t>
  </si>
  <si>
    <t>渝国土房管告字[2016]16号-2</t>
  </si>
  <si>
    <t>沙坪坝区西永组团L标准分区L73-9/01、L76-3/01、L77-1/01号宗地</t>
  </si>
  <si>
    <t>＞1且≤3.16</t>
  </si>
  <si>
    <t>渝国土房管告字[2016]16号-4</t>
  </si>
  <si>
    <t>大渡口区大渡口组团M分区M39-1号宗地</t>
  </si>
  <si>
    <t>大于1并且小于或等于3</t>
  </si>
  <si>
    <t>渝国土房管告字[2016]11号-1</t>
  </si>
  <si>
    <t>九龙坡区大杨石组团D分区D12-2-1/03、D11-2/01号宗地</t>
  </si>
  <si>
    <t>大于1并且小于或等于4.27</t>
  </si>
  <si>
    <t>渝国土房管告字[2016]11号-4</t>
  </si>
  <si>
    <t>重庆业瑞房地产开发有限公司</t>
  </si>
  <si>
    <t>两江新区大竹林组团G标准分区G13-4-2/06、G14-4/05、G16/05、G17/05(部分)号宗地</t>
  </si>
  <si>
    <t>大于1并且小于或等于1.49</t>
  </si>
  <si>
    <t>渝国土房管告字[2016]11号-15</t>
  </si>
  <si>
    <t>南岸区茶园组团J分区J2-1(部分)号宗地</t>
  </si>
  <si>
    <t>渝国土房管告字[2016]11号-3</t>
  </si>
  <si>
    <t>重庆同景博达置地有限公司</t>
  </si>
  <si>
    <t>大渡口区大渡口组团M分区M37-1、M40-1、M41-1号宗地</t>
  </si>
  <si>
    <t>渝国土房管告字[2016]11号-2</t>
  </si>
  <si>
    <t>沙坪坝区双碑组团A分区A14-1/03号宗地</t>
  </si>
  <si>
    <t>二类居住用地、商业用地、城市道路用地</t>
  </si>
  <si>
    <t>小于或等于2</t>
  </si>
  <si>
    <t>2016-04-29</t>
  </si>
  <si>
    <t>渝国土房管告字[2016]9号</t>
  </si>
  <si>
    <t>重庆仁有置业有限公司</t>
  </si>
  <si>
    <t>渝国土房管告字[2016]4号-2</t>
  </si>
  <si>
    <t>沙坪坝区双碑组团E标准分区E35-1/03、E32-1/03、E34/02号宗地</t>
  </si>
  <si>
    <t>二类居住用地,商业用地,商务用地</t>
  </si>
  <si>
    <t>小于等于3.5</t>
  </si>
  <si>
    <t>2016-02-25</t>
  </si>
  <si>
    <t>渝国土房管告字[2016]3号-2</t>
  </si>
  <si>
    <t>重庆锦双房地产开发有限公司</t>
  </si>
  <si>
    <t>住宅70年,商业40年</t>
  </si>
  <si>
    <t>九龙坡区西永组团F分区F13-3-1/02、F13-3-2/02号宗地</t>
  </si>
  <si>
    <t>小于等于1.3</t>
  </si>
  <si>
    <t>渝国土房管告字[2016]3号-1</t>
  </si>
  <si>
    <t>重庆骏丰置业有限公司</t>
  </si>
  <si>
    <t>沙坪坝区沙坪坝组团B分区B11-2-2/03、B18-1/02号宗地</t>
  </si>
  <si>
    <t>≤4.2</t>
  </si>
  <si>
    <t>渝国土房管告字[2015]64号-5</t>
  </si>
  <si>
    <t>九龙坡区大杨石组团Q分区QF3-6-4/04号宗地</t>
  </si>
  <si>
    <t>渝国土房管告字[2015]64号-1</t>
  </si>
  <si>
    <t>商业40年、住宅70年</t>
  </si>
  <si>
    <t>沙坪坝区沙坪坝组团I分区I13-4/02号宗地</t>
  </si>
  <si>
    <t>≤5</t>
  </si>
  <si>
    <t>渝国土房管告字[2015]64号-4</t>
  </si>
  <si>
    <t>重庆三特实业有限公司</t>
  </si>
  <si>
    <t>大渡口区大渡口组团I分区I12、I13、I19号宗地</t>
  </si>
  <si>
    <t>≤3.0</t>
  </si>
  <si>
    <t>渝国土房管告字[2015]61号-3</t>
  </si>
  <si>
    <t>北部新区两路组团C标准分区C90-1-1/03、C101-1/03、C102-1/02、C103-1/03、C105-1/03号宗地</t>
  </si>
  <si>
    <t>≤3.89</t>
  </si>
  <si>
    <t>渝国土房管告字[2015]61号-6</t>
  </si>
  <si>
    <t>中房地产股份有限公司</t>
  </si>
  <si>
    <t>北部新区两路组团C分区C89-1/01、C94-1/02、C96-1/02、C91-1/02、C97-1/02、C92-1/02号宗地</t>
  </si>
  <si>
    <t>二类居住用地、商业用地、商务用地、娱乐用地</t>
  </si>
  <si>
    <t>≤2.3</t>
  </si>
  <si>
    <t>渝国土房管告字[2015]61号-7</t>
  </si>
  <si>
    <t>北部新区两路组团C分区C98-1/02、C98-2/02、C104-1/02、C106-1/02、C107-1/02、C109-1-2/03、C108-1/03、C110-1/02、C111-1/02号宗地</t>
  </si>
  <si>
    <t>≤2.0</t>
  </si>
  <si>
    <t>渝国土房管告字[2015]61号-5</t>
  </si>
  <si>
    <t>渝北区两路组团F分区F116-1、F116-2、F117-1、F117-2、F118-1、F118-2、F119-1、F120-1、F120-2、F121-2、F121-1号宗地</t>
  </si>
  <si>
    <t>商业用地、商务用地,二类居住用地、社会停车场用地</t>
  </si>
  <si>
    <t>小于或等于2.9</t>
  </si>
  <si>
    <t>2015-12-29</t>
  </si>
  <si>
    <t>渝国土房管告字[2015]60号-1</t>
  </si>
  <si>
    <t>沙坪坝区西永组团L标准分区L02-1/04、L02-3/04、L02-2/04、L02-4/04、L02-5/04、L02-6/04、L03-1/04、L03-2/04、L03-3/04、L05-2/04号宗地</t>
  </si>
  <si>
    <t>小于或等于3</t>
  </si>
  <si>
    <t>渝国土房管告字[2015]60号-3</t>
  </si>
  <si>
    <t>重庆西永微电子产业园区开发有限公司</t>
  </si>
  <si>
    <t>渝北区两路组团F分区F116-3、F116-4、两路(西部)组团F分区F119-2、F119-3、F119-4、两路组团F分区F122-1、两路(西部)组团F分区F123-1、F138-1、F138-2、F139-2号宗地</t>
  </si>
  <si>
    <t>商业用地、商务用地,二类居住用地</t>
  </si>
  <si>
    <t>小于或等于2.86</t>
  </si>
  <si>
    <t>渝国土房管告字[2015]60号-2</t>
  </si>
  <si>
    <t>渝北区人和组团L分区L-19/03号宗地</t>
  </si>
  <si>
    <t>≤5.5</t>
  </si>
  <si>
    <t>渝国土房管告字[2015]59号-2</t>
  </si>
  <si>
    <t>重庆市碧桂园房地产开发有限公司</t>
  </si>
  <si>
    <t>大渡口区大渡口组团I分区I25、I30(部分)号宗地</t>
  </si>
  <si>
    <t>商业用地、二类居住用地</t>
  </si>
  <si>
    <t>渝国土房管告字[2015]59号-1</t>
  </si>
  <si>
    <t>重庆诚投房地产开发有限公司</t>
  </si>
  <si>
    <t>沙坪坝区西永组团L标准分区L12-1/04、L12-2/04、L12-3/04、L12-4/04、L12-5/04、L12-6/04号宗地</t>
  </si>
  <si>
    <t>≤2.99</t>
  </si>
  <si>
    <t>2015-12-24</t>
  </si>
  <si>
    <t>渝国土房管告字[2015]58号-1</t>
  </si>
  <si>
    <t>商业40年、住宅50年</t>
  </si>
  <si>
    <t>沙坪坝区西永组团L标准分区L04-1/04、L04-2/04、L04-3/04、L04-4/04、L04-5/04、L04-6/04、L04-7/04、L04-8/04、L04-9/04、L07-1/04号宗地</t>
  </si>
  <si>
    <t>≤2.85</t>
  </si>
  <si>
    <t>2015-12-23</t>
  </si>
  <si>
    <t>渝国土房管告字[2015]57号-2</t>
  </si>
  <si>
    <t>沙坪坝区西永组团L标准分区L24-3/04、L24-1/04、L24-2/04、L25-1/04、L25-2/04、L25-3/04号宗地</t>
  </si>
  <si>
    <t>渝国土房管告字[2015]56号-5</t>
  </si>
  <si>
    <t>南岸区茶园组团F分区F42-8-1/01局部地块</t>
  </si>
  <si>
    <t>大于1并且小于或等于1.8</t>
  </si>
  <si>
    <t>渝国土房管告字[2015]56号-11</t>
  </si>
  <si>
    <t>重庆聚乾房地产开发有限公司</t>
  </si>
  <si>
    <t>两江新区龙兴组团H分区H79-1/01、H80-1/01、H82-1/01号宗地</t>
  </si>
  <si>
    <t>大于1并且小于或等于1.5</t>
  </si>
  <si>
    <t>渝国土房管告字[2015]56号-12</t>
  </si>
  <si>
    <t>重庆两江新区置业发展有限公司　齐</t>
  </si>
  <si>
    <t>大渡口区大渡口组团中梁山F分区F5-2号宗地</t>
  </si>
  <si>
    <t>渝国土房管告字[2015]56号-9</t>
  </si>
  <si>
    <t>重庆奥珈置业有限公司</t>
  </si>
  <si>
    <t>沙坪坝区西永组团L标准分区L36/05、L37-1/05号宗地</t>
  </si>
  <si>
    <t>渝国土房管告字[2015]56号-6</t>
  </si>
  <si>
    <t>2015-12-17</t>
  </si>
  <si>
    <t>渝国土房管告字[2015]55号-3</t>
  </si>
  <si>
    <t>沙坪坝区西永组团V标准分区V9-1/04号宗地</t>
  </si>
  <si>
    <t>商业用地,二类居住用地</t>
  </si>
  <si>
    <t>渝国土房管告字[2015]55号-1</t>
  </si>
  <si>
    <t>沙坪坝区西永组团L标准分区L15-1/04、L15-2/04、L15-3/04、L15-4/04、L15-5/04、L15-6/04号宗地</t>
  </si>
  <si>
    <t>大于1并且小于或等于2.7</t>
  </si>
  <si>
    <t>渝国土房管告字[2015]55号-2</t>
  </si>
  <si>
    <t>沙坪坝区西永组团L标准分区L05-3/04、L07-2/04、L10-3/04、L10-6/04号宗地</t>
  </si>
  <si>
    <t>商业用地,商务用地,二类居住用地</t>
  </si>
  <si>
    <t>大于1并且小于或等于3.5</t>
  </si>
  <si>
    <t>2015-12-14</t>
  </si>
  <si>
    <t>渝国土房管告字[2015]54号-4</t>
  </si>
  <si>
    <t>大于1并且小于或等于2.55</t>
  </si>
  <si>
    <t>渝国土房管告字[2015]54号-3</t>
  </si>
  <si>
    <t>小于或等于2.45</t>
  </si>
  <si>
    <t>渝国土房管告字[2015]51号-1</t>
  </si>
  <si>
    <t>重庆两江商务中心置业有限公司</t>
  </si>
  <si>
    <t>小于或等于1.6</t>
  </si>
  <si>
    <t>渝国土房管告字[2015]51号-3</t>
  </si>
  <si>
    <t>小于或等于2.5</t>
  </si>
  <si>
    <t>渝国土房管告字[2015]51号-2</t>
  </si>
  <si>
    <t>渝国土房管告字[2015]50号-2</t>
  </si>
  <si>
    <t>两江新区龙兴组团J标准分区J46-1/01、J47-1/01号宗地</t>
  </si>
  <si>
    <t>渝国土房管告字[2015]46号-1</t>
  </si>
  <si>
    <t>沙坪坝区西永组团M标准分区M22-1/03、M22-2/03、M22-4/03号宗地</t>
  </si>
  <si>
    <t>≤1.05</t>
  </si>
  <si>
    <t>渝国土房管告字[2015]41号-4</t>
  </si>
  <si>
    <t>沙坪坝区西永组团M标准分区M21-2/03、M26-3/03、M26-1/03、M27-1/03、M28-1/03号宗地</t>
  </si>
  <si>
    <t>渝国土房管告字[2015]41号-5</t>
  </si>
  <si>
    <t>沙坪坝区西永组团M标准分区M22-5/03、M22-6/03、M29-2/03、M30-1/03、M30-4/03号宗地</t>
  </si>
  <si>
    <t>≤1.9</t>
  </si>
  <si>
    <t>渝国土房管告字[2015]41号-6</t>
  </si>
  <si>
    <t>沙坪坝区西永组团M标准分区M15/03、M16-1/03、M17-1/03、M18-1/03、M21-1/03号宗地</t>
  </si>
  <si>
    <t>≤1.95</t>
  </si>
  <si>
    <t>渝国土房管告字[2015]41号-2</t>
  </si>
  <si>
    <t>南岸区弹子石组团D分区D1-10-2/03号宗地</t>
  </si>
  <si>
    <t>渝国土房管告字[2015]41号-9</t>
  </si>
  <si>
    <t>重庆蓝光和骏置业有限公司</t>
  </si>
  <si>
    <t>九龙坡区西彭组团K分区K8-1号宗地</t>
  </si>
  <si>
    <t>2015-09-22</t>
  </si>
  <si>
    <t>渝国土房管告字[2015]40号-1</t>
  </si>
  <si>
    <t>九龙坡区大杨石组团Q分区QF4-2-1/04号宗地</t>
  </si>
  <si>
    <t>小于或等于3.6</t>
  </si>
  <si>
    <t>2015-08-31</t>
  </si>
  <si>
    <t>渝国土房管告字[2015]37号-4</t>
  </si>
  <si>
    <t>沙坪坝区西永组团M标准分区M10-2/03(部分)、M11-5/03、M12-1/03、M13-2/03、M14-6/03(部分)号宗地</t>
  </si>
  <si>
    <t>小于或等于2.4</t>
  </si>
  <si>
    <t>渝国土房管告字[2015]37号-10</t>
  </si>
  <si>
    <t>渝北区两路组团F标准分区50-1、53-1、54-1、55-1、55-2、55-3号宗地</t>
  </si>
  <si>
    <t>二类居住用地、商业用地、商务用地、城市轨道交通用地、交通站场用地</t>
  </si>
  <si>
    <t>小于或等于3.8</t>
  </si>
  <si>
    <t>渝国土房管告字[2015]37号-5</t>
  </si>
  <si>
    <t>沙坪坝区西永组团M标准分区M2-3/03、M9/03、M5-1/03号宗地</t>
  </si>
  <si>
    <t>小于或等于1.4</t>
  </si>
  <si>
    <t>渝国土房管告字[2015]37号-7</t>
  </si>
  <si>
    <t>九龙坡区西彭组团A分区A44-1/02号宗地</t>
  </si>
  <si>
    <t>渝国土房管告字[2015]37号-1</t>
  </si>
  <si>
    <t>沙坪坝区西永组团M标准分区M1-2/03号宗地</t>
  </si>
  <si>
    <t>小于或等于1.1</t>
  </si>
  <si>
    <t>渝国土房管告字[2015]37号-6</t>
  </si>
  <si>
    <t>九龙坡区西彭组团A分区A46-1/02号宗地</t>
  </si>
  <si>
    <t>小于或等于1.7</t>
  </si>
  <si>
    <t>渝国土房管告字[2015]37号-2</t>
  </si>
  <si>
    <t>沙坪坝区西永组团M标准分区M3-1/03、M6-1/03、M8-1/03号宗地</t>
  </si>
  <si>
    <t>渝国土房管告字[2015]37号-8</t>
  </si>
  <si>
    <t>龙园路</t>
    <phoneticPr fontId="31" type="noConversion"/>
  </si>
  <si>
    <t>http://www.sohu.com/a/218722454_720917</t>
    <phoneticPr fontId="143" type="noConversion"/>
  </si>
  <si>
    <t>http://cq.fzg360.com/archive.php?aid=132573</t>
    <phoneticPr fontId="143" type="noConversion"/>
  </si>
  <si>
    <t>玉玲路</t>
    <phoneticPr fontId="31" type="noConversion"/>
  </si>
  <si>
    <t>http://cq.fzg360.com/archive.php?aid=121734</t>
    <phoneticPr fontId="143" type="noConversion"/>
  </si>
  <si>
    <t>http://www.langold.com.cn/index.php?m=content&amp;c=index&amp;a=show&amp;catid=8&amp;id=398</t>
    <phoneticPr fontId="143" type="noConversion"/>
  </si>
  <si>
    <r>
      <t>6</t>
    </r>
    <r>
      <rPr>
        <sz val="11"/>
        <rFont val="宋体"/>
        <family val="3"/>
        <charset val="134"/>
      </rPr>
      <t>号线大龙山</t>
    </r>
    <r>
      <rPr>
        <sz val="11"/>
        <rFont val="Arial"/>
        <family val="2"/>
      </rPr>
      <t>1.5</t>
    </r>
    <r>
      <rPr>
        <sz val="11"/>
        <rFont val="宋体"/>
        <family val="3"/>
        <charset val="134"/>
      </rPr>
      <t>公里</t>
    </r>
    <phoneticPr fontId="31" type="noConversion"/>
  </si>
  <si>
    <t>一号线高庙村1公里</t>
    <phoneticPr fontId="31" type="noConversion"/>
  </si>
  <si>
    <t>大渡口区大渡口组团N分区N10-1号宗地</t>
  </si>
  <si>
    <t>商务用地</t>
  </si>
  <si>
    <t>渝[2018]14号-1</t>
  </si>
  <si>
    <t>南岸区茶园新城区A24(部分)号宗地</t>
  </si>
  <si>
    <t>＞1并且≤2.4</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</si>
  <si>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</si>
  <si>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</si>
  <si>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</si>
  <si>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渝[2017]13号-2</t>
  </si>
  <si>
    <t>大渡口区大渡口组团H分区H02-10-2-1号宗地</t>
  </si>
  <si>
    <t>≤1.92</t>
  </si>
  <si>
    <t>2016-11-15</t>
  </si>
  <si>
    <t>渝国土房管告字[2016]34号-4</t>
  </si>
  <si>
    <t>大渡口区大渡口组团N分区N09-2(部分)地块</t>
  </si>
  <si>
    <t>渝国土房管告字[2016]33号-1</t>
  </si>
  <si>
    <t>中冶置业重庆华青有限公司、重庆西华建桥建设开发有限公司</t>
  </si>
  <si>
    <t>南岸区南坪组团M分区M10-3-2/06号宗地</t>
  </si>
  <si>
    <t>渝国土房管告字[2016]22号-6</t>
  </si>
  <si>
    <t>重庆汇庭房地产开发有限公司</t>
  </si>
  <si>
    <t>南岸区南坪组团I分区I11-1-4/05号宗地</t>
  </si>
  <si>
    <t>其它商务用地</t>
  </si>
  <si>
    <t>小于等于3.2</t>
  </si>
  <si>
    <t>渝国土房管告字[2016]3号-3</t>
  </si>
  <si>
    <t>重庆市江南城市建设资产经营管理有限公司</t>
  </si>
  <si>
    <t>沙坪坝区西永组团L标准分区L26-3/04号宗地</t>
  </si>
  <si>
    <t>大于1并且小于或等于4</t>
  </si>
  <si>
    <t>渝国土房管告字[2015]55号-4</t>
  </si>
  <si>
    <t>沙坪坝区西永组团L标准分区L26-2/04号宗地</t>
  </si>
  <si>
    <t>渝国土房管告字[2015]54号-2</t>
  </si>
  <si>
    <t>沙坪坝区西永组团R标准分区R16-2/06号宗地</t>
  </si>
  <si>
    <t>渝国土房管告字[2015]54号-1</t>
  </si>
  <si>
    <t>九龙坡区西永组团Ab分区Ab17-1/02号宗地</t>
  </si>
  <si>
    <t>2015-09-30</t>
  </si>
  <si>
    <t>渝国土房管告字[2015]42号-1</t>
  </si>
  <si>
    <t>重庆明旗实业有限公司&amp;amp;#160;</t>
  </si>
  <si>
    <t>大渡口区大渡口组团N标准分区N09-1(部分1)号宗地</t>
  </si>
  <si>
    <t>渝国土房管告字[2015]42号-2</t>
  </si>
  <si>
    <t>重庆红九九食品有限公司</t>
  </si>
  <si>
    <t>沙坪坝区西永组团M标准分区M20-1/03号宗地</t>
  </si>
  <si>
    <t>≤1.2</t>
  </si>
  <si>
    <t>渝国土房管告字[2015]41号-3</t>
  </si>
  <si>
    <t>九龙坡区西彭组团F分区F38-1/01、F37-7/02号宗地</t>
  </si>
  <si>
    <t>批发市场用地</t>
  </si>
  <si>
    <t>渝国土房管告字[2015]37号-3</t>
  </si>
  <si>
    <t>重庆市纲谐实业股份有限公司</t>
  </si>
  <si>
    <t>沙坪坝区西永组团R标准分区R39-3/04号宗地</t>
  </si>
  <si>
    <t>小于或等于1.2</t>
  </si>
  <si>
    <t>渝国土房管告字[2015]37号-9</t>
  </si>
  <si>
    <t>大渡口区大渡口组团N标准分区N09-1(部分)号宗地</t>
  </si>
  <si>
    <t>2015-08-24</t>
  </si>
  <si>
    <t>渝国土房管告字[2015]36号-13</t>
  </si>
  <si>
    <t>中冶建工集团有限公司</t>
  </si>
  <si>
    <t>南岸区茶园组团A分区A88/03号宗地</t>
  </si>
  <si>
    <t>B1B2-商业用地、商务用地</t>
  </si>
  <si>
    <t>小于或等于3.5</t>
  </si>
  <si>
    <t>渝国土房管告字[2015]36号-12</t>
  </si>
  <si>
    <t>http://www.sohu.com/a/206997095_720917</t>
    <phoneticPr fontId="143" type="noConversion"/>
  </si>
  <si>
    <t>石杨路</t>
    <phoneticPr fontId="143" type="noConversion"/>
  </si>
  <si>
    <t>http://cq.house.qq.com/a/20170919/018767.htm?qqcom_pgv_from=aio</t>
    <phoneticPr fontId="143" type="noConversion"/>
  </si>
  <si>
    <r>
      <rPr>
        <sz val="11"/>
        <rFont val="宋体"/>
        <family val="3"/>
        <charset val="134"/>
      </rPr>
      <t>六号线花卉园</t>
    </r>
    <r>
      <rPr>
        <sz val="11"/>
        <rFont val="Arial"/>
        <family val="2"/>
      </rPr>
      <t>1.5</t>
    </r>
    <r>
      <rPr>
        <sz val="11"/>
        <rFont val="宋体"/>
        <family val="3"/>
        <charset val="134"/>
      </rPr>
      <t>公里</t>
    </r>
    <phoneticPr fontId="143" type="noConversion"/>
  </si>
  <si>
    <t>一号线石桥铺 陈家坪汽车站</t>
    <phoneticPr fontId="143" type="noConversion"/>
  </si>
  <si>
    <t>红石路</t>
    <phoneticPr fontId="143" type="noConversion"/>
  </si>
  <si>
    <t>民安大道</t>
    <phoneticPr fontId="143" type="noConversion"/>
  </si>
  <si>
    <t>售价</t>
  </si>
  <si>
    <t>办公</t>
    <phoneticPr fontId="32" type="noConversion"/>
  </si>
  <si>
    <t>30-40（含）</t>
  </si>
  <si>
    <t>快速路</t>
    <phoneticPr fontId="32" type="noConversion"/>
  </si>
  <si>
    <t>主干道</t>
    <phoneticPr fontId="32" type="noConversion"/>
  </si>
  <si>
    <t>次干道</t>
    <phoneticPr fontId="32" type="noConversion"/>
  </si>
  <si>
    <t>支路</t>
    <phoneticPr fontId="32" type="noConversion"/>
  </si>
  <si>
    <t>钢混</t>
    <phoneticPr fontId="32" type="noConversion"/>
  </si>
  <si>
    <t>精装修</t>
  </si>
  <si>
    <t>精装修</t>
    <phoneticPr fontId="32" type="noConversion"/>
  </si>
  <si>
    <t>甲级</t>
  </si>
  <si>
    <t>甲级</t>
    <phoneticPr fontId="32" type="noConversion"/>
  </si>
  <si>
    <t>专业</t>
  </si>
  <si>
    <t>专业</t>
    <phoneticPr fontId="32" type="noConversion"/>
  </si>
  <si>
    <t>五通</t>
  </si>
  <si>
    <t>五通</t>
    <phoneticPr fontId="32" type="noConversion"/>
  </si>
  <si>
    <t>标准层高</t>
  </si>
  <si>
    <t>标准层高</t>
    <phoneticPr fontId="32" type="noConversion"/>
  </si>
  <si>
    <t>简装</t>
  </si>
  <si>
    <t>简装</t>
    <phoneticPr fontId="32" type="noConversion"/>
  </si>
  <si>
    <t>毛坯</t>
  </si>
  <si>
    <t>毛坯</t>
    <phoneticPr fontId="32" type="noConversion"/>
  </si>
  <si>
    <t>力帆中心-LFC</t>
    <phoneticPr fontId="3" type="noConversion"/>
  </si>
  <si>
    <t>江北江北嘴聚贤岩广场8号</t>
    <phoneticPr fontId="3" type="noConversion"/>
  </si>
  <si>
    <t xml:space="preserve">江北嘴重庆国金中心 </t>
    <phoneticPr fontId="3" type="noConversion"/>
  </si>
  <si>
    <t>江北江北嘴中央商务区CBD核心</t>
    <phoneticPr fontId="3" type="noConversion"/>
  </si>
  <si>
    <t xml:space="preserve">江北嘴金融城 </t>
    <phoneticPr fontId="3" type="noConversion"/>
  </si>
  <si>
    <t>江北五江路22号</t>
    <phoneticPr fontId="3" type="noConversion"/>
  </si>
  <si>
    <t>住宅</t>
    <phoneticPr fontId="25" type="noConversion"/>
  </si>
  <si>
    <t>40-50（含）</t>
  </si>
  <si>
    <t>高层</t>
    <phoneticPr fontId="25" type="noConversion"/>
  </si>
  <si>
    <t>钢混</t>
    <phoneticPr fontId="25" type="noConversion"/>
  </si>
  <si>
    <t>中档</t>
  </si>
  <si>
    <t>精装修</t>
    <phoneticPr fontId="25" type="noConversion"/>
  </si>
  <si>
    <t>专业</t>
    <phoneticPr fontId="25" type="noConversion"/>
  </si>
  <si>
    <t>六通</t>
    <phoneticPr fontId="25" type="noConversion"/>
  </si>
  <si>
    <t>平层</t>
  </si>
  <si>
    <t>平层</t>
    <phoneticPr fontId="25" type="noConversion"/>
  </si>
  <si>
    <t>简装</t>
    <phoneticPr fontId="25" type="noConversion"/>
  </si>
  <si>
    <t>毛坯</t>
    <phoneticPr fontId="25" type="noConversion"/>
  </si>
  <si>
    <t>售价（万）</t>
    <phoneticPr fontId="3" type="noConversion"/>
  </si>
  <si>
    <t>中国东方资产管理股份有限公司</t>
    <phoneticPr fontId="6" type="noConversion"/>
  </si>
  <si>
    <t>重庆华诚投资有限公司</t>
    <phoneticPr fontId="6" type="noConversion"/>
  </si>
  <si>
    <r>
      <rPr>
        <sz val="12"/>
        <color theme="9" tint="-0.249977111117893"/>
        <rFont val="宋体"/>
        <family val="3"/>
        <charset val="134"/>
      </rPr>
      <t>江北区观音桥组团</t>
    </r>
    <r>
      <rPr>
        <sz val="12"/>
        <color theme="9" tint="-0.249977111117893"/>
        <rFont val="Arial"/>
        <family val="2"/>
      </rPr>
      <t>I</t>
    </r>
    <r>
      <rPr>
        <sz val="12"/>
        <color theme="9" tint="-0.249977111117893"/>
        <rFont val="宋体"/>
        <family val="3"/>
        <charset val="134"/>
      </rPr>
      <t>分区</t>
    </r>
    <r>
      <rPr>
        <sz val="12"/>
        <color theme="9" tint="-0.249977111117893"/>
        <rFont val="Arial"/>
        <family val="2"/>
      </rPr>
      <t>I29-3-/02</t>
    </r>
    <r>
      <rPr>
        <sz val="12"/>
        <color theme="9" tint="-0.249977111117893"/>
        <rFont val="宋体"/>
        <family val="3"/>
        <charset val="134"/>
      </rPr>
      <t>地块“隆鑫中心”项目</t>
    </r>
    <phoneticPr fontId="6" type="noConversion"/>
  </si>
  <si>
    <t>重庆市</t>
    <phoneticPr fontId="6" type="noConversion"/>
  </si>
  <si>
    <t>在建</t>
  </si>
  <si>
    <t>通路</t>
  </si>
  <si>
    <t>通电</t>
  </si>
  <si>
    <t>通讯</t>
  </si>
  <si>
    <t>通上水</t>
  </si>
  <si>
    <t>通下水</t>
  </si>
  <si>
    <t>燃气</t>
  </si>
  <si>
    <t>《国有土地使用证》</t>
  </si>
  <si>
    <t>复印件</t>
  </si>
  <si>
    <t>部分缴纳</t>
  </si>
  <si>
    <t>已部分缴纳</t>
  </si>
  <si>
    <t>其他省市系数</t>
  </si>
  <si>
    <t>已注销</t>
  </si>
  <si>
    <t>2.估价师知悉的除抵押担保权以外的法定优先受偿款</t>
  </si>
  <si>
    <t>收益法（办公）</t>
  </si>
  <si>
    <t>出让金+开发费</t>
  </si>
  <si>
    <t>项目名称：隆鑫中心</t>
  </si>
  <si>
    <t>序号</t>
  </si>
  <si>
    <t>成本科目</t>
  </si>
  <si>
    <t>计量对象</t>
  </si>
  <si>
    <t>单位</t>
  </si>
  <si>
    <t>建筑面积</t>
  </si>
  <si>
    <t>含量</t>
  </si>
  <si>
    <t>工程量</t>
  </si>
  <si>
    <t>单价（元）</t>
  </si>
  <si>
    <t>一、</t>
  </si>
  <si>
    <t>土地及拆迁费用</t>
  </si>
  <si>
    <t>土地出让金</t>
  </si>
  <si>
    <t>总费用</t>
  </si>
  <si>
    <t>万元</t>
  </si>
  <si>
    <t>地下商业补交土地出让金</t>
  </si>
  <si>
    <t>补交1号楼商改住土地出让金差额</t>
  </si>
  <si>
    <t>契税</t>
  </si>
  <si>
    <t>补交土地出让金契税</t>
  </si>
  <si>
    <t>补交土地出让金合同印花税</t>
  </si>
  <si>
    <t>政府已退土地出让金</t>
  </si>
  <si>
    <t>1号楼商改住后要返还政府出让金</t>
  </si>
  <si>
    <t>二、</t>
  </si>
  <si>
    <t>前期费用</t>
  </si>
  <si>
    <t>前期报批报建费用</t>
  </si>
  <si>
    <t>报建费用</t>
  </si>
  <si>
    <t>m2</t>
  </si>
  <si>
    <t>城市建设配套费</t>
  </si>
  <si>
    <t>*</t>
  </si>
  <si>
    <t>危旧改政策退配套费</t>
  </si>
  <si>
    <t>异地人防建设费</t>
  </si>
  <si>
    <t>消防异地建站费用</t>
  </si>
  <si>
    <t>环境、排污、噪声费</t>
  </si>
  <si>
    <t>地灾评审费</t>
  </si>
  <si>
    <t>白蚁防治费</t>
  </si>
  <si>
    <t>规划部门费用</t>
  </si>
  <si>
    <t>占道综合补偿费</t>
  </si>
  <si>
    <t>防雷设施综合费</t>
  </si>
  <si>
    <t>施工图审查费</t>
  </si>
  <si>
    <t xml:space="preserve">施工许可证报建 </t>
  </si>
  <si>
    <t>面积测绘费</t>
  </si>
  <si>
    <t>隆鑫中心（原渝北二村）项目环境影响报告书编制及环境影响评估咨询</t>
  </si>
  <si>
    <t>隆鑫中心环评补充</t>
  </si>
  <si>
    <t>建设场地地质环境影响评估</t>
  </si>
  <si>
    <t>水土保持方案评审费</t>
  </si>
  <si>
    <t>防雷电灾害评审费</t>
  </si>
  <si>
    <t>异地绿化费</t>
  </si>
  <si>
    <t>教育资金赞助费</t>
  </si>
  <si>
    <t>隆鑫中心项目风荷载体型系数及风振响应验算技术服务</t>
  </si>
  <si>
    <t>隆鑫中心（原渝北二村）项目水土保持方案设计</t>
  </si>
  <si>
    <t>勘察设计及咨询费</t>
  </si>
  <si>
    <t>勘察费</t>
  </si>
  <si>
    <t>现状地形管线图测量合同</t>
  </si>
  <si>
    <t>渝北二村项目周边综合管线勘测</t>
  </si>
  <si>
    <t>渝北二村I29-3/02地质初勘工程</t>
  </si>
  <si>
    <t>渝北二村地质详堪工程</t>
  </si>
  <si>
    <t>隆鑫中心I29—3/02地块基地详勘察</t>
  </si>
  <si>
    <t>控制测量协议</t>
  </si>
  <si>
    <t xml:space="preserve">隆鑫中心项目深基坑平基方格网测绘 </t>
  </si>
  <si>
    <t>设计费</t>
  </si>
  <si>
    <t>重庆市江北观音桥I分区I25-7-1/102 I29-1-2/02 I29-3-1/01 I29-2-02地块方案整合设计</t>
  </si>
  <si>
    <t>渝北二村前期概念规划设计</t>
  </si>
  <si>
    <t>重庆隆鑫太阳谷广场塔楼形象概念方案设计</t>
  </si>
  <si>
    <t>隆鑫渝北二村世纪广场项目  设计咨询</t>
  </si>
  <si>
    <t>重庆隆鑫世纪广场项目模型制作</t>
  </si>
  <si>
    <t>隆鑫世纪广场项目设计咨询服务补偿</t>
  </si>
  <si>
    <t>隆鑫中心项目 机电设计咨询服务 补充</t>
  </si>
  <si>
    <t>隆鑫渝北二村太阳谷广场项目  建筑外立面初步概念设计咨询</t>
  </si>
  <si>
    <t>重庆隆鑫中心商业项目 室内设计</t>
  </si>
  <si>
    <t>重庆隆鑫中心写字楼公区 室内设计</t>
  </si>
  <si>
    <t>隆鑫中心项目景观设计咨询</t>
  </si>
  <si>
    <t>隆鑫中心项目景观设计咨询（终止协议）</t>
  </si>
  <si>
    <t>隆鑫中心幕墙顾问</t>
  </si>
  <si>
    <t>隆鑫中心项目 顾问服务（物业管理顾问）</t>
  </si>
  <si>
    <t>隆鑫中心建筑智能化设计</t>
  </si>
  <si>
    <t>隆鑫中心项目建设工程人防勘察设计</t>
  </si>
  <si>
    <t>重庆隆鑫中心项目建筑设计</t>
  </si>
  <si>
    <t>重庆市江北区观音桥I分区（渝北二村）综合管网整合设计</t>
  </si>
  <si>
    <t>隆鑫渝北二村集团展示中心建筑设计</t>
  </si>
  <si>
    <t>隆鑫中心（原渝北二村）项目三维仿真模型制作</t>
  </si>
  <si>
    <t>重庆隆鑫中心项目机电工程设计咨询顾问服务</t>
  </si>
  <si>
    <t>重庆隆鑫中心项目机电及设备方案、初步设计</t>
  </si>
  <si>
    <t>外立面光彩泛光照明及室内公共区域灯光顾问工程</t>
  </si>
  <si>
    <t>隆鑫中心配套生化池及隔油池工程设计</t>
  </si>
  <si>
    <t>隆鑫中心 销售中心景观设计</t>
  </si>
  <si>
    <t>渝北二村集团展示中心建筑设计</t>
  </si>
  <si>
    <t>重庆隆鑫中心临时销售卖场装修设计</t>
  </si>
  <si>
    <t>重庆隆鑫中心销售中心装修设计（含软装）</t>
  </si>
  <si>
    <t>重庆隆鑫中心销售中心室内设计补充</t>
  </si>
  <si>
    <t>渝北二村深基坑支护设计</t>
  </si>
  <si>
    <t>渝北二村项目—深基坑支护工程（A—B区段）优化设计</t>
  </si>
  <si>
    <t>渝北二村深基坑支护设计施工图审查合同</t>
  </si>
  <si>
    <t>重庆隆鑫中心建设工程施工图设计文件审查</t>
  </si>
  <si>
    <t>重庆隆鑫中心智能化、室内装饰设计方案招标补偿费</t>
  </si>
  <si>
    <t>方案模型</t>
  </si>
  <si>
    <t>隆鑫中心地下车库“一卡通”智能化平台设计合同</t>
  </si>
  <si>
    <t>隆鑫渝北二村项目基坑边坡及周边建（构）筑物变形监测项目</t>
  </si>
  <si>
    <t>T1塔楼精装设计（含公共区域）</t>
  </si>
  <si>
    <t>T1修改设计</t>
  </si>
  <si>
    <t>T1塔楼地下裙楼增加设计费</t>
  </si>
  <si>
    <t>T1塔楼幕墙设计修改</t>
  </si>
  <si>
    <t>钓鱼台美高梅酒店管理（合同终止）</t>
  </si>
  <si>
    <t>新增公寓、住宅、商业精装设计费</t>
  </si>
  <si>
    <t>造价咨询费</t>
  </si>
  <si>
    <t>审计造价</t>
  </si>
  <si>
    <t>监理费</t>
  </si>
  <si>
    <t>渝北二村平基土石方及边坡护理监理合同（延期服务）</t>
  </si>
  <si>
    <t>重庆隆鑫中心项目建设工程监理委托</t>
  </si>
  <si>
    <t>三通一平</t>
  </si>
  <si>
    <t>平基土石方</t>
  </si>
  <si>
    <t>渝北二村一期平基土石方工程</t>
  </si>
  <si>
    <t>边坡支护挡墙</t>
  </si>
  <si>
    <t>地下室周边回填（12米下砼，12米以上共20米土方回填）</t>
  </si>
  <si>
    <t>渝北二村销售中心零星建安</t>
  </si>
  <si>
    <t>隆鑫世纪广场基坑支护鉴定工程</t>
  </si>
  <si>
    <t>渝北二村项目施工用电工程</t>
  </si>
  <si>
    <t>重庆隆鑫中心项目电力工程施工</t>
  </si>
  <si>
    <t>隆鑫中心临时施工用电箱变工程 施工</t>
  </si>
  <si>
    <t>江北区观音桥渝北二村三号、四号、机械局及北部地块拆迁范围临时围墙施工</t>
  </si>
  <si>
    <t>其他前期费用</t>
  </si>
  <si>
    <t>三、</t>
  </si>
  <si>
    <t>建筑安装工程</t>
  </si>
  <si>
    <t>地下车库及设备用房建安工程</t>
  </si>
  <si>
    <t>土建工程</t>
  </si>
  <si>
    <t>基础工程</t>
  </si>
  <si>
    <t>主体结构</t>
  </si>
  <si>
    <t>建筑工程</t>
  </si>
  <si>
    <t>车库/设备用房地坪、墙面装饰，标识</t>
  </si>
  <si>
    <t>安装工程费</t>
  </si>
  <si>
    <t>给排水工程费</t>
  </si>
  <si>
    <t>照明系统</t>
  </si>
  <si>
    <t>强电系统</t>
  </si>
  <si>
    <t>通风空调系统</t>
  </si>
  <si>
    <t>消防水系统</t>
  </si>
  <si>
    <t>消防电系统</t>
  </si>
  <si>
    <t>防排烟系统</t>
  </si>
  <si>
    <t>弱电智能化</t>
  </si>
  <si>
    <t>材料设备费</t>
  </si>
  <si>
    <t>地下商业建安工程</t>
  </si>
  <si>
    <t>土建、精装修工程</t>
  </si>
  <si>
    <t>室内精装修</t>
  </si>
  <si>
    <t>1）</t>
  </si>
  <si>
    <t>店铺区域</t>
  </si>
  <si>
    <t>装饰面积</t>
  </si>
  <si>
    <t>2）</t>
  </si>
  <si>
    <t>公共区域</t>
  </si>
  <si>
    <t>地上商业裙房建安工程</t>
  </si>
  <si>
    <t>土建、外装、精装修工程</t>
  </si>
  <si>
    <t>外墙装饰+灯饰</t>
  </si>
  <si>
    <r>
      <t>T2、T3</t>
    </r>
    <r>
      <rPr>
        <b/>
        <sz val="10"/>
        <rFont val="宋体"/>
        <family val="3"/>
        <charset val="134"/>
      </rPr>
      <t>塔楼（公寓）</t>
    </r>
  </si>
  <si>
    <t>外墙装修+灯饰</t>
  </si>
  <si>
    <t>户内精装修</t>
  </si>
  <si>
    <t>楼层公区精装修</t>
  </si>
  <si>
    <t>3）</t>
  </si>
  <si>
    <t>大堂精装修</t>
  </si>
  <si>
    <t>T1塔楼（住宅）建安工程</t>
  </si>
  <si>
    <t>T1结构改造</t>
  </si>
  <si>
    <t>地暖</t>
  </si>
  <si>
    <t>工程停工产生费用</t>
  </si>
  <si>
    <t>总包停工补偿费用</t>
  </si>
  <si>
    <t>停工期间材料涨价</t>
  </si>
  <si>
    <t>四、</t>
  </si>
  <si>
    <t>基础设施费</t>
  </si>
  <si>
    <t>市政供水工程</t>
  </si>
  <si>
    <t>燃气工程</t>
  </si>
  <si>
    <t>正式供电安装</t>
  </si>
  <si>
    <t>五、</t>
  </si>
  <si>
    <t>配套设施费</t>
  </si>
  <si>
    <t>室外景观基层</t>
  </si>
  <si>
    <t>占地面积</t>
  </si>
  <si>
    <t>环境综合管网工程</t>
  </si>
  <si>
    <t>六、</t>
  </si>
  <si>
    <t>营销费用</t>
  </si>
  <si>
    <t>已发生营销费用</t>
  </si>
  <si>
    <t>后续营销费用</t>
  </si>
  <si>
    <t>总销售金额</t>
  </si>
  <si>
    <t>七、</t>
  </si>
  <si>
    <t>管理费用</t>
  </si>
  <si>
    <t>已发生管理费用</t>
  </si>
  <si>
    <t>后续管理费用</t>
  </si>
  <si>
    <t>八、</t>
  </si>
  <si>
    <t>不可预见费</t>
  </si>
  <si>
    <t>二~五项费用合计</t>
  </si>
  <si>
    <t>九、</t>
  </si>
  <si>
    <t>资金成本</t>
  </si>
  <si>
    <t>资金利息</t>
  </si>
  <si>
    <t>已发生资金成本</t>
  </si>
  <si>
    <t>后续资金成本</t>
  </si>
  <si>
    <t>按原方案销售及利润表</t>
  </si>
  <si>
    <t>销售业态</t>
  </si>
  <si>
    <t>销售数量</t>
  </si>
  <si>
    <t>单价（元/m2或个）</t>
  </si>
  <si>
    <t>销售金额
（元）</t>
  </si>
  <si>
    <t>车库（车位）</t>
  </si>
  <si>
    <t>个</t>
  </si>
  <si>
    <t>2、3#写字楼</t>
  </si>
  <si>
    <t>1#写字楼</t>
  </si>
  <si>
    <t>销售合计</t>
  </si>
  <si>
    <t>税金（详后计算）</t>
  </si>
  <si>
    <t>静态销售利润</t>
  </si>
  <si>
    <t>项目总成本测算表</t>
    <phoneticPr fontId="3" type="noConversion"/>
  </si>
  <si>
    <t>总成本         （万元）</t>
    <phoneticPr fontId="3" type="noConversion"/>
  </si>
  <si>
    <t>截止2018.8.30   已发生金额        （万元）</t>
    <phoneticPr fontId="3" type="noConversion"/>
  </si>
  <si>
    <t>十、</t>
    <phoneticPr fontId="3" type="noConversion"/>
  </si>
  <si>
    <t>税费</t>
    <phoneticPr fontId="3" type="noConversion"/>
  </si>
  <si>
    <t>十一、</t>
    <phoneticPr fontId="3" type="noConversion"/>
  </si>
  <si>
    <t>项目成本合计</t>
    <phoneticPr fontId="3" type="noConversion"/>
  </si>
  <si>
    <t>注：总成本不含税金</t>
    <phoneticPr fontId="3" type="noConversion"/>
  </si>
  <si>
    <t>情况3</t>
  </si>
  <si>
    <r>
      <t xml:space="preserve"> </t>
    </r>
    <r>
      <rPr>
        <sz val="11"/>
        <color indexed="8"/>
        <rFont val="宋体"/>
        <family val="3"/>
        <charset val="134"/>
      </rPr>
      <t>建成</t>
    </r>
    <phoneticPr fontId="25" type="noConversion"/>
  </si>
  <si>
    <t>华新街96号</t>
    <phoneticPr fontId="3" type="noConversion"/>
  </si>
  <si>
    <t>北滨一路288号</t>
    <phoneticPr fontId="3" type="noConversion"/>
  </si>
  <si>
    <t>煌华晶萃城</t>
    <phoneticPr fontId="3" type="noConversion"/>
  </si>
  <si>
    <t xml:space="preserve"> 光华观府国际</t>
    <phoneticPr fontId="3" type="noConversion"/>
  </si>
  <si>
    <t>御龙天峰</t>
    <phoneticPr fontId="3" type="noConversion"/>
  </si>
  <si>
    <t>华新街</t>
    <phoneticPr fontId="3" type="noConversion"/>
  </si>
  <si>
    <t>中高档</t>
  </si>
  <si>
    <t>中高档</t>
    <phoneticPr fontId="25" type="noConversion"/>
  </si>
  <si>
    <t>中档</t>
    <phoneticPr fontId="25" type="noConversion"/>
  </si>
  <si>
    <t>一般</t>
    <phoneticPr fontId="143" type="noConversion"/>
  </si>
  <si>
    <t>契税</t>
    <phoneticPr fontId="8" type="noConversion"/>
  </si>
  <si>
    <t>40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</si>
</sst>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41" formatCode="_-* #,##0_-;\-* #,##0_-;_-* &quot;-&quot;_-;_-@_-"/>
    <numFmt numFmtId="176" formatCode="_ * #,##0_ ;_ * \-#,##0_ ;_ * &quot;-&quot;_ ;_ @_ "/>
    <numFmt numFmtId="177" formatCode="_ * #,##0.00_ ;_ * \-#,##0.00_ ;_ * &quot;-&quot;??_ ;_ @_ "/>
    <numFmt numFmtId="178" formatCode="_(* #,##0_);_(* \(#,##0\);_(* &quot;-&quot;_);_(@_)"/>
    <numFmt numFmtId="179" formatCode="_(* #,##0.00_);_(* \(#,##0.00\);_(* &quot;-&quot;??_);_(@_)"/>
    <numFmt numFmtId="180" formatCode="0.00_);[Red]\(0.00\)"/>
    <numFmt numFmtId="181" formatCode="0_ "/>
    <numFmt numFmtId="182" formatCode="0.0_ "/>
    <numFmt numFmtId="183" formatCode="0.00_ "/>
    <numFmt numFmtId="184" formatCode="0.000_ "/>
    <numFmt numFmtId="185" formatCode="0.0%"/>
    <numFmt numFmtId="186" formatCode="[DBNum2][$-804]General"/>
    <numFmt numFmtId="187" formatCode="0.000%"/>
    <numFmt numFmtId="188" formatCode="yyyy&quot;年&quot;m&quot;月&quot;d&quot;日&quot;;@"/>
    <numFmt numFmtId="189" formatCode="0.0000%"/>
    <numFmt numFmtId="190" formatCode="0_);[Red]\(0\)"/>
    <numFmt numFmtId="191" formatCode="0.0000_ "/>
    <numFmt numFmtId="192" formatCode="0.000_);[Red]\(0.000\)"/>
    <numFmt numFmtId="193" formatCode="0.0_);[Red]\(0.0\)"/>
    <numFmt numFmtId="194" formatCode="yyyy&quot;年&quot;m&quot;月&quot;;@"/>
    <numFmt numFmtId="195" formatCode="0;_쐀"/>
    <numFmt numFmtId="196" formatCode="[$-F800]dddd\,\ mmmm\ dd\,\ yyyy"/>
    <numFmt numFmtId="197" formatCode="[DBNum1][$-804]General"/>
    <numFmt numFmtId="198" formatCode="[DBNum1][$-804]yyyy&quot;年&quot;m&quot;月&quot;d&quot;日&quot;;@"/>
    <numFmt numFmtId="199" formatCode="0_ ;[Red]\-0\ "/>
    <numFmt numFmtId="200" formatCode="yyyy/m/d;@"/>
    <numFmt numFmtId="201" formatCode="0.0_)\%;\(0.0\)\%;0.0_)\%;@_)_%"/>
    <numFmt numFmtId="202" formatCode="#,##0.0_)_%;\(#,##0.0\)_%;0.0_)_%;@_)_%"/>
    <numFmt numFmtId="203" formatCode="#,##0.0_);\(#,##0.0\);#,##0.0_);@_)"/>
    <numFmt numFmtId="204" formatCode="#,##0.0_);\(#,##0.0\)"/>
    <numFmt numFmtId="205" formatCode="&quot;\&quot;_(#,##0.00_);&quot;\&quot;\(#,##0.00\);&quot;\&quot;_(0.00_);@_)"/>
    <numFmt numFmtId="206" formatCode="&quot;\&quot;_(#,##0.00_);&quot;\&quot;\(#,##0.00\)"/>
    <numFmt numFmtId="207" formatCode="&quot;$&quot;_(#,##0.00_);&quot;$&quot;\(#,##0.00\);&quot;$&quot;_(0.00_);@_)"/>
    <numFmt numFmtId="208" formatCode="#,##0.00_);\(#,##0.00\);0.00_);@_)"/>
    <numFmt numFmtId="209" formatCode="&quot;€&quot;_(#,##0.00_);&quot;€&quot;\(#,##0.00\);&quot;€&quot;_(0.00_);@_)"/>
    <numFmt numFmtId="210" formatCode="#,##0_)\x;\(#,##0\)\x;0_)\x;@_)_x"/>
    <numFmt numFmtId="211" formatCode="#,##0.0_)\x;\(#,##0.0\)\x"/>
    <numFmt numFmtId="212" formatCode="#,##0_)_x;\(#,##0\)_x;0_)_x;@_)_x"/>
    <numFmt numFmtId="213" formatCode="#,##0.0_)_x;\(#,##0.0\)_x"/>
    <numFmt numFmtId="214" formatCode="0.0_)\%;\(0.0\)\%"/>
    <numFmt numFmtId="215" formatCode="#,##0.0_)_%;\(#,##0.0\)_%"/>
    <numFmt numFmtId="216" formatCode="_-#,##0_-;\(#,##0\);_-\ \ &quot;-&quot;_-;_-@_-"/>
    <numFmt numFmtId="217" formatCode="_-#,##0.00_-;\(#,##0.00\);_-\ \ &quot;-&quot;_-;_-@_-"/>
    <numFmt numFmtId="218" formatCode="mmm/dd/yyyy;_-\ &quot;N/A&quot;_-;_-\ &quot;-&quot;_-"/>
    <numFmt numFmtId="219" formatCode="mmm/yyyy;_-\ &quot;N/A&quot;_-;_-\ &quot;-&quot;_-"/>
    <numFmt numFmtId="220" formatCode="_-#,##0%_-;\(#,##0%\);_-\ &quot;-&quot;_-"/>
    <numFmt numFmtId="221" formatCode="_-#,###,_-;\(#,###,\);_-\ \ &quot;-&quot;_-;_-@_-"/>
    <numFmt numFmtId="222" formatCode="_-#,###.00,_-;\(#,###.00,\);_-\ \ &quot;-&quot;_-;_-@_-"/>
    <numFmt numFmtId="223" formatCode="_-#0&quot;.&quot;0,_-;\(#0&quot;.&quot;0,\);_-\ \ &quot;-&quot;_-;_-@_-"/>
    <numFmt numFmtId="224" formatCode="_-#0&quot;.&quot;0000_-;\(#0&quot;.&quot;0000\);_-\ \ &quot;-&quot;_-;_-@_-"/>
    <numFmt numFmtId="225" formatCode="&quot;\&quot;#,##0;[Red]&quot;\&quot;&quot;\&quot;&quot;\&quot;&quot;\&quot;&quot;\&quot;&quot;\&quot;&quot;\&quot;\-#,##0"/>
    <numFmt numFmtId="226" formatCode="#,##0_%_);\(#,##0\)_%;#,##0_%_);@_%_)"/>
    <numFmt numFmtId="227" formatCode="#,##0.00_%_);\(#,##0.00\)_%;#,##0.00_%_);@_%_)"/>
    <numFmt numFmtId="228" formatCode="&quot;\&quot;#,##0_%_);\(&quot;\&quot;#,##0\)_%;&quot;\&quot;#,##0_%_);@_%_)"/>
    <numFmt numFmtId="229" formatCode="&quot;\&quot;#,##0.00_%_);\(&quot;\&quot;#,##0.00\)_%;&quot;\&quot;#,##0.00_%_);@_%_)"/>
    <numFmt numFmtId="230" formatCode="m/d/yy_%_)"/>
    <numFmt numFmtId="231" formatCode="0_%_);\(0\)_%;0_%_);@_%_)"/>
    <numFmt numFmtId="232" formatCode="_([$€-2]* #,##0.00_);_([$€-2]* \(#,##0.00\);_([$€-2]* &quot;-&quot;??_)"/>
    <numFmt numFmtId="233" formatCode="_(&quot;･&quot;* #,##0.00_);_(&quot;･&quot;* \(#,##0.00\);_(&quot;･&quot;* &quot;-&quot;??_);_(@_)"/>
    <numFmt numFmtId="234" formatCode="&quot;･&quot;#,##0.00_);[Red]\(&quot;･&quot;#,##0.00\)"/>
    <numFmt numFmtId="235" formatCode="0.00_)"/>
    <numFmt numFmtId="236" formatCode="&quot;\&quot;#,##0.00;[Red]&quot;\&quot;\-#,##0.00"/>
    <numFmt numFmtId="237" formatCode="&quot;\&quot;#,##0;[Red]&quot;\&quot;\-#,##0"/>
    <numFmt numFmtId="238" formatCode="_(&quot;$&quot;* #,##0.00_);_(&quot;$&quot;* \(#,##0.00\);_(&quot;$&quot;* &quot;-&quot;??_);_(@_)"/>
    <numFmt numFmtId="239" formatCode="_(* #,##0_);_(* \(#,##0\);_(* &quot;-&quot;??_);_(@_)"/>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rgb="FF78B43C"/>
      <name val="微软雅黑"/>
      <family val="2"/>
      <charset val="134"/>
    </font>
    <font>
      <sz val="8"/>
      <color rgb="FF313131"/>
      <name val="微软雅黑"/>
      <family val="2"/>
      <charset val="134"/>
    </font>
    <font>
      <sz val="8"/>
      <color rgb="FF2E2E2E"/>
      <name val="微软雅黑"/>
      <family val="2"/>
      <charset val="134"/>
    </font>
    <font>
      <sz val="8"/>
      <color theme="1"/>
      <name val="微软雅黑"/>
      <family val="2"/>
      <charset val="134"/>
    </font>
    <font>
      <u/>
      <sz val="11"/>
      <color theme="10"/>
      <name val="宋体"/>
      <family val="3"/>
      <charset val="134"/>
      <scheme val="minor"/>
    </font>
    <font>
      <b/>
      <sz val="18"/>
      <name val="宋体"/>
      <family val="3"/>
      <charset val="134"/>
    </font>
    <font>
      <sz val="12"/>
      <name val="Times New Roman"/>
      <family val="1"/>
    </font>
    <font>
      <sz val="10.5"/>
      <name val="宋体"/>
      <family val="3"/>
      <charset val="134"/>
    </font>
    <font>
      <b/>
      <sz val="10.5"/>
      <name val="宋体"/>
      <family val="3"/>
      <charset val="134"/>
    </font>
    <font>
      <sz val="11"/>
      <name val="ＭＳ ゴシック"/>
      <family val="3"/>
      <charset val="134"/>
    </font>
    <font>
      <sz val="10"/>
      <name val="Courier"/>
      <family val="3"/>
    </font>
    <font>
      <sz val="10"/>
      <name val="Times New Roman"/>
      <family val="1"/>
    </font>
    <font>
      <sz val="11"/>
      <name val="ＭＳ Ｐゴシック"/>
      <family val="2"/>
      <charset val="134"/>
    </font>
    <font>
      <sz val="10"/>
      <name val="ＭＳ 明朝"/>
      <family val="3"/>
      <charset val="134"/>
    </font>
    <font>
      <sz val="10"/>
      <name val="Helv"/>
      <family val="2"/>
    </font>
    <font>
      <sz val="10"/>
      <color indexed="8"/>
      <name val="MS Sans Serif"/>
      <family val="2"/>
    </font>
    <font>
      <sz val="10"/>
      <name val="MS Sans Serif"/>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11"/>
      <color indexed="8"/>
      <name val="Tahoma"/>
      <family val="2"/>
      <charset val="134"/>
    </font>
    <font>
      <sz val="11"/>
      <color indexed="9"/>
      <name val="宋体"/>
      <family val="3"/>
      <charset val="134"/>
    </font>
    <font>
      <sz val="11"/>
      <color indexed="20"/>
      <name val="宋体"/>
      <family val="3"/>
      <charset val="134"/>
    </font>
    <font>
      <sz val="10"/>
      <color indexed="12"/>
      <name val="Helvetica"/>
      <family val="2"/>
    </font>
    <font>
      <b/>
      <sz val="11"/>
      <color indexed="52"/>
      <name val="宋体"/>
      <family val="3"/>
      <charset val="134"/>
    </font>
    <font>
      <b/>
      <sz val="11"/>
      <color indexed="9"/>
      <name val="宋体"/>
      <family val="3"/>
      <charset val="134"/>
    </font>
    <font>
      <sz val="8"/>
      <name val="Palatino"/>
      <family val="2"/>
    </font>
    <font>
      <sz val="8"/>
      <name val="Arial"/>
      <family val="2"/>
    </font>
    <font>
      <i/>
      <sz val="11"/>
      <color indexed="23"/>
      <name val="宋体"/>
      <family val="3"/>
      <charset val="134"/>
    </font>
    <font>
      <sz val="9"/>
      <name val="Times New Roman"/>
      <family val="1"/>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b/>
      <sz val="10"/>
      <name val="Times New Roman"/>
      <family val="1"/>
    </font>
    <font>
      <sz val="11"/>
      <color indexed="60"/>
      <name val="宋体"/>
      <family val="3"/>
      <charset val="134"/>
    </font>
    <font>
      <b/>
      <i/>
      <sz val="16"/>
      <name val="Helv"/>
      <family val="2"/>
    </font>
    <font>
      <b/>
      <sz val="11"/>
      <color indexed="63"/>
      <name val="宋体"/>
      <family val="3"/>
      <charset val="134"/>
    </font>
    <font>
      <b/>
      <sz val="10"/>
      <color indexed="39"/>
      <name val="Arial"/>
      <family val="2"/>
    </font>
    <font>
      <sz val="10"/>
      <color indexed="39"/>
      <name val="Arial"/>
      <family val="2"/>
    </font>
    <font>
      <sz val="19"/>
      <color indexed="48"/>
      <name val="Arial"/>
      <family val="2"/>
    </font>
    <font>
      <b/>
      <sz val="18"/>
      <color indexed="56"/>
      <name val="宋体"/>
      <family val="3"/>
      <charset val="134"/>
    </font>
    <font>
      <u/>
      <sz val="12"/>
      <color indexed="12"/>
      <name val="新細明體"/>
      <family val="1"/>
      <charset val="134"/>
    </font>
    <font>
      <sz val="12"/>
      <name val="官帕眉"/>
      <charset val="134"/>
    </font>
    <font>
      <sz val="11"/>
      <color indexed="17"/>
      <name val="Tahoma"/>
      <family val="2"/>
      <charset val="134"/>
    </font>
    <font>
      <sz val="12"/>
      <name val="바탕체"/>
      <family val="3"/>
      <charset val="134"/>
    </font>
    <font>
      <sz val="11"/>
      <color indexed="60"/>
      <name val="Tahoma"/>
      <family val="2"/>
      <charset val="134"/>
    </font>
    <font>
      <sz val="14"/>
      <name val="新細明體"/>
      <family val="1"/>
      <charset val="134"/>
    </font>
    <font>
      <u/>
      <sz val="11"/>
      <color theme="11"/>
      <name val="宋体"/>
      <family val="3"/>
      <charset val="134"/>
      <scheme val="minor"/>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54"/>
        <bgColor indexed="64"/>
      </patternFill>
    </fill>
    <fill>
      <patternFill patternType="solid">
        <fgColor indexed="15"/>
        <bgColor indexed="64"/>
      </patternFill>
    </fill>
    <fill>
      <patternFill patternType="solid">
        <fgColor theme="4"/>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s>
  <cellStyleXfs count="70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0" fontId="258" fillId="0" borderId="0" applyNumberFormat="0" applyFill="0" applyBorder="0" applyAlignment="0" applyProtection="0">
      <alignment vertical="center"/>
    </xf>
    <xf numFmtId="0" fontId="37" fillId="0" borderId="0">
      <alignment vertical="center"/>
    </xf>
    <xf numFmtId="0" fontId="260" fillId="0" borderId="0"/>
    <xf numFmtId="0" fontId="263" fillId="0" borderId="0" applyFont="0" applyFill="0" applyBorder="0" applyAlignment="0" applyProtection="0"/>
    <xf numFmtId="0" fontId="56" fillId="0" borderId="0"/>
    <xf numFmtId="0" fontId="56" fillId="0" borderId="0"/>
    <xf numFmtId="0" fontId="56" fillId="0" borderId="0"/>
    <xf numFmtId="0" fontId="264" fillId="0" borderId="0"/>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201" fontId="266" fillId="0" borderId="0" applyFont="0" applyFill="0" applyBorder="0" applyAlignment="0" applyProtection="0"/>
    <xf numFmtId="202" fontId="266" fillId="0" borderId="0" applyFont="0" applyFill="0" applyBorder="0" applyAlignment="0" applyProtection="0"/>
    <xf numFmtId="0" fontId="265" fillId="0" borderId="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0" fillId="0" borderId="0"/>
    <xf numFmtId="0" fontId="260" fillId="0" borderId="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protection locked="0"/>
    </xf>
    <xf numFmtId="0" fontId="269" fillId="0" borderId="0" applyNumberFormat="0" applyFont="0" applyFill="0" applyBorder="0" applyAlignment="0" applyProtection="0"/>
    <xf numFmtId="0" fontId="263" fillId="0" borderId="0" applyFont="0" applyFill="0" applyBorder="0" applyAlignment="0" applyProtection="0"/>
    <xf numFmtId="3" fontId="270" fillId="0" borderId="0"/>
    <xf numFmtId="203" fontId="266" fillId="0" borderId="0" applyFont="0" applyFill="0" applyBorder="0" applyAlignment="0" applyProtection="0"/>
    <xf numFmtId="204" fontId="266" fillId="0" borderId="0" applyFont="0" applyFill="0" applyBorder="0" applyAlignment="0" applyProtection="0"/>
    <xf numFmtId="3" fontId="270" fillId="0" borderId="0"/>
    <xf numFmtId="0" fontId="56" fillId="0" borderId="0"/>
    <xf numFmtId="205" fontId="266" fillId="0" borderId="0" applyFont="0" applyFill="0" applyBorder="0" applyAlignment="0" applyProtection="0"/>
    <xf numFmtId="206" fontId="266" fillId="0" borderId="0" applyFont="0" applyFill="0" applyBorder="0" applyAlignment="0" applyProtection="0"/>
    <xf numFmtId="205" fontId="266" fillId="0" borderId="0" applyFont="0" applyFill="0" applyBorder="0" applyAlignment="0" applyProtection="0"/>
    <xf numFmtId="205" fontId="266" fillId="0" borderId="0" applyFont="0" applyFill="0" applyBorder="0" applyAlignment="0" applyProtection="0"/>
    <xf numFmtId="205" fontId="266" fillId="0" borderId="0" applyFont="0" applyFill="0" applyBorder="0" applyAlignment="0" applyProtection="0"/>
    <xf numFmtId="207" fontId="266" fillId="0" borderId="0" applyFont="0" applyFill="0" applyBorder="0" applyAlignment="0" applyProtection="0"/>
    <xf numFmtId="207" fontId="266" fillId="0" borderId="0" applyFont="0" applyFill="0" applyBorder="0" applyAlignment="0" applyProtection="0"/>
    <xf numFmtId="208" fontId="266" fillId="0" borderId="0" applyFont="0" applyFill="0" applyBorder="0" applyAlignment="0" applyProtection="0"/>
    <xf numFmtId="39" fontId="266" fillId="0" borderId="0" applyFont="0" applyFill="0" applyBorder="0" applyAlignment="0" applyProtection="0"/>
    <xf numFmtId="0" fontId="56"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209" fontId="266" fillId="0" borderId="0" applyFont="0" applyFill="0" applyBorder="0" applyAlignment="0" applyProtection="0"/>
    <xf numFmtId="0" fontId="271" fillId="0" borderId="0" applyNumberFormat="0" applyFill="0" applyBorder="0" applyAlignment="0" applyProtection="0"/>
    <xf numFmtId="0" fontId="266" fillId="25" borderId="0" applyNumberFormat="0" applyFont="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8" fillId="0" borderId="0">
      <protection locked="0"/>
    </xf>
    <xf numFmtId="0" fontId="268" fillId="0" borderId="0">
      <protection locked="0"/>
    </xf>
    <xf numFmtId="210" fontId="266" fillId="0" borderId="0" applyFont="0" applyFill="0" applyBorder="0" applyAlignment="0" applyProtection="0"/>
    <xf numFmtId="211" fontId="266" fillId="0" borderId="0" applyFont="0" applyFill="0" applyBorder="0" applyAlignment="0" applyProtection="0"/>
    <xf numFmtId="212" fontId="266" fillId="0" borderId="0" applyFont="0" applyFill="0" applyBorder="0" applyProtection="0">
      <alignment horizontal="right"/>
    </xf>
    <xf numFmtId="213" fontId="266" fillId="0" borderId="0" applyFont="0" applyFill="0" applyBorder="0" applyAlignment="0" applyProtection="0"/>
    <xf numFmtId="214" fontId="266" fillId="0" borderId="0" applyFont="0" applyFill="0" applyBorder="0" applyAlignment="0" applyProtection="0"/>
    <xf numFmtId="215" fontId="266" fillId="0" borderId="0" applyFont="0" applyFill="0" applyBorder="0" applyAlignment="0" applyProtection="0"/>
    <xf numFmtId="0" fontId="260" fillId="0" borderId="0"/>
    <xf numFmtId="3" fontId="270" fillId="0" borderId="0"/>
    <xf numFmtId="3" fontId="270" fillId="0" borderId="0"/>
    <xf numFmtId="0" fontId="272" fillId="0" borderId="0" applyNumberFormat="0" applyFill="0" applyBorder="0" applyProtection="0">
      <alignment vertical="top"/>
    </xf>
    <xf numFmtId="3" fontId="270" fillId="0" borderId="0"/>
    <xf numFmtId="0" fontId="58" fillId="0" borderId="162" applyNumberFormat="0" applyFill="0" applyAlignment="0" applyProtection="0"/>
    <xf numFmtId="0" fontId="273" fillId="0" borderId="163" applyNumberFormat="0" applyFill="0" applyProtection="0">
      <alignment horizontal="center"/>
    </xf>
    <xf numFmtId="0" fontId="273" fillId="0" borderId="0" applyNumberFormat="0" applyFill="0" applyBorder="0" applyProtection="0">
      <alignment horizontal="left"/>
    </xf>
    <xf numFmtId="0" fontId="274" fillId="0" borderId="0" applyNumberFormat="0" applyFill="0" applyBorder="0" applyProtection="0">
      <alignment horizontal="centerContinuous"/>
    </xf>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263" fillId="0" borderId="0" applyFont="0" applyFill="0" applyBorder="0" applyAlignment="0" applyProtection="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56" fillId="0" borderId="0"/>
    <xf numFmtId="216" fontId="265" fillId="0" borderId="0" applyFill="0" applyBorder="0" applyProtection="0">
      <alignment horizontal="right"/>
    </xf>
    <xf numFmtId="217" fontId="265" fillId="0" borderId="0" applyFill="0" applyBorder="0" applyProtection="0">
      <alignment horizontal="right"/>
    </xf>
    <xf numFmtId="218" fontId="275" fillId="0" borderId="0" applyFill="0" applyBorder="0" applyProtection="0">
      <alignment horizontal="center"/>
    </xf>
    <xf numFmtId="219" fontId="275" fillId="0" borderId="0" applyFill="0" applyBorder="0" applyProtection="0">
      <alignment horizontal="center"/>
    </xf>
    <xf numFmtId="220" fontId="276" fillId="0" borderId="0" applyFill="0" applyBorder="0" applyProtection="0">
      <alignment horizontal="right"/>
    </xf>
    <xf numFmtId="221" fontId="265" fillId="0" borderId="0" applyFill="0" applyBorder="0" applyProtection="0">
      <alignment horizontal="right"/>
    </xf>
    <xf numFmtId="222" fontId="265" fillId="0" borderId="0" applyFill="0" applyBorder="0" applyProtection="0">
      <alignment horizontal="right"/>
    </xf>
    <xf numFmtId="223" fontId="265" fillId="0" borderId="0" applyFill="0" applyBorder="0" applyProtection="0">
      <alignment horizontal="right"/>
    </xf>
    <xf numFmtId="224" fontId="265" fillId="0" borderId="0" applyFill="0" applyBorder="0" applyProtection="0">
      <alignment horizontal="right"/>
    </xf>
    <xf numFmtId="0" fontId="56" fillId="0" borderId="0"/>
    <xf numFmtId="0" fontId="56" fillId="0" borderId="0"/>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277" fillId="26"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3" fontId="270" fillId="0" borderId="0"/>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3" fontId="270" fillId="0" borderId="0"/>
    <xf numFmtId="0" fontId="56" fillId="0" borderId="0"/>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3" fontId="270" fillId="0" borderId="0"/>
    <xf numFmtId="37" fontId="280" fillId="0" borderId="0" applyNumberFormat="0" applyFill="0" applyBorder="0" applyAlignment="0" applyProtection="0"/>
    <xf numFmtId="3" fontId="270" fillId="0" borderId="0"/>
    <xf numFmtId="0" fontId="263" fillId="0" borderId="0" applyFill="0" applyBorder="0" applyAlignment="0"/>
    <xf numFmtId="0" fontId="281" fillId="43" borderId="164" applyNumberFormat="0" applyAlignment="0" applyProtection="0">
      <alignment vertical="center"/>
    </xf>
    <xf numFmtId="0" fontId="281" fillId="43" borderId="164" applyNumberFormat="0" applyAlignment="0" applyProtection="0">
      <alignment vertical="center"/>
    </xf>
    <xf numFmtId="0" fontId="281" fillId="43" borderId="164" applyNumberFormat="0" applyAlignment="0" applyProtection="0">
      <alignment vertical="center"/>
    </xf>
    <xf numFmtId="3" fontId="270" fillId="0" borderId="0"/>
    <xf numFmtId="3" fontId="37" fillId="0" borderId="1"/>
    <xf numFmtId="3" fontId="37" fillId="0" borderId="1"/>
    <xf numFmtId="3" fontId="37" fillId="0" borderId="1"/>
    <xf numFmtId="3" fontId="37" fillId="0" borderId="1"/>
    <xf numFmtId="3" fontId="37" fillId="0" borderId="1"/>
    <xf numFmtId="3" fontId="37" fillId="0" borderId="1"/>
    <xf numFmtId="3" fontId="37" fillId="0" borderId="1"/>
    <xf numFmtId="0" fontId="282" fillId="44" borderId="165" applyNumberFormat="0" applyAlignment="0" applyProtection="0">
      <alignment vertical="center"/>
    </xf>
    <xf numFmtId="0" fontId="282" fillId="44" borderId="165" applyNumberFormat="0" applyAlignment="0" applyProtection="0">
      <alignment vertical="center"/>
    </xf>
    <xf numFmtId="0" fontId="282" fillId="44" borderId="165" applyNumberFormat="0" applyAlignment="0" applyProtection="0">
      <alignment vertical="center"/>
    </xf>
    <xf numFmtId="225" fontId="56" fillId="0" borderId="0"/>
    <xf numFmtId="225" fontId="56" fillId="0" borderId="0"/>
    <xf numFmtId="225" fontId="56" fillId="0" borderId="0"/>
    <xf numFmtId="225" fontId="56" fillId="0" borderId="0"/>
    <xf numFmtId="225" fontId="56" fillId="0" borderId="0"/>
    <xf numFmtId="225" fontId="56" fillId="0" borderId="0"/>
    <xf numFmtId="225" fontId="56" fillId="0" borderId="0"/>
    <xf numFmtId="225" fontId="56" fillId="0" borderId="0"/>
    <xf numFmtId="226" fontId="283" fillId="0" borderId="0" applyFont="0" applyFill="0" applyBorder="0" applyAlignment="0" applyProtection="0">
      <alignment horizontal="right"/>
    </xf>
    <xf numFmtId="227" fontId="283" fillId="0" borderId="0" applyFont="0" applyFill="0" applyBorder="0" applyAlignment="0" applyProtection="0">
      <alignment horizontal="right"/>
    </xf>
    <xf numFmtId="228" fontId="283" fillId="0" borderId="0" applyFont="0" applyFill="0" applyBorder="0" applyAlignment="0" applyProtection="0">
      <alignment horizontal="right"/>
    </xf>
    <xf numFmtId="229" fontId="283" fillId="0" borderId="0" applyFont="0" applyFill="0" applyBorder="0" applyAlignment="0" applyProtection="0">
      <alignment horizontal="right"/>
    </xf>
    <xf numFmtId="230" fontId="283" fillId="0" borderId="0" applyFont="0" applyFill="0" applyBorder="0" applyAlignment="0" applyProtection="0"/>
    <xf numFmtId="3" fontId="270" fillId="0" borderId="0"/>
    <xf numFmtId="231" fontId="283" fillId="0" borderId="166" applyNumberFormat="0" applyFont="0" applyFill="0" applyAlignment="0" applyProtection="0"/>
    <xf numFmtId="0" fontId="284" fillId="2" borderId="1"/>
    <xf numFmtId="3" fontId="270" fillId="0" borderId="0"/>
    <xf numFmtId="3" fontId="270" fillId="0" borderId="0"/>
    <xf numFmtId="232" fontId="265" fillId="0" borderId="0" applyFont="0" applyFill="0" applyBorder="0" applyAlignment="0" applyProtection="0"/>
    <xf numFmtId="0" fontId="56" fillId="0" borderId="0"/>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Fill="0" applyBorder="0">
      <alignment horizontal="left" vertical="top"/>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38" fontId="284" fillId="43" borderId="0" applyNumberFormat="0" applyBorder="0" applyAlignment="0" applyProtection="0"/>
    <xf numFmtId="0" fontId="60" fillId="0" borderId="64" applyNumberFormat="0" applyAlignment="0" applyProtection="0">
      <alignment horizontal="left" vertical="center"/>
    </xf>
    <xf numFmtId="0" fontId="60" fillId="0" borderId="54">
      <alignment horizontal="lef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1" fillId="31" borderId="164" applyNumberFormat="0" applyAlignment="0" applyProtection="0">
      <alignment vertical="center"/>
    </xf>
    <xf numFmtId="10" fontId="284" fillId="45" borderId="1" applyNumberFormat="0" applyBorder="0" applyAlignment="0" applyProtection="0"/>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56" fillId="0" borderId="0"/>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38" fontId="265" fillId="0" borderId="0"/>
    <xf numFmtId="38" fontId="293" fillId="1" borderId="60"/>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233" fontId="56" fillId="0" borderId="0" applyFont="0" applyFill="0" applyBorder="0" applyAlignment="0" applyProtection="0"/>
    <xf numFmtId="234" fontId="238" fillId="0" borderId="53">
      <alignment horizontal="left"/>
    </xf>
    <xf numFmtId="235" fontId="295" fillId="0" borderId="0"/>
    <xf numFmtId="196" fontId="56" fillId="0" borderId="0"/>
    <xf numFmtId="196" fontId="99" fillId="0" borderId="0"/>
    <xf numFmtId="0" fontId="37" fillId="0" borderId="0"/>
    <xf numFmtId="0" fontId="269" fillId="0" borderId="0"/>
    <xf numFmtId="0" fontId="56" fillId="0" borderId="0"/>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10" fontId="56" fillId="0" borderId="0" applyFont="0" applyFill="0" applyBorder="0" applyAlignment="0" applyProtection="0"/>
    <xf numFmtId="3" fontId="270" fillId="0" borderId="0"/>
    <xf numFmtId="0" fontId="284" fillId="43" borderId="1"/>
    <xf numFmtId="3" fontId="270" fillId="0" borderId="0"/>
    <xf numFmtId="0" fontId="144" fillId="0" borderId="0" applyNumberFormat="0" applyFill="0" applyBorder="0" applyAlignment="0" applyProtection="0"/>
    <xf numFmtId="0" fontId="56" fillId="0" borderId="0"/>
    <xf numFmtId="4" fontId="55" fillId="25" borderId="173" applyNumberFormat="0" applyProtection="0">
      <alignment vertical="center"/>
    </xf>
    <xf numFmtId="4" fontId="297" fillId="25" borderId="173" applyNumberFormat="0" applyProtection="0">
      <alignment vertical="center"/>
    </xf>
    <xf numFmtId="4" fontId="55" fillId="25" borderId="173" applyNumberFormat="0" applyProtection="0">
      <alignment horizontal="left" vertical="center" indent="1"/>
    </xf>
    <xf numFmtId="0" fontId="55" fillId="25" borderId="173" applyNumberFormat="0" applyProtection="0">
      <alignment horizontal="left" vertical="top" indent="1"/>
    </xf>
    <xf numFmtId="4" fontId="55" fillId="46" borderId="0" applyNumberFormat="0" applyProtection="0">
      <alignment horizontal="left" vertical="center" indent="1"/>
    </xf>
    <xf numFmtId="4" fontId="50" fillId="39" borderId="173" applyNumberFormat="0" applyProtection="0">
      <alignment horizontal="right" vertical="center"/>
    </xf>
    <xf numFmtId="4" fontId="50" fillId="27" borderId="173" applyNumberFormat="0" applyProtection="0">
      <alignment horizontal="right" vertical="center"/>
    </xf>
    <xf numFmtId="4" fontId="50" fillId="33" borderId="173" applyNumberFormat="0" applyProtection="0">
      <alignment horizontal="right" vertical="center"/>
    </xf>
    <xf numFmtId="4" fontId="50" fillId="4" borderId="173" applyNumberFormat="0" applyProtection="0">
      <alignment horizontal="right" vertical="center"/>
    </xf>
    <xf numFmtId="4" fontId="50" fillId="35" borderId="173" applyNumberFormat="0" applyProtection="0">
      <alignment horizontal="right" vertical="center"/>
    </xf>
    <xf numFmtId="4" fontId="50" fillId="39" borderId="173" applyNumberFormat="0" applyProtection="0">
      <alignment horizontal="right" vertical="center"/>
    </xf>
    <xf numFmtId="4" fontId="50" fillId="42" borderId="173" applyNumberFormat="0" applyProtection="0">
      <alignment horizontal="right" vertical="center"/>
    </xf>
    <xf numFmtId="4" fontId="50" fillId="41" borderId="173" applyNumberFormat="0" applyProtection="0">
      <alignment horizontal="right" vertical="center"/>
    </xf>
    <xf numFmtId="4" fontId="50" fillId="47" borderId="173" applyNumberFormat="0" applyProtection="0">
      <alignment horizontal="right" vertical="center"/>
    </xf>
    <xf numFmtId="4" fontId="50" fillId="34" borderId="173" applyNumberFormat="0" applyProtection="0">
      <alignment horizontal="right" vertical="center"/>
    </xf>
    <xf numFmtId="4" fontId="55" fillId="48" borderId="174" applyNumberFormat="0" applyProtection="0">
      <alignment horizontal="left" vertical="center" indent="1"/>
    </xf>
    <xf numFmtId="4" fontId="50" fillId="49" borderId="0" applyNumberFormat="0" applyProtection="0">
      <alignment horizontal="left" vertical="center" indent="1"/>
    </xf>
    <xf numFmtId="4" fontId="48" fillId="50" borderId="0" applyNumberFormat="0" applyProtection="0">
      <alignment horizontal="left" vertical="center" indent="1"/>
    </xf>
    <xf numFmtId="4" fontId="50" fillId="46" borderId="173" applyNumberFormat="0" applyProtection="0">
      <alignment horizontal="right" vertical="center"/>
    </xf>
    <xf numFmtId="4" fontId="50" fillId="49" borderId="0" applyNumberFormat="0" applyProtection="0">
      <alignment horizontal="left" vertical="center" indent="1"/>
    </xf>
    <xf numFmtId="4" fontId="50" fillId="46" borderId="0"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56" fillId="50" borderId="173" applyNumberFormat="0" applyProtection="0">
      <alignment horizontal="left" vertical="top" indent="1"/>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56" fillId="46" borderId="173" applyNumberFormat="0" applyProtection="0">
      <alignment horizontal="left" vertical="top" indent="1"/>
    </xf>
    <xf numFmtId="0" fontId="56" fillId="32" borderId="173" applyNumberFormat="0" applyProtection="0">
      <alignment horizontal="left" vertical="center" indent="1"/>
    </xf>
    <xf numFmtId="0" fontId="56" fillId="32" borderId="173" applyNumberFormat="0" applyProtection="0">
      <alignment horizontal="left" vertical="top" indent="1"/>
    </xf>
    <xf numFmtId="0" fontId="56" fillId="49" borderId="173" applyNumberFormat="0" applyProtection="0">
      <alignment horizontal="left" vertical="center" indent="1"/>
    </xf>
    <xf numFmtId="0" fontId="56" fillId="49" borderId="173" applyNumberFormat="0" applyProtection="0">
      <alignment horizontal="left" vertical="top" indent="1"/>
    </xf>
    <xf numFmtId="4" fontId="50" fillId="45" borderId="173" applyNumberFormat="0" applyProtection="0">
      <alignment vertical="center"/>
    </xf>
    <xf numFmtId="4" fontId="298" fillId="45" borderId="173" applyNumberFormat="0" applyProtection="0">
      <alignment vertical="center"/>
    </xf>
    <xf numFmtId="4" fontId="50" fillId="45" borderId="173" applyNumberFormat="0" applyProtection="0">
      <alignment horizontal="left" vertical="center" indent="1"/>
    </xf>
    <xf numFmtId="0" fontId="50" fillId="45" borderId="173" applyNumberFormat="0" applyProtection="0">
      <alignment horizontal="left" vertical="top" indent="1"/>
    </xf>
    <xf numFmtId="4" fontId="50" fillId="49" borderId="173" applyNumberFormat="0" applyProtection="0">
      <alignment horizontal="right" vertical="center"/>
    </xf>
    <xf numFmtId="4" fontId="298" fillId="49" borderId="173" applyNumberFormat="0" applyProtection="0">
      <alignment horizontal="right" vertical="center"/>
    </xf>
    <xf numFmtId="4" fontId="50" fillId="46" borderId="173" applyNumberFormat="0" applyProtection="0">
      <alignment horizontal="left" vertical="center" indent="1"/>
    </xf>
    <xf numFmtId="0" fontId="50" fillId="46" borderId="173" applyNumberFormat="0" applyProtection="0">
      <alignment horizontal="left" vertical="top" indent="1"/>
    </xf>
    <xf numFmtId="4" fontId="299" fillId="51" borderId="0" applyNumberFormat="0" applyProtection="0">
      <alignment horizontal="left" vertical="center" indent="1"/>
    </xf>
    <xf numFmtId="4" fontId="51" fillId="49" borderId="173" applyNumberFormat="0" applyProtection="0">
      <alignment horizontal="right" vertical="center"/>
    </xf>
    <xf numFmtId="38" fontId="265" fillId="0" borderId="36"/>
    <xf numFmtId="3" fontId="270" fillId="0" borderId="0"/>
    <xf numFmtId="3" fontId="270" fillId="0" borderId="0"/>
    <xf numFmtId="3" fontId="270"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56" fillId="0" borderId="0"/>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3" fontId="270" fillId="0" borderId="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236" fontId="56" fillId="0" borderId="0" applyFont="0" applyFill="0" applyBorder="0" applyAlignment="0" applyProtection="0"/>
    <xf numFmtId="237" fontId="56"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xf numFmtId="0" fontId="99" fillId="0" borderId="0"/>
    <xf numFmtId="206" fontId="99" fillId="0" borderId="0"/>
    <xf numFmtId="0" fontId="99" fillId="0" borderId="0">
      <alignment vertical="center"/>
    </xf>
    <xf numFmtId="0" fontId="9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xf numFmtId="0" fontId="99" fillId="0" borderId="0"/>
    <xf numFmtId="238" fontId="99"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1" fillId="0" borderId="0" applyNumberFormat="0" applyFill="0" applyBorder="0" applyAlignment="0" applyProtection="0">
      <alignment vertical="top"/>
      <protection locked="0"/>
    </xf>
    <xf numFmtId="9" fontId="302" fillId="0" borderId="0" applyFont="0" applyFill="0" applyBorder="0" applyAlignment="0" applyProtection="0"/>
    <xf numFmtId="0" fontId="303"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179" fontId="56" fillId="0" borderId="0" applyFont="0" applyFill="0" applyBorder="0" applyAlignment="0" applyProtection="0"/>
    <xf numFmtId="178" fontId="56" fillId="0" borderId="0" applyFont="0" applyFill="0" applyBorder="0" applyAlignment="0" applyProtection="0"/>
    <xf numFmtId="38" fontId="266" fillId="0" borderId="0" applyFont="0" applyFill="0" applyBorder="0" applyAlignment="0" applyProtection="0"/>
    <xf numFmtId="40" fontId="266" fillId="0" borderId="0" applyFont="0" applyFill="0" applyBorder="0" applyAlignment="0" applyProtection="0"/>
    <xf numFmtId="0" fontId="266" fillId="0" borderId="0" applyFont="0" applyFill="0" applyBorder="0" applyAlignment="0" applyProtection="0"/>
    <xf numFmtId="0" fontId="266" fillId="0" borderId="0" applyFont="0" applyFill="0" applyBorder="0" applyAlignment="0" applyProtection="0"/>
    <xf numFmtId="0" fontId="304" fillId="0" borderId="0"/>
    <xf numFmtId="176" fontId="302" fillId="0" borderId="0" applyFont="0" applyFill="0" applyBorder="0" applyAlignment="0" applyProtection="0"/>
    <xf numFmtId="177" fontId="302" fillId="0" borderId="0" applyFont="0" applyFill="0" applyBorder="0" applyAlignment="0" applyProtection="0"/>
    <xf numFmtId="190" fontId="270" fillId="0" borderId="0" applyFont="0" applyFill="0" applyBorder="0" applyAlignment="0" applyProtection="0"/>
    <xf numFmtId="239" fontId="270" fillId="0" borderId="0" applyFont="0" applyFill="0" applyBorder="0" applyAlignment="0" applyProtection="0"/>
    <xf numFmtId="176" fontId="265" fillId="0" borderId="0" applyFont="0" applyFill="0" applyBorder="0" applyAlignment="0" applyProtection="0"/>
    <xf numFmtId="177" fontId="265" fillId="0" borderId="0" applyFont="0" applyFill="0" applyBorder="0" applyAlignment="0" applyProtection="0"/>
    <xf numFmtId="178" fontId="260" fillId="0" borderId="0" applyFont="0" applyFill="0" applyBorder="0" applyAlignment="0" applyProtection="0"/>
    <xf numFmtId="179" fontId="260" fillId="0" borderId="0" applyFont="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137" fillId="0" borderId="0" applyFont="0" applyFill="0" applyBorder="0" applyAlignment="0" applyProtection="0">
      <alignment vertical="center"/>
    </xf>
    <xf numFmtId="177" fontId="137" fillId="0" borderId="0" applyFont="0" applyFill="0" applyBorder="0" applyAlignment="0" applyProtection="0">
      <alignment vertical="center"/>
    </xf>
    <xf numFmtId="177" fontId="1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41" fontId="37" fillId="0" borderId="0" applyFont="0" applyFill="0" applyBorder="0" applyAlignment="0" applyProtection="0">
      <alignment vertical="center"/>
    </xf>
    <xf numFmtId="0" fontId="302" fillId="0" borderId="0"/>
    <xf numFmtId="39" fontId="286" fillId="0" borderId="0" applyFill="0" applyBorder="0" applyProtection="0"/>
    <xf numFmtId="0" fontId="305" fillId="25" borderId="0" applyNumberFormat="0" applyBorder="0" applyAlignment="0" applyProtection="0">
      <alignment vertical="center"/>
    </xf>
    <xf numFmtId="238" fontId="56" fillId="0" borderId="0" applyFont="0" applyFill="0" applyBorder="0" applyAlignment="0" applyProtection="0"/>
    <xf numFmtId="3" fontId="270" fillId="0" borderId="0"/>
    <xf numFmtId="3" fontId="270" fillId="0" borderId="0"/>
    <xf numFmtId="3" fontId="270" fillId="0" borderId="0"/>
    <xf numFmtId="3" fontId="270" fillId="0" borderId="0"/>
    <xf numFmtId="3" fontId="270" fillId="0" borderId="0"/>
    <xf numFmtId="0" fontId="306" fillId="0" borderId="0"/>
    <xf numFmtId="0" fontId="56" fillId="0" borderId="0"/>
    <xf numFmtId="0" fontId="263" fillId="0" borderId="0" applyFont="0" applyFill="0" applyBorder="0" applyAlignment="0" applyProtection="0"/>
    <xf numFmtId="40" fontId="56" fillId="0" borderId="0" applyFont="0" applyFill="0" applyBorder="0" applyAlignment="0" applyProtection="0"/>
    <xf numFmtId="38" fontId="56" fillId="0" borderId="0" applyFont="0" applyFill="0" applyBorder="0" applyAlignment="0" applyProtection="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3" fontId="50" fillId="0" borderId="1" xfId="0" applyNumberFormat="1" applyFont="1" applyBorder="1" applyAlignment="1" applyProtection="1">
      <alignment horizontal="center" vertical="center" wrapText="1"/>
      <protection locked="0"/>
    </xf>
    <xf numFmtId="183"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80"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180" fontId="50" fillId="6" borderId="10" xfId="0" applyNumberFormat="1" applyFont="1" applyFill="1" applyBorder="1" applyAlignment="1" applyProtection="1">
      <alignment horizontal="center" vertical="center" wrapText="1"/>
    </xf>
    <xf numFmtId="180" fontId="50" fillId="6" borderId="13" xfId="0" applyNumberFormat="1" applyFont="1" applyFill="1" applyBorder="1" applyAlignment="1" applyProtection="1">
      <alignment horizontal="center" vertical="center" wrapText="1"/>
    </xf>
    <xf numFmtId="180" fontId="50" fillId="6" borderId="23" xfId="0" applyNumberFormat="1" applyFont="1" applyFill="1" applyBorder="1" applyAlignment="1" applyProtection="1">
      <alignment horizontal="center" vertical="center" wrapText="1"/>
    </xf>
    <xf numFmtId="180"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80" fontId="50" fillId="0" borderId="2" xfId="0" applyNumberFormat="1" applyFont="1" applyFill="1" applyBorder="1" applyAlignment="1" applyProtection="1">
      <alignment horizontal="center" vertical="center" wrapText="1"/>
      <protection locked="0"/>
    </xf>
    <xf numFmtId="180"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80" fontId="47" fillId="6" borderId="1" xfId="0" applyNumberFormat="1" applyFont="1" applyFill="1" applyBorder="1" applyAlignment="1" applyProtection="1">
      <alignment horizontal="center" vertical="center" wrapText="1"/>
    </xf>
    <xf numFmtId="180" fontId="47" fillId="0" borderId="2" xfId="0" applyNumberFormat="1" applyFont="1" applyFill="1" applyBorder="1" applyAlignment="1" applyProtection="1">
      <alignment horizontal="center" vertical="center" wrapText="1"/>
      <protection locked="0"/>
    </xf>
    <xf numFmtId="180" fontId="47" fillId="6" borderId="2" xfId="0" applyNumberFormat="1" applyFont="1" applyFill="1" applyBorder="1" applyAlignment="1" applyProtection="1">
      <alignment horizontal="center" vertical="center" wrapText="1"/>
    </xf>
    <xf numFmtId="180" fontId="47" fillId="6" borderId="13" xfId="0" applyNumberFormat="1" applyFont="1" applyFill="1" applyBorder="1" applyAlignment="1" applyProtection="1">
      <alignment horizontal="center" vertical="center" wrapText="1"/>
    </xf>
    <xf numFmtId="180" fontId="47" fillId="0" borderId="1" xfId="0" applyNumberFormat="1" applyFont="1" applyBorder="1" applyAlignment="1" applyProtection="1">
      <alignment vertical="center" wrapText="1"/>
      <protection locked="0"/>
    </xf>
    <xf numFmtId="180" fontId="47" fillId="0" borderId="1" xfId="0" applyNumberFormat="1" applyFont="1" applyBorder="1" applyAlignment="1" applyProtection="1">
      <alignment horizontal="center" vertical="center" wrapText="1"/>
      <protection locked="0"/>
    </xf>
    <xf numFmtId="180"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80" fontId="47" fillId="6" borderId="24" xfId="0" applyNumberFormat="1" applyFont="1" applyFill="1" applyBorder="1" applyAlignment="1" applyProtection="1">
      <alignment horizontal="center" vertical="center" wrapText="1"/>
    </xf>
    <xf numFmtId="180"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80"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80"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81"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81"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3" fontId="54" fillId="6" borderId="1" xfId="1" applyNumberFormat="1" applyFont="1" applyFill="1" applyBorder="1" applyAlignment="1" applyProtection="1">
      <alignment horizontal="center" vertical="center"/>
    </xf>
    <xf numFmtId="184" fontId="54" fillId="6" borderId="1" xfId="1"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3"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5" fontId="47" fillId="0" borderId="1" xfId="0" applyNumberFormat="1" applyFont="1" applyBorder="1" applyAlignment="1" applyProtection="1">
      <alignment vertical="center"/>
      <protection locked="0"/>
    </xf>
    <xf numFmtId="185"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5"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7"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7"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5"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8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3"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80" fontId="54" fillId="0" borderId="10" xfId="1" applyNumberFormat="1" applyFont="1" applyFill="1" applyBorder="1" applyAlignment="1" applyProtection="1">
      <alignment horizontal="center" vertical="center"/>
      <protection locked="0"/>
    </xf>
    <xf numFmtId="180" fontId="54" fillId="6" borderId="24" xfId="1" applyNumberFormat="1" applyFont="1" applyFill="1" applyBorder="1" applyAlignment="1" applyProtection="1">
      <alignment horizontal="center" vertical="center"/>
    </xf>
    <xf numFmtId="180"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5"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7"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2"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3"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81"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8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81"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81"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81"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5"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5"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5"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81"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81"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81" fontId="56" fillId="0" borderId="1" xfId="1" applyNumberFormat="1" applyFont="1" applyFill="1" applyBorder="1" applyAlignment="1" applyProtection="1">
      <alignment horizontal="center"/>
      <protection locked="0"/>
    </xf>
    <xf numFmtId="183"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81"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81"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81"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3"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3"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81"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81"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81" fontId="57" fillId="6" borderId="1" xfId="0" applyNumberFormat="1" applyFont="1" applyFill="1" applyBorder="1" applyAlignment="1" applyProtection="1">
      <alignment horizontal="center" vertical="center"/>
    </xf>
    <xf numFmtId="185"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9"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81"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5" fontId="56" fillId="6" borderId="1" xfId="0" applyNumberFormat="1" applyFont="1" applyFill="1" applyBorder="1" applyAlignment="1" applyProtection="1">
      <alignment horizontal="center"/>
    </xf>
    <xf numFmtId="185"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80" fontId="105" fillId="6" borderId="1" xfId="0" applyNumberFormat="1" applyFont="1" applyFill="1" applyBorder="1" applyAlignment="1" applyProtection="1">
      <alignment horizontal="center" vertical="center"/>
    </xf>
    <xf numFmtId="180" fontId="105" fillId="6" borderId="24" xfId="0" applyNumberFormat="1" applyFont="1" applyFill="1" applyBorder="1" applyAlignment="1" applyProtection="1">
      <alignment horizontal="center" vertical="center"/>
    </xf>
    <xf numFmtId="181"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81" fontId="49" fillId="6" borderId="1" xfId="1" applyNumberFormat="1" applyFont="1" applyFill="1" applyBorder="1" applyAlignment="1" applyProtection="1">
      <alignment vertical="center"/>
    </xf>
    <xf numFmtId="181"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1"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1"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81"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5"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5"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3"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5" fontId="50" fillId="6" borderId="8" xfId="0" applyNumberFormat="1" applyFont="1" applyFill="1" applyBorder="1" applyAlignment="1" applyProtection="1">
      <alignment horizontal="center" vertical="center"/>
    </xf>
    <xf numFmtId="185" fontId="50" fillId="6" borderId="24" xfId="0" applyNumberFormat="1" applyFont="1" applyFill="1" applyBorder="1" applyAlignment="1" applyProtection="1">
      <alignment horizontal="center" vertical="center"/>
    </xf>
    <xf numFmtId="185"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7"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3"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3"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90"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5"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8"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8"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90"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90" fontId="53" fillId="6" borderId="47" xfId="0" applyNumberFormat="1" applyFont="1" applyFill="1" applyBorder="1" applyAlignment="1" applyProtection="1">
      <alignment vertical="center" wrapText="1"/>
    </xf>
    <xf numFmtId="193" fontId="54" fillId="0" borderId="0" xfId="0" applyNumberFormat="1"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5" fontId="54" fillId="6" borderId="5" xfId="0" applyNumberFormat="1" applyFont="1" applyFill="1" applyBorder="1" applyAlignment="1" applyProtection="1">
      <alignment horizontal="center" vertical="center"/>
    </xf>
    <xf numFmtId="185"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90" fontId="60" fillId="6" borderId="13" xfId="0" applyNumberFormat="1" applyFont="1" applyFill="1" applyBorder="1" applyAlignment="1" applyProtection="1">
      <alignment horizontal="right" vertical="center"/>
    </xf>
    <xf numFmtId="193"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3" fontId="54" fillId="3" borderId="3" xfId="0" applyNumberFormat="1" applyFont="1" applyFill="1" applyBorder="1" applyAlignment="1" applyProtection="1">
      <alignment horizontal="center" vertical="center"/>
      <protection locked="0"/>
    </xf>
    <xf numFmtId="193" fontId="54" fillId="3" borderId="3" xfId="0" applyNumberFormat="1" applyFont="1" applyFill="1" applyBorder="1" applyAlignment="1" applyProtection="1">
      <alignment horizontal="center" vertical="center" wrapText="1"/>
      <protection locked="0"/>
    </xf>
    <xf numFmtId="193"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80"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90"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81"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3"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81"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5"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3" fontId="49" fillId="6" borderId="66" xfId="0" applyNumberFormat="1" applyFont="1" applyFill="1" applyBorder="1" applyAlignment="1" applyProtection="1">
      <alignment vertical="center"/>
    </xf>
    <xf numFmtId="183" fontId="49" fillId="6" borderId="32" xfId="0" applyNumberFormat="1" applyFont="1" applyFill="1" applyBorder="1" applyAlignment="1" applyProtection="1">
      <alignment vertical="center"/>
    </xf>
    <xf numFmtId="183"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3"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3" fontId="65" fillId="6" borderId="36" xfId="0" applyNumberFormat="1" applyFont="1" applyFill="1" applyBorder="1" applyAlignment="1" applyProtection="1">
      <alignment horizontal="center" vertical="center"/>
    </xf>
    <xf numFmtId="185"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80"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3" fontId="54" fillId="6" borderId="0" xfId="0" applyNumberFormat="1" applyFont="1" applyFill="1" applyBorder="1" applyAlignment="1" applyProtection="1">
      <alignment horizontal="center"/>
    </xf>
    <xf numFmtId="185"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2"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2"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2"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3" fontId="54" fillId="6" borderId="3" xfId="0" applyNumberFormat="1" applyFont="1" applyFill="1" applyBorder="1" applyAlignment="1" applyProtection="1">
      <alignment horizontal="center" vertical="center"/>
    </xf>
    <xf numFmtId="193" fontId="54" fillId="6" borderId="3" xfId="0" applyNumberFormat="1" applyFont="1" applyFill="1" applyBorder="1" applyAlignment="1" applyProtection="1">
      <alignment horizontal="center" vertical="center" wrapText="1"/>
    </xf>
    <xf numFmtId="193"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5" fontId="111" fillId="6" borderId="65" xfId="0" applyNumberFormat="1" applyFont="1" applyFill="1" applyBorder="1" applyAlignment="1" applyProtection="1">
      <alignment horizontal="center" vertical="center"/>
    </xf>
    <xf numFmtId="183"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5" fontId="105" fillId="0" borderId="1" xfId="0" applyNumberFormat="1" applyFont="1" applyFill="1" applyBorder="1" applyAlignment="1" applyProtection="1">
      <alignment horizontal="center" vertical="center"/>
      <protection locked="0"/>
    </xf>
    <xf numFmtId="181"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2" fontId="0" fillId="6" borderId="9" xfId="0" applyNumberFormat="1" applyFill="1" applyBorder="1" applyAlignment="1" applyProtection="1">
      <alignment horizontal="center" vertical="center"/>
    </xf>
    <xf numFmtId="182" fontId="0" fillId="6" borderId="28" xfId="0" applyNumberFormat="1" applyFill="1" applyBorder="1" applyAlignment="1" applyProtection="1">
      <alignment horizontal="center" vertical="center"/>
    </xf>
    <xf numFmtId="182"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2" fontId="0" fillId="6" borderId="1" xfId="0" applyNumberFormat="1" applyFill="1" applyBorder="1" applyAlignment="1" applyProtection="1">
      <alignment horizontal="center" vertical="center"/>
    </xf>
    <xf numFmtId="182" fontId="0" fillId="6" borderId="5" xfId="0" applyNumberFormat="1" applyFill="1" applyBorder="1" applyAlignment="1" applyProtection="1">
      <alignment horizontal="center" vertical="center"/>
    </xf>
    <xf numFmtId="182"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2" fontId="0" fillId="6" borderId="33" xfId="0" applyNumberFormat="1" applyFill="1" applyBorder="1" applyAlignment="1" applyProtection="1">
      <alignment horizontal="center" vertical="center"/>
    </xf>
    <xf numFmtId="182" fontId="0" fillId="6" borderId="32" xfId="0" applyNumberFormat="1" applyFill="1" applyBorder="1" applyAlignment="1" applyProtection="1">
      <alignment horizontal="center" vertical="center"/>
    </xf>
    <xf numFmtId="182"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3"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3"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3" fontId="82" fillId="6" borderId="1" xfId="3" applyNumberFormat="1" applyFont="1" applyFill="1" applyBorder="1" applyAlignment="1" applyProtection="1">
      <alignment horizontal="center" vertical="center" wrapText="1"/>
    </xf>
    <xf numFmtId="183" fontId="0" fillId="0" borderId="0" xfId="0" applyNumberFormat="1" applyProtection="1">
      <alignment vertical="center"/>
    </xf>
    <xf numFmtId="183"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91"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91"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5"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81"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90" fontId="50" fillId="0" borderId="1" xfId="0" applyNumberFormat="1" applyFont="1" applyFill="1" applyBorder="1" applyAlignment="1" applyProtection="1">
      <alignment horizontal="center" vertical="center"/>
      <protection locked="0"/>
    </xf>
    <xf numFmtId="190"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90"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3" fontId="50" fillId="6" borderId="1" xfId="1" applyNumberFormat="1" applyFont="1" applyFill="1" applyBorder="1" applyAlignment="1" applyProtection="1">
      <alignment horizontal="center" vertical="center"/>
    </xf>
    <xf numFmtId="185"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81"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81"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81"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90" fontId="50" fillId="3" borderId="0" xfId="0" applyNumberFormat="1" applyFont="1" applyFill="1" applyAlignment="1" applyProtection="1">
      <alignment horizontal="center" vertical="center"/>
      <protection locked="0"/>
    </xf>
    <xf numFmtId="190" fontId="49" fillId="6" borderId="28" xfId="0" applyNumberFormat="1" applyFont="1" applyFill="1" applyBorder="1" applyAlignment="1" applyProtection="1">
      <alignment horizontal="center" vertical="center"/>
    </xf>
    <xf numFmtId="190" fontId="105" fillId="0" borderId="13" xfId="0" applyNumberFormat="1" applyFont="1" applyFill="1" applyBorder="1" applyAlignment="1" applyProtection="1">
      <alignment horizontal="center" vertical="center"/>
      <protection locked="0"/>
    </xf>
    <xf numFmtId="190" fontId="50" fillId="0" borderId="13" xfId="0" applyNumberFormat="1" applyFont="1" applyFill="1" applyBorder="1" applyAlignment="1" applyProtection="1">
      <alignment horizontal="center" vertical="center"/>
      <protection locked="0"/>
    </xf>
    <xf numFmtId="190"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90"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81"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81"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81" fontId="49" fillId="6" borderId="33" xfId="0" applyNumberFormat="1" applyFont="1" applyFill="1" applyBorder="1" applyAlignment="1" applyProtection="1">
      <alignment vertical="center"/>
    </xf>
    <xf numFmtId="181" fontId="49" fillId="6" borderId="52" xfId="0" applyNumberFormat="1" applyFont="1" applyFill="1" applyBorder="1" applyAlignment="1" applyProtection="1">
      <alignment vertical="center"/>
    </xf>
    <xf numFmtId="181"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8"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8"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shrinkToFit="1"/>
      <protection locked="0"/>
    </xf>
    <xf numFmtId="188" fontId="50" fillId="6" borderId="1" xfId="0" applyNumberFormat="1" applyFont="1" applyFill="1" applyBorder="1" applyAlignment="1" applyProtection="1">
      <alignment horizontal="center" vertical="center"/>
    </xf>
    <xf numFmtId="183" fontId="64" fillId="6" borderId="1" xfId="0" applyNumberFormat="1" applyFont="1" applyFill="1" applyBorder="1" applyAlignment="1" applyProtection="1">
      <alignment horizontal="center" vertical="center" wrapText="1"/>
    </xf>
    <xf numFmtId="181" fontId="64" fillId="5" borderId="1" xfId="1"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5" fontId="47" fillId="6" borderId="8" xfId="0" applyNumberFormat="1" applyFont="1" applyFill="1" applyBorder="1" applyProtection="1">
      <alignment vertical="center"/>
    </xf>
    <xf numFmtId="185"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8"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91"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2" fontId="61" fillId="6" borderId="24" xfId="0" applyNumberFormat="1" applyFont="1" applyFill="1" applyBorder="1" applyAlignment="1" applyProtection="1">
      <alignment horizontal="center" vertical="center"/>
    </xf>
    <xf numFmtId="182"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2" fontId="61" fillId="6" borderId="49"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3" fontId="54" fillId="6" borderId="0" xfId="0" applyNumberFormat="1" applyFont="1" applyFill="1" applyAlignment="1" applyProtection="1">
      <alignment horizontal="center" vertical="center"/>
      <protection locked="0"/>
    </xf>
    <xf numFmtId="185"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3" fontId="65" fillId="6" borderId="0" xfId="0" applyNumberFormat="1" applyFont="1" applyFill="1" applyBorder="1" applyAlignment="1" applyProtection="1">
      <alignment horizontal="center" vertical="center"/>
      <protection locked="0"/>
    </xf>
    <xf numFmtId="185"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5"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5"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5"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5"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5"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5"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3" fontId="71" fillId="6" borderId="0" xfId="0" applyNumberFormat="1" applyFont="1" applyFill="1" applyAlignment="1" applyProtection="1">
      <alignment horizontal="center" vertical="center"/>
      <protection locked="0"/>
    </xf>
    <xf numFmtId="185" fontId="71" fillId="6" borderId="0" xfId="0" applyNumberFormat="1" applyFont="1" applyFill="1" applyAlignment="1" applyProtection="1">
      <alignment horizontal="center" vertical="center"/>
      <protection locked="0"/>
    </xf>
    <xf numFmtId="180"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3" fontId="54" fillId="0" borderId="0" xfId="0" applyNumberFormat="1" applyFont="1" applyFill="1" applyAlignment="1" applyProtection="1">
      <alignment horizontal="center" vertical="center"/>
    </xf>
    <xf numFmtId="185"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3" fontId="54" fillId="6" borderId="0" xfId="0" applyNumberFormat="1" applyFont="1" applyFill="1" applyBorder="1" applyAlignment="1" applyProtection="1">
      <alignment horizontal="center"/>
      <protection locked="0"/>
    </xf>
    <xf numFmtId="185"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8"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80"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center" vertical="center"/>
      <protection locked="0"/>
    </xf>
    <xf numFmtId="183" fontId="50" fillId="6" borderId="23"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3" fontId="47" fillId="6" borderId="25" xfId="1" applyNumberFormat="1" applyFont="1" applyFill="1" applyBorder="1" applyAlignment="1" applyProtection="1">
      <alignment horizontal="center" vertical="center"/>
    </xf>
    <xf numFmtId="185" fontId="47" fillId="6" borderId="1" xfId="0" applyNumberFormat="1" applyFont="1" applyFill="1" applyBorder="1" applyAlignment="1" applyProtection="1">
      <alignment vertical="center"/>
    </xf>
    <xf numFmtId="185" fontId="47" fillId="6" borderId="5" xfId="0" applyNumberFormat="1" applyFont="1" applyFill="1" applyBorder="1" applyAlignment="1" applyProtection="1">
      <alignment vertical="center"/>
    </xf>
    <xf numFmtId="185"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5" fontId="47" fillId="6" borderId="1" xfId="0" applyNumberFormat="1" applyFont="1" applyFill="1" applyBorder="1" applyAlignment="1" applyProtection="1">
      <alignment horizontal="center" vertical="center"/>
    </xf>
    <xf numFmtId="185"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85"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80" fontId="50" fillId="0" borderId="1" xfId="0" applyNumberFormat="1" applyFont="1" applyFill="1" applyBorder="1" applyAlignment="1" applyProtection="1">
      <alignment horizontal="center" vertical="center" wrapText="1"/>
      <protection locked="0"/>
    </xf>
    <xf numFmtId="183" fontId="47" fillId="6" borderId="2" xfId="0" applyNumberFormat="1" applyFont="1" applyFill="1" applyBorder="1" applyProtection="1">
      <alignment vertical="center"/>
    </xf>
    <xf numFmtId="185"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3"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81"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1"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81"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81"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5"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5"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5"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5"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2" fontId="57" fillId="6" borderId="1" xfId="0" applyNumberFormat="1" applyFont="1" applyFill="1" applyBorder="1" applyAlignment="1" applyProtection="1">
      <alignment horizontal="center" vertical="center"/>
    </xf>
    <xf numFmtId="182" fontId="56" fillId="6" borderId="1" xfId="0" applyNumberFormat="1" applyFont="1" applyFill="1" applyBorder="1" applyAlignment="1" applyProtection="1">
      <alignment horizontal="center" vertical="center"/>
    </xf>
    <xf numFmtId="181" fontId="49" fillId="6" borderId="0" xfId="0" applyNumberFormat="1" applyFont="1" applyFill="1" applyBorder="1" applyAlignment="1" applyProtection="1">
      <alignment horizontal="center" vertical="center"/>
    </xf>
    <xf numFmtId="191" fontId="50" fillId="6" borderId="3" xfId="0" applyNumberFormat="1" applyFont="1" applyFill="1" applyBorder="1" applyAlignment="1" applyProtection="1">
      <alignment horizontal="center" vertical="center"/>
    </xf>
    <xf numFmtId="181"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5"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80" fontId="49" fillId="6" borderId="1" xfId="0" applyNumberFormat="1" applyFont="1" applyFill="1" applyBorder="1" applyAlignment="1" applyProtection="1">
      <alignment vertical="center"/>
    </xf>
    <xf numFmtId="180" fontId="49" fillId="6" borderId="1"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vertical="center"/>
    </xf>
    <xf numFmtId="180" fontId="49" fillId="6" borderId="25" xfId="0" applyNumberFormat="1" applyFont="1" applyFill="1" applyBorder="1" applyAlignment="1" applyProtection="1">
      <alignment vertical="center"/>
    </xf>
    <xf numFmtId="180"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5"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90" fontId="108" fillId="12" borderId="124" xfId="9" applyNumberFormat="1" applyFont="1" applyFill="1" applyBorder="1" applyAlignment="1">
      <alignment horizontal="center" vertical="center" wrapText="1"/>
    </xf>
    <xf numFmtId="190"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81" fontId="105" fillId="0" borderId="0" xfId="9" applyNumberFormat="1" applyFont="1">
      <alignment vertical="center"/>
    </xf>
    <xf numFmtId="185" fontId="105" fillId="0" borderId="122" xfId="9" applyNumberFormat="1" applyFont="1" applyBorder="1">
      <alignment vertical="center"/>
    </xf>
    <xf numFmtId="185" fontId="105" fillId="0" borderId="0" xfId="9" applyNumberFormat="1" applyFont="1">
      <alignment vertical="center"/>
    </xf>
    <xf numFmtId="190"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90" fontId="108" fillId="12" borderId="127" xfId="9" applyNumberFormat="1" applyFont="1" applyFill="1" applyBorder="1" applyAlignment="1">
      <alignment horizontal="center" vertical="center" wrapText="1"/>
    </xf>
    <xf numFmtId="190"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90"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81"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90" fontId="108" fillId="12" borderId="133" xfId="9" applyNumberFormat="1" applyFont="1" applyFill="1" applyBorder="1" applyAlignment="1">
      <alignment horizontal="center" vertical="center" wrapText="1"/>
    </xf>
    <xf numFmtId="190" fontId="108" fillId="12" borderId="137" xfId="9" applyNumberFormat="1" applyFont="1" applyFill="1" applyBorder="1" applyAlignment="1">
      <alignment horizontal="center" vertical="center" wrapText="1"/>
    </xf>
    <xf numFmtId="190" fontId="105" fillId="14" borderId="0" xfId="9" applyNumberFormat="1" applyFont="1" applyFill="1" applyAlignment="1">
      <alignment horizontal="center" vertical="center"/>
    </xf>
    <xf numFmtId="190"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81"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2"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2"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4" fontId="105" fillId="0" borderId="0" xfId="9" applyNumberFormat="1" applyFont="1" applyAlignment="1">
      <alignment horizontal="center" vertical="center"/>
    </xf>
    <xf numFmtId="184" fontId="105" fillId="0" borderId="122" xfId="9" applyNumberFormat="1" applyFont="1" applyBorder="1" applyAlignment="1">
      <alignment horizontal="center" vertical="center"/>
    </xf>
    <xf numFmtId="181"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81"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4" fontId="105" fillId="5" borderId="0" xfId="9" applyNumberFormat="1" applyFont="1" applyFill="1" applyAlignment="1">
      <alignment horizontal="center" vertical="center"/>
    </xf>
    <xf numFmtId="0" fontId="105" fillId="5" borderId="122" xfId="9" applyFont="1" applyFill="1" applyBorder="1">
      <alignment vertical="center"/>
    </xf>
    <xf numFmtId="182"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4" fontId="120" fillId="0" borderId="0" xfId="9" applyNumberFormat="1" applyFont="1" applyAlignment="1">
      <alignment horizontal="center" vertical="center"/>
    </xf>
    <xf numFmtId="184"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4" fontId="47" fillId="6" borderId="30" xfId="0" applyNumberFormat="1" applyFont="1" applyFill="1" applyBorder="1" applyAlignment="1" applyProtection="1">
      <alignment horizontal="center" vertical="center" wrapText="1"/>
    </xf>
    <xf numFmtId="194" fontId="47" fillId="6" borderId="9" xfId="0" applyNumberFormat="1" applyFont="1" applyFill="1" applyBorder="1" applyAlignment="1" applyProtection="1">
      <alignment horizontal="center" vertical="center" wrapText="1"/>
    </xf>
    <xf numFmtId="194"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8"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3"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90" fontId="105" fillId="6" borderId="1" xfId="8" applyNumberFormat="1" applyFont="1" applyFill="1" applyBorder="1" applyAlignment="1" applyProtection="1">
      <alignment horizontal="center" vertical="center"/>
    </xf>
    <xf numFmtId="181" fontId="120" fillId="6" borderId="1" xfId="8" applyNumberFormat="1" applyFont="1" applyFill="1" applyBorder="1" applyAlignment="1" applyProtection="1">
      <alignment horizontal="center" vertical="center"/>
    </xf>
    <xf numFmtId="191"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3" fontId="65" fillId="6" borderId="88" xfId="0" applyNumberFormat="1" applyFont="1" applyFill="1" applyBorder="1" applyAlignment="1" applyProtection="1">
      <alignment horizontal="center" vertical="center"/>
      <protection locked="0"/>
    </xf>
    <xf numFmtId="185"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3" fontId="65" fillId="6" borderId="88" xfId="0" applyNumberFormat="1" applyFont="1" applyFill="1" applyBorder="1" applyAlignment="1" applyProtection="1">
      <alignment horizontal="center" vertical="center"/>
    </xf>
    <xf numFmtId="185"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200"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3"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81"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5"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81"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90"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81"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81"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9"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5"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5"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9"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8"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80"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8" fontId="64" fillId="0" borderId="1" xfId="0" applyNumberFormat="1" applyFont="1" applyFill="1" applyBorder="1" applyAlignment="1" applyProtection="1">
      <alignment horizontal="center" vertical="center" shrinkToFit="1"/>
      <protection locked="0"/>
    </xf>
    <xf numFmtId="181"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3"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3"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8"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8"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7"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3" fontId="50" fillId="6" borderId="0" xfId="0" applyNumberFormat="1" applyFont="1" applyFill="1" applyBorder="1" applyAlignment="1" applyProtection="1">
      <alignment horizontal="center" vertical="center" wrapText="1"/>
    </xf>
    <xf numFmtId="183" fontId="51" fillId="6" borderId="0" xfId="0" applyNumberFormat="1" applyFont="1" applyFill="1" applyBorder="1" applyAlignment="1" applyProtection="1">
      <alignment horizontal="center" vertical="center" wrapText="1"/>
    </xf>
    <xf numFmtId="180"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80" fontId="50" fillId="6" borderId="54" xfId="0" applyNumberFormat="1" applyFont="1" applyFill="1" applyBorder="1" applyAlignment="1" applyProtection="1">
      <alignment horizontal="center" vertical="center" wrapText="1"/>
    </xf>
    <xf numFmtId="180" fontId="50" fillId="6" borderId="3" xfId="0" applyNumberFormat="1" applyFont="1" applyFill="1" applyBorder="1" applyAlignment="1" applyProtection="1">
      <alignment horizontal="center" vertical="center" wrapText="1"/>
    </xf>
    <xf numFmtId="180" fontId="50" fillId="6" borderId="5" xfId="0" applyNumberFormat="1" applyFont="1" applyFill="1" applyBorder="1" applyAlignment="1" applyProtection="1">
      <alignment horizontal="center" vertical="center" wrapText="1"/>
    </xf>
    <xf numFmtId="180"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3"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3" fontId="50" fillId="6" borderId="54" xfId="0" applyNumberFormat="1" applyFont="1" applyFill="1" applyBorder="1" applyAlignment="1" applyProtection="1">
      <alignment horizontal="center" vertical="center"/>
    </xf>
    <xf numFmtId="183"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3"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3"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3"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3"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3" fontId="50" fillId="6" borderId="7" xfId="0" applyNumberFormat="1" applyFont="1" applyFill="1" applyBorder="1" applyAlignment="1" applyProtection="1">
      <alignment horizontal="center" vertical="center" wrapText="1"/>
    </xf>
    <xf numFmtId="183" fontId="50" fillId="6" borderId="2" xfId="0" applyNumberFormat="1" applyFont="1" applyFill="1" applyBorder="1" applyAlignment="1" applyProtection="1">
      <alignment horizontal="center" vertical="center" wrapText="1"/>
    </xf>
    <xf numFmtId="183"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3"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80" fontId="50" fillId="0" borderId="1" xfId="0" applyNumberFormat="1" applyFont="1" applyBorder="1" applyAlignment="1" applyProtection="1">
      <alignment vertical="center" wrapText="1"/>
      <protection locked="0"/>
    </xf>
    <xf numFmtId="180" fontId="50" fillId="0" borderId="1" xfId="0" applyNumberFormat="1" applyFont="1" applyBorder="1" applyAlignment="1" applyProtection="1">
      <alignment horizontal="center" vertical="center" wrapText="1"/>
      <protection locked="0"/>
    </xf>
    <xf numFmtId="180"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80"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80"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80"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80"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80" fontId="53" fillId="6" borderId="29" xfId="1" applyNumberFormat="1" applyFont="1" applyFill="1" applyBorder="1" applyAlignment="1" applyProtection="1">
      <alignment horizontal="center" vertical="center"/>
    </xf>
    <xf numFmtId="180" fontId="53" fillId="6" borderId="20" xfId="1" applyNumberFormat="1" applyFont="1" applyFill="1" applyBorder="1" applyAlignment="1" applyProtection="1">
      <alignment horizontal="center" vertical="center"/>
    </xf>
    <xf numFmtId="180"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3"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80"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80"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3"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3"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3"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4" fontId="54" fillId="6" borderId="6" xfId="1" applyNumberFormat="1" applyFont="1" applyFill="1" applyBorder="1" applyAlignment="1" applyProtection="1">
      <alignment horizontal="center" vertical="center" wrapText="1"/>
    </xf>
    <xf numFmtId="183"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81"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3"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81" fontId="50" fillId="6" borderId="23" xfId="1" applyNumberFormat="1" applyFont="1" applyFill="1" applyBorder="1" applyAlignment="1" applyProtection="1">
      <alignment horizontal="left" vertical="center"/>
    </xf>
    <xf numFmtId="181" fontId="47" fillId="6" borderId="1" xfId="1" applyNumberFormat="1" applyFont="1" applyFill="1" applyBorder="1" applyAlignment="1" applyProtection="1">
      <alignment vertical="center"/>
    </xf>
    <xf numFmtId="181"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81" fontId="47" fillId="6" borderId="23" xfId="1" applyNumberFormat="1" applyFont="1" applyFill="1" applyBorder="1" applyAlignment="1" applyProtection="1">
      <alignment horizontal="left" vertical="center" wrapText="1"/>
      <protection locked="0"/>
    </xf>
    <xf numFmtId="181"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80" fontId="54" fillId="6" borderId="6" xfId="1" applyNumberFormat="1" applyFont="1" applyFill="1" applyBorder="1" applyAlignment="1" applyProtection="1">
      <alignment vertical="center" wrapText="1"/>
    </xf>
    <xf numFmtId="180" fontId="54" fillId="6" borderId="23" xfId="1" applyNumberFormat="1" applyFont="1" applyFill="1" applyBorder="1" applyAlignment="1" applyProtection="1">
      <alignment vertical="center" wrapText="1"/>
    </xf>
    <xf numFmtId="180" fontId="47" fillId="6" borderId="23" xfId="1" applyNumberFormat="1" applyFont="1" applyFill="1" applyBorder="1" applyAlignment="1" applyProtection="1">
      <alignment vertical="center" wrapText="1"/>
    </xf>
    <xf numFmtId="180"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3"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5"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3"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3"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3" fontId="50" fillId="0" borderId="0" xfId="0" applyNumberFormat="1" applyFont="1" applyAlignment="1" applyProtection="1">
      <alignment vertical="center"/>
    </xf>
    <xf numFmtId="0" fontId="126" fillId="0" borderId="5" xfId="5" applyFont="1" applyBorder="1" applyAlignment="1">
      <alignment horizontal="right" vertical="center"/>
    </xf>
    <xf numFmtId="196"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8"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81"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90"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3" fontId="60" fillId="6" borderId="0" xfId="0" applyNumberFormat="1" applyFont="1" applyFill="1" applyBorder="1" applyAlignment="1" applyProtection="1">
      <alignment horizontal="center" vertical="center"/>
      <protection locked="0"/>
    </xf>
    <xf numFmtId="185"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3" fontId="47" fillId="6" borderId="21" xfId="0" applyNumberFormat="1" applyFont="1" applyFill="1" applyBorder="1" applyAlignment="1" applyProtection="1">
      <alignment horizontal="center" vertical="center" wrapText="1"/>
    </xf>
    <xf numFmtId="193"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3" fontId="54" fillId="6" borderId="48" xfId="0" applyNumberFormat="1" applyFont="1" applyFill="1" applyBorder="1" applyAlignment="1" applyProtection="1">
      <alignment horizontal="center" vertical="center"/>
    </xf>
    <xf numFmtId="193" fontId="54" fillId="6" borderId="48" xfId="0" applyNumberFormat="1" applyFont="1" applyFill="1" applyBorder="1" applyAlignment="1" applyProtection="1">
      <alignment horizontal="center" vertical="center" wrapText="1"/>
    </xf>
    <xf numFmtId="193"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8"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91" fontId="56" fillId="6" borderId="15" xfId="0" applyNumberFormat="1" applyFont="1" applyFill="1" applyBorder="1" applyAlignment="1" applyProtection="1">
      <alignment horizontal="center" vertical="center" wrapText="1"/>
    </xf>
    <xf numFmtId="191"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91"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91"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90" fontId="105" fillId="6" borderId="1" xfId="0" applyNumberFormat="1" applyFont="1" applyFill="1" applyBorder="1" applyAlignment="1" applyProtection="1">
      <alignment horizontal="center" vertical="center"/>
    </xf>
    <xf numFmtId="191" fontId="105" fillId="6" borderId="1" xfId="0" applyNumberFormat="1" applyFont="1" applyFill="1" applyBorder="1" applyAlignment="1" applyProtection="1">
      <alignment horizontal="center" vertical="center"/>
    </xf>
    <xf numFmtId="181" fontId="120" fillId="6" borderId="1" xfId="0" applyNumberFormat="1" applyFont="1" applyFill="1" applyBorder="1" applyAlignment="1" applyProtection="1">
      <alignment horizontal="center" vertical="center"/>
    </xf>
    <xf numFmtId="191" fontId="120" fillId="6" borderId="1" xfId="0" applyNumberFormat="1" applyFont="1" applyFill="1" applyBorder="1" applyAlignment="1" applyProtection="1">
      <alignment horizontal="center" vertical="center" wrapText="1"/>
    </xf>
    <xf numFmtId="190" fontId="105" fillId="6" borderId="2" xfId="0" applyNumberFormat="1" applyFont="1" applyFill="1" applyBorder="1" applyAlignment="1" applyProtection="1">
      <alignment horizontal="center" vertical="center" wrapText="1"/>
    </xf>
    <xf numFmtId="183"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6"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181" fontId="80" fillId="0" borderId="1" xfId="1" applyNumberFormat="1" applyFont="1" applyFill="1" applyBorder="1" applyAlignment="1" applyProtection="1">
      <alignment vertical="center"/>
      <protection locked="0" hidden="1"/>
    </xf>
    <xf numFmtId="181" fontId="137" fillId="0" borderId="1" xfId="1" applyNumberFormat="1"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0" fillId="0" borderId="27" xfId="0" applyBorder="1">
      <alignment vertical="center"/>
    </xf>
    <xf numFmtId="0" fontId="0" fillId="0" borderId="81" xfId="0" applyBorder="1">
      <alignment vertical="center"/>
    </xf>
    <xf numFmtId="0" fontId="0" fillId="0" borderId="80" xfId="0" applyBorder="1">
      <alignment vertical="center"/>
    </xf>
    <xf numFmtId="0" fontId="0" fillId="0" borderId="82" xfId="0" applyBorder="1">
      <alignment vertical="center"/>
    </xf>
    <xf numFmtId="180" fontId="50" fillId="8" borderId="1" xfId="0" applyNumberFormat="1" applyFont="1" applyFill="1" applyBorder="1" applyAlignment="1" applyProtection="1">
      <alignment horizontal="center" vertical="center"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0" xfId="0"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18" borderId="159" xfId="0" applyFont="1" applyFill="1" applyBorder="1" applyAlignment="1">
      <alignment horizontal="center"/>
    </xf>
    <xf numFmtId="0" fontId="255" fillId="18" borderId="160" xfId="0" applyFont="1" applyFill="1" applyBorder="1" applyAlignment="1">
      <alignment horizontal="center"/>
    </xf>
    <xf numFmtId="0" fontId="256" fillId="0" borderId="0" xfId="0" applyFont="1" applyAlignment="1">
      <alignment horizontal="left" vertical="center" wrapText="1"/>
    </xf>
    <xf numFmtId="0" fontId="256" fillId="0" borderId="161" xfId="0" applyFont="1" applyBorder="1" applyAlignment="1">
      <alignment horizontal="right" vertical="center" wrapText="1"/>
    </xf>
    <xf numFmtId="0" fontId="256" fillId="19" borderId="0" xfId="0" applyFont="1" applyFill="1" applyAlignment="1">
      <alignment horizontal="left" vertical="center" wrapText="1"/>
    </xf>
    <xf numFmtId="0" fontId="256" fillId="19" borderId="161" xfId="0" applyFont="1" applyFill="1" applyBorder="1" applyAlignment="1">
      <alignment horizontal="right" vertical="center" wrapText="1"/>
    </xf>
    <xf numFmtId="0" fontId="257" fillId="0" borderId="0" xfId="0" applyFont="1">
      <alignment vertical="center"/>
    </xf>
    <xf numFmtId="0" fontId="257" fillId="19" borderId="0" xfId="0" applyFont="1" applyFill="1" applyAlignment="1">
      <alignment horizontal="left" vertical="center" wrapText="1"/>
    </xf>
    <xf numFmtId="0" fontId="257" fillId="19" borderId="161" xfId="0" applyFont="1" applyFill="1" applyBorder="1" applyAlignment="1">
      <alignment horizontal="right" vertical="center" wrapText="1"/>
    </xf>
    <xf numFmtId="0" fontId="257" fillId="0" borderId="0" xfId="0" applyFont="1" applyAlignment="1">
      <alignment horizontal="left" vertical="center" wrapText="1"/>
    </xf>
    <xf numFmtId="0" fontId="257" fillId="0" borderId="161" xfId="0" applyFont="1" applyBorder="1" applyAlignment="1">
      <alignment horizontal="right" vertical="center" wrapText="1"/>
    </xf>
    <xf numFmtId="0" fontId="256" fillId="13" borderId="0" xfId="0" applyFont="1" applyFill="1" applyAlignment="1">
      <alignment horizontal="left" vertical="center" wrapText="1"/>
    </xf>
    <xf numFmtId="0" fontId="256" fillId="13" borderId="161" xfId="0" applyFont="1" applyFill="1" applyBorder="1" applyAlignment="1">
      <alignment horizontal="right" vertical="center" wrapText="1"/>
    </xf>
    <xf numFmtId="0" fontId="256" fillId="20" borderId="0" xfId="0" applyFont="1" applyFill="1" applyAlignment="1">
      <alignment horizontal="left" vertical="center" wrapText="1"/>
    </xf>
    <xf numFmtId="0" fontId="256" fillId="20" borderId="161" xfId="0" applyFont="1" applyFill="1" applyBorder="1" applyAlignment="1">
      <alignment horizontal="righ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49" fontId="137" fillId="0" borderId="4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6" fillId="17" borderId="0" xfId="13" applyFill="1"/>
    <xf numFmtId="0" fontId="0" fillId="17" borderId="0" xfId="0" applyFill="1">
      <alignment vertical="center"/>
    </xf>
    <xf numFmtId="0" fontId="56" fillId="0" borderId="0" xfId="13" applyFill="1"/>
    <xf numFmtId="0" fontId="106" fillId="2" borderId="41" xfId="0" applyNumberFormat="1" applyFont="1" applyFill="1" applyBorder="1" applyAlignment="1" applyProtection="1">
      <alignment horizontal="center" vertical="center" wrapText="1"/>
      <protection locked="0"/>
    </xf>
    <xf numFmtId="0" fontId="56" fillId="0" borderId="0" xfId="13" applyAlignment="1">
      <alignment horizontal="left"/>
    </xf>
    <xf numFmtId="0" fontId="56" fillId="0" borderId="0" xfId="13"/>
    <xf numFmtId="0" fontId="56" fillId="0" borderId="0" xfId="13"/>
    <xf numFmtId="0" fontId="56" fillId="0" borderId="0" xfId="13"/>
    <xf numFmtId="0" fontId="56" fillId="0" borderId="0" xfId="13"/>
    <xf numFmtId="0" fontId="56" fillId="0" borderId="0" xfId="13"/>
    <xf numFmtId="0" fontId="56" fillId="0" borderId="0" xfId="13" applyFill="1" applyAlignment="1">
      <alignment horizontal="left"/>
    </xf>
    <xf numFmtId="0" fontId="56" fillId="17" borderId="0" xfId="13" applyFill="1" applyAlignment="1">
      <alignment horizontal="left"/>
    </xf>
    <xf numFmtId="0" fontId="258" fillId="17" borderId="0" xfId="14" applyFill="1">
      <alignment vertical="center"/>
    </xf>
    <xf numFmtId="0" fontId="56" fillId="0" borderId="0" xfId="13"/>
    <xf numFmtId="0" fontId="56" fillId="0" borderId="0" xfId="13"/>
    <xf numFmtId="0" fontId="137" fillId="0" borderId="51"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64"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80" fontId="50" fillId="21" borderId="1" xfId="0" applyNumberFormat="1" applyFont="1" applyFill="1" applyBorder="1" applyAlignment="1" applyProtection="1">
      <alignment horizontal="center" vertical="center" wrapText="1"/>
      <protection locked="0"/>
    </xf>
    <xf numFmtId="49" fontId="54" fillId="21" borderId="7" xfId="0" applyNumberFormat="1" applyFont="1" applyFill="1" applyBorder="1" applyAlignment="1" applyProtection="1">
      <alignment horizontal="center" vertical="center" wrapText="1"/>
      <protection locked="0"/>
    </xf>
    <xf numFmtId="49" fontId="54" fillId="21" borderId="41" xfId="0" applyNumberFormat="1" applyFont="1" applyFill="1" applyBorder="1" applyAlignment="1" applyProtection="1">
      <alignment horizontal="center" vertical="center" wrapText="1"/>
      <protection locked="0"/>
    </xf>
    <xf numFmtId="0" fontId="61" fillId="21" borderId="72" xfId="0" applyNumberFormat="1" applyFont="1" applyFill="1" applyBorder="1" applyAlignment="1" applyProtection="1">
      <alignment horizontal="center" vertical="center" wrapText="1"/>
      <protection locked="0"/>
    </xf>
    <xf numFmtId="49" fontId="54" fillId="21" borderId="14" xfId="0" applyNumberFormat="1" applyFont="1" applyFill="1" applyBorder="1" applyAlignment="1" applyProtection="1">
      <alignment horizontal="center" vertical="center" wrapText="1"/>
      <protection locked="0"/>
    </xf>
    <xf numFmtId="190" fontId="105" fillId="21" borderId="13" xfId="0" applyNumberFormat="1" applyFont="1" applyFill="1" applyBorder="1" applyAlignment="1" applyProtection="1">
      <alignment horizontal="center" vertical="center"/>
      <protection locked="0"/>
    </xf>
    <xf numFmtId="0" fontId="47" fillId="22" borderId="23" xfId="0" applyNumberFormat="1" applyFont="1" applyFill="1" applyBorder="1" applyAlignment="1" applyProtection="1">
      <alignment horizontal="center" vertical="center" wrapText="1"/>
      <protection locked="0"/>
    </xf>
    <xf numFmtId="185" fontId="105" fillId="22" borderId="1" xfId="0" applyNumberFormat="1" applyFont="1" applyFill="1" applyBorder="1" applyAlignment="1" applyProtection="1">
      <alignment horizontal="center" vertical="center"/>
      <protection locked="0"/>
    </xf>
    <xf numFmtId="183" fontId="56" fillId="22" borderId="1" xfId="1" applyNumberFormat="1" applyFont="1" applyFill="1" applyBorder="1" applyAlignment="1" applyProtection="1">
      <alignment horizontal="center"/>
      <protection locked="0"/>
    </xf>
    <xf numFmtId="10" fontId="50" fillId="0" borderId="1" xfId="0" applyNumberFormat="1" applyFont="1" applyBorder="1" applyProtection="1">
      <alignment vertical="center"/>
      <protection locked="0"/>
    </xf>
    <xf numFmtId="0" fontId="47" fillId="23" borderId="24"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24" borderId="24" xfId="0" applyNumberFormat="1" applyFont="1" applyFill="1" applyBorder="1" applyAlignment="1" applyProtection="1">
      <alignment horizontal="center" vertical="center" wrapText="1"/>
    </xf>
    <xf numFmtId="181" fontId="259" fillId="0" borderId="0" xfId="10" applyNumberFormat="1" applyFont="1" applyBorder="1" applyAlignment="1">
      <alignment horizontal="left" vertical="center"/>
    </xf>
    <xf numFmtId="181" fontId="259" fillId="0" borderId="0" xfId="10" applyNumberFormat="1" applyFont="1" applyBorder="1" applyAlignment="1">
      <alignment vertical="center"/>
    </xf>
    <xf numFmtId="183" fontId="19" fillId="0" borderId="0" xfId="10" applyNumberFormat="1" applyFont="1" applyAlignment="1">
      <alignment horizontal="center" vertical="center"/>
    </xf>
    <xf numFmtId="181" fontId="19" fillId="0" borderId="0" xfId="10" applyNumberFormat="1" applyFont="1" applyAlignment="1">
      <alignment vertical="center"/>
    </xf>
    <xf numFmtId="181" fontId="19" fillId="0" borderId="0" xfId="10" applyNumberFormat="1" applyFont="1">
      <alignment vertical="center"/>
    </xf>
    <xf numFmtId="49" fontId="144" fillId="0" borderId="60" xfId="15" applyNumberFormat="1" applyFont="1" applyBorder="1" applyAlignment="1">
      <alignment vertical="center"/>
    </xf>
    <xf numFmtId="181" fontId="259" fillId="0" borderId="0" xfId="10" applyNumberFormat="1" applyFont="1" applyBorder="1" applyAlignment="1">
      <alignment horizontal="center" vertical="center"/>
    </xf>
    <xf numFmtId="181" fontId="19" fillId="0" borderId="0" xfId="10" applyNumberFormat="1" applyFont="1" applyBorder="1" applyAlignment="1">
      <alignment horizontal="right" vertical="center"/>
    </xf>
    <xf numFmtId="181" fontId="84" fillId="0" borderId="1" xfId="10" applyNumberFormat="1" applyFont="1" applyFill="1" applyBorder="1" applyAlignment="1">
      <alignment horizontal="center" vertical="center"/>
    </xf>
    <xf numFmtId="181" fontId="84" fillId="0" borderId="1" xfId="10" applyNumberFormat="1" applyFont="1" applyFill="1" applyBorder="1" applyAlignment="1">
      <alignment horizontal="center" vertical="center" wrapText="1"/>
    </xf>
    <xf numFmtId="183" fontId="84" fillId="0" borderId="1" xfId="10" applyNumberFormat="1" applyFont="1" applyFill="1" applyBorder="1" applyAlignment="1">
      <alignment horizontal="center" vertical="center" wrapText="1"/>
    </xf>
    <xf numFmtId="181" fontId="202" fillId="0" borderId="0" xfId="10" applyNumberFormat="1" applyFont="1" applyAlignment="1">
      <alignment horizontal="center" vertical="center"/>
    </xf>
    <xf numFmtId="181" fontId="84" fillId="10" borderId="1" xfId="10" applyNumberFormat="1" applyFont="1" applyFill="1" applyBorder="1" applyAlignment="1">
      <alignment horizontal="left" vertical="center"/>
    </xf>
    <xf numFmtId="181" fontId="84" fillId="10" borderId="1" xfId="10" applyNumberFormat="1" applyFont="1" applyFill="1" applyBorder="1" applyAlignment="1">
      <alignment vertical="center" wrapText="1"/>
    </xf>
    <xf numFmtId="181" fontId="84" fillId="10" borderId="1" xfId="10" applyNumberFormat="1" applyFont="1" applyFill="1" applyBorder="1" applyAlignment="1">
      <alignment horizontal="center" vertical="center"/>
    </xf>
    <xf numFmtId="183" fontId="84" fillId="10" borderId="1" xfId="10" applyNumberFormat="1" applyFont="1" applyFill="1" applyBorder="1" applyAlignment="1">
      <alignment horizontal="right" vertical="center" wrapText="1"/>
    </xf>
    <xf numFmtId="181" fontId="84" fillId="10" borderId="1" xfId="10" applyNumberFormat="1" applyFont="1" applyFill="1" applyBorder="1" applyAlignment="1">
      <alignment horizontal="right" vertical="center" wrapText="1"/>
    </xf>
    <xf numFmtId="181" fontId="98" fillId="0" borderId="0" xfId="10" applyNumberFormat="1" applyFont="1" applyAlignment="1">
      <alignment vertical="center"/>
    </xf>
    <xf numFmtId="181" fontId="19" fillId="0" borderId="1" xfId="10" applyNumberFormat="1" applyFont="1" applyFill="1" applyBorder="1" applyAlignment="1">
      <alignment horizontal="left" vertical="center"/>
    </xf>
    <xf numFmtId="181" fontId="19" fillId="0" borderId="1" xfId="10" applyNumberFormat="1" applyFont="1" applyFill="1" applyBorder="1" applyAlignment="1">
      <alignment vertical="center" wrapText="1"/>
    </xf>
    <xf numFmtId="181" fontId="19" fillId="0" borderId="1" xfId="10" applyNumberFormat="1" applyFont="1" applyFill="1" applyBorder="1" applyAlignment="1">
      <alignment horizontal="center" vertical="center"/>
    </xf>
    <xf numFmtId="181" fontId="98" fillId="0" borderId="1" xfId="10" applyNumberFormat="1" applyFont="1" applyFill="1" applyBorder="1" applyAlignment="1">
      <alignment vertical="center"/>
    </xf>
    <xf numFmtId="181" fontId="19" fillId="0" borderId="1" xfId="10" applyNumberFormat="1" applyFont="1" applyFill="1" applyBorder="1" applyAlignment="1">
      <alignment horizontal="right" vertical="center" wrapText="1"/>
    </xf>
    <xf numFmtId="181" fontId="98" fillId="0" borderId="0" xfId="10" applyNumberFormat="1" applyFont="1" applyFill="1" applyAlignment="1">
      <alignment vertical="center"/>
    </xf>
    <xf numFmtId="0" fontId="19" fillId="0" borderId="1" xfId="10" applyFont="1" applyBorder="1" applyAlignment="1">
      <alignment horizontal="left" vertical="center"/>
    </xf>
    <xf numFmtId="183" fontId="19" fillId="0" borderId="1" xfId="10" applyNumberFormat="1" applyFont="1" applyFill="1" applyBorder="1" applyAlignment="1">
      <alignment horizontal="right" vertical="center" wrapText="1"/>
    </xf>
    <xf numFmtId="9" fontId="19" fillId="0" borderId="1" xfId="10" applyNumberFormat="1" applyFont="1" applyFill="1" applyBorder="1" applyAlignment="1">
      <alignment horizontal="right" vertical="center" wrapText="1"/>
    </xf>
    <xf numFmtId="10" fontId="19" fillId="0" borderId="1" xfId="10" applyNumberFormat="1" applyFont="1" applyFill="1" applyBorder="1" applyAlignment="1">
      <alignment horizontal="right" vertical="center" wrapText="1"/>
    </xf>
    <xf numFmtId="181" fontId="84" fillId="15" borderId="1" xfId="10" applyNumberFormat="1" applyFont="1" applyFill="1" applyBorder="1" applyAlignment="1">
      <alignment horizontal="left" vertical="center"/>
    </xf>
    <xf numFmtId="181" fontId="84" fillId="15" borderId="1" xfId="10" applyNumberFormat="1" applyFont="1" applyFill="1" applyBorder="1" applyAlignment="1">
      <alignment vertical="center" wrapText="1"/>
    </xf>
    <xf numFmtId="181" fontId="84" fillId="15" borderId="1" xfId="10" applyNumberFormat="1" applyFont="1" applyFill="1" applyBorder="1" applyAlignment="1">
      <alignment horizontal="center" vertical="center"/>
    </xf>
    <xf numFmtId="183" fontId="84" fillId="15" borderId="1" xfId="10" applyNumberFormat="1" applyFont="1" applyFill="1" applyBorder="1" applyAlignment="1">
      <alignment horizontal="right" vertical="center" wrapText="1"/>
    </xf>
    <xf numFmtId="181" fontId="84" fillId="15" borderId="1" xfId="10" applyNumberFormat="1" applyFont="1" applyFill="1" applyBorder="1" applyAlignment="1">
      <alignment horizontal="right" vertical="center" wrapText="1"/>
    </xf>
    <xf numFmtId="181" fontId="19" fillId="0" borderId="1" xfId="10" applyNumberFormat="1" applyFont="1" applyBorder="1" applyAlignment="1">
      <alignment horizontal="left" vertical="center"/>
    </xf>
    <xf numFmtId="181" fontId="19" fillId="0" borderId="1" xfId="10" applyNumberFormat="1" applyFont="1" applyBorder="1" applyAlignment="1">
      <alignment vertical="center" wrapText="1"/>
    </xf>
    <xf numFmtId="181" fontId="19" fillId="0" borderId="1" xfId="10" applyNumberFormat="1" applyFont="1" applyBorder="1" applyAlignment="1">
      <alignment horizontal="center" vertical="center"/>
    </xf>
    <xf numFmtId="183" fontId="19" fillId="0" borderId="1" xfId="10" applyNumberFormat="1" applyFont="1" applyBorder="1" applyAlignment="1">
      <alignment horizontal="right" vertical="center" wrapText="1"/>
    </xf>
    <xf numFmtId="181" fontId="19" fillId="0" borderId="1" xfId="10" applyNumberFormat="1" applyFont="1" applyBorder="1" applyAlignment="1">
      <alignment horizontal="right" vertical="center" wrapText="1"/>
    </xf>
    <xf numFmtId="182" fontId="19" fillId="0" borderId="1" xfId="10" applyNumberFormat="1" applyFont="1" applyBorder="1" applyAlignment="1">
      <alignment horizontal="right" vertical="center" wrapText="1"/>
    </xf>
    <xf numFmtId="181" fontId="19" fillId="0" borderId="1" xfId="10" applyNumberFormat="1" applyFont="1" applyBorder="1" applyAlignment="1">
      <alignment horizontal="left" vertical="center" wrapText="1"/>
    </xf>
    <xf numFmtId="181" fontId="145" fillId="15" borderId="1" xfId="10" applyNumberFormat="1" applyFont="1" applyFill="1" applyBorder="1" applyAlignment="1">
      <alignment horizontal="left" vertical="center"/>
    </xf>
    <xf numFmtId="181" fontId="145" fillId="15" borderId="1" xfId="10" applyNumberFormat="1" applyFont="1" applyFill="1" applyBorder="1" applyAlignment="1">
      <alignment vertical="center" wrapText="1"/>
    </xf>
    <xf numFmtId="181" fontId="145" fillId="15" borderId="1" xfId="10" applyNumberFormat="1" applyFont="1" applyFill="1" applyBorder="1" applyAlignment="1">
      <alignment horizontal="center" vertical="center"/>
    </xf>
    <xf numFmtId="183" fontId="145" fillId="15" borderId="1" xfId="10" applyNumberFormat="1" applyFont="1" applyFill="1" applyBorder="1" applyAlignment="1">
      <alignment horizontal="right" vertical="center" wrapText="1"/>
    </xf>
    <xf numFmtId="181" fontId="145" fillId="15" borderId="1" xfId="10" applyNumberFormat="1" applyFont="1" applyFill="1" applyBorder="1" applyAlignment="1">
      <alignment horizontal="right" vertical="center" wrapText="1"/>
    </xf>
    <xf numFmtId="181" fontId="84" fillId="0" borderId="1" xfId="10" applyNumberFormat="1" applyFont="1" applyFill="1" applyBorder="1" applyAlignment="1">
      <alignment horizontal="left" vertical="center"/>
    </xf>
    <xf numFmtId="181" fontId="84" fillId="0" borderId="1" xfId="10" applyNumberFormat="1" applyFont="1" applyFill="1" applyBorder="1" applyAlignment="1">
      <alignment vertical="center" wrapText="1"/>
    </xf>
    <xf numFmtId="183" fontId="84" fillId="0" borderId="1" xfId="10" applyNumberFormat="1" applyFont="1" applyFill="1" applyBorder="1" applyAlignment="1">
      <alignment horizontal="right" vertical="center" wrapText="1"/>
    </xf>
    <xf numFmtId="181" fontId="84" fillId="0" borderId="1" xfId="10" applyNumberFormat="1" applyFont="1" applyFill="1" applyBorder="1" applyAlignment="1">
      <alignment horizontal="right" vertical="center" wrapText="1"/>
    </xf>
    <xf numFmtId="183" fontId="98" fillId="0" borderId="0" xfId="10" applyNumberFormat="1" applyFont="1" applyFill="1" applyAlignment="1">
      <alignment vertical="center"/>
    </xf>
    <xf numFmtId="181" fontId="19" fillId="7" borderId="1" xfId="10" applyNumberFormat="1" applyFont="1" applyFill="1" applyBorder="1" applyAlignment="1">
      <alignment vertical="center" wrapText="1"/>
    </xf>
    <xf numFmtId="181" fontId="19" fillId="7" borderId="1" xfId="10" applyNumberFormat="1" applyFont="1" applyFill="1" applyBorder="1" applyAlignment="1">
      <alignment horizontal="center" vertical="center"/>
    </xf>
    <xf numFmtId="183" fontId="19" fillId="7" borderId="1" xfId="10" applyNumberFormat="1" applyFont="1" applyFill="1" applyBorder="1" applyAlignment="1">
      <alignment horizontal="right" vertical="center" wrapText="1"/>
    </xf>
    <xf numFmtId="181" fontId="19" fillId="7" borderId="1" xfId="10" applyNumberFormat="1" applyFont="1" applyFill="1" applyBorder="1" applyAlignment="1">
      <alignment horizontal="right" vertical="center" wrapText="1"/>
    </xf>
    <xf numFmtId="181" fontId="130" fillId="0" borderId="1" xfId="10" applyNumberFormat="1" applyFont="1" applyFill="1" applyBorder="1" applyAlignment="1">
      <alignment horizontal="left" vertical="center"/>
    </xf>
    <xf numFmtId="181" fontId="130" fillId="7" borderId="1" xfId="10" applyNumberFormat="1" applyFont="1" applyFill="1" applyBorder="1" applyAlignment="1">
      <alignment vertical="center" wrapText="1"/>
    </xf>
    <xf numFmtId="181" fontId="130" fillId="0" borderId="1" xfId="10" applyNumberFormat="1" applyFont="1" applyFill="1" applyBorder="1" applyAlignment="1">
      <alignment horizontal="center" vertical="center"/>
    </xf>
    <xf numFmtId="181" fontId="130" fillId="7" borderId="1" xfId="10" applyNumberFormat="1" applyFont="1" applyFill="1" applyBorder="1" applyAlignment="1">
      <alignment horizontal="center" vertical="center"/>
    </xf>
    <xf numFmtId="183" fontId="130" fillId="7" borderId="1" xfId="10" applyNumberFormat="1" applyFont="1" applyFill="1" applyBorder="1" applyAlignment="1">
      <alignment horizontal="right" vertical="center" wrapText="1"/>
    </xf>
    <xf numFmtId="181" fontId="130" fillId="7" borderId="1" xfId="10" applyNumberFormat="1" applyFont="1" applyFill="1" applyBorder="1" applyAlignment="1">
      <alignment horizontal="right" vertical="center" wrapText="1"/>
    </xf>
    <xf numFmtId="181" fontId="130" fillId="0" borderId="1" xfId="10" applyNumberFormat="1" applyFont="1" applyFill="1" applyBorder="1" applyAlignment="1">
      <alignment horizontal="right" vertical="center" wrapText="1"/>
    </xf>
    <xf numFmtId="181" fontId="145" fillId="0" borderId="1" xfId="10" applyNumberFormat="1" applyFont="1" applyFill="1" applyBorder="1" applyAlignment="1">
      <alignment horizontal="left" vertical="center"/>
    </xf>
    <xf numFmtId="181" fontId="145" fillId="0" borderId="1" xfId="10" applyNumberFormat="1" applyFont="1" applyFill="1" applyBorder="1" applyAlignment="1">
      <alignment vertical="center" wrapText="1"/>
    </xf>
    <xf numFmtId="181" fontId="145" fillId="0" borderId="1" xfId="10" applyNumberFormat="1" applyFont="1" applyFill="1" applyBorder="1" applyAlignment="1">
      <alignment horizontal="center" vertical="center"/>
    </xf>
    <xf numFmtId="183" fontId="145" fillId="0" borderId="1" xfId="10" applyNumberFormat="1" applyFont="1" applyFill="1" applyBorder="1" applyAlignment="1">
      <alignment horizontal="right" vertical="center" wrapText="1"/>
    </xf>
    <xf numFmtId="181" fontId="145" fillId="0" borderId="1" xfId="10" applyNumberFormat="1" applyFont="1" applyFill="1" applyBorder="1" applyAlignment="1">
      <alignment horizontal="right" vertical="center" wrapText="1"/>
    </xf>
    <xf numFmtId="10" fontId="145" fillId="0" borderId="1" xfId="10" applyNumberFormat="1" applyFont="1" applyFill="1" applyBorder="1" applyAlignment="1">
      <alignment horizontal="right" vertical="center" wrapText="1"/>
    </xf>
    <xf numFmtId="181" fontId="130" fillId="0" borderId="1" xfId="10" applyNumberFormat="1" applyFont="1" applyFill="1" applyBorder="1" applyAlignment="1">
      <alignment vertical="center" wrapText="1"/>
    </xf>
    <xf numFmtId="183" fontId="130" fillId="0" borderId="1" xfId="10" applyNumberFormat="1" applyFont="1" applyFill="1" applyBorder="1" applyAlignment="1">
      <alignment horizontal="right" vertical="center" wrapText="1"/>
    </xf>
    <xf numFmtId="181" fontId="144" fillId="0" borderId="0" xfId="10" applyNumberFormat="1" applyFont="1" applyAlignment="1">
      <alignment vertical="center"/>
    </xf>
    <xf numFmtId="181" fontId="202" fillId="0" borderId="0" xfId="10" applyNumberFormat="1" applyFont="1" applyAlignment="1">
      <alignment vertical="center"/>
    </xf>
    <xf numFmtId="181" fontId="202" fillId="0" borderId="0" xfId="10" applyNumberFormat="1" applyFont="1" applyFill="1" applyAlignment="1">
      <alignment vertical="center"/>
    </xf>
    <xf numFmtId="181" fontId="84" fillId="0" borderId="1" xfId="10" applyNumberFormat="1" applyFont="1" applyBorder="1" applyAlignment="1">
      <alignment horizontal="center" vertical="center"/>
    </xf>
    <xf numFmtId="181" fontId="19" fillId="0" borderId="1" xfId="10" applyNumberFormat="1" applyFont="1" applyFill="1" applyBorder="1" applyAlignment="1">
      <alignment horizontal="right" vertical="center"/>
    </xf>
    <xf numFmtId="181" fontId="19" fillId="0" borderId="1" xfId="10" applyNumberFormat="1" applyFont="1" applyBorder="1" applyAlignment="1">
      <alignment horizontal="left" vertical="center" wrapText="1" indent="1"/>
    </xf>
    <xf numFmtId="0" fontId="19" fillId="0" borderId="1" xfId="16" applyFont="1" applyFill="1" applyBorder="1" applyAlignment="1">
      <alignment horizontal="left" vertical="center" wrapText="1" indent="1"/>
    </xf>
    <xf numFmtId="181" fontId="138" fillId="0" borderId="1" xfId="10" applyNumberFormat="1" applyFont="1" applyBorder="1" applyAlignment="1">
      <alignment vertical="center" wrapText="1"/>
    </xf>
    <xf numFmtId="181" fontId="19" fillId="0" borderId="1" xfId="10" applyNumberFormat="1" applyFont="1" applyBorder="1" applyAlignment="1">
      <alignment vertical="center"/>
    </xf>
    <xf numFmtId="10" fontId="84" fillId="10" borderId="1" xfId="10" applyNumberFormat="1" applyFont="1" applyFill="1" applyBorder="1" applyAlignment="1">
      <alignment horizontal="right" vertical="center" wrapText="1"/>
    </xf>
    <xf numFmtId="49" fontId="84" fillId="10" borderId="1" xfId="10" applyNumberFormat="1" applyFont="1" applyFill="1" applyBorder="1" applyAlignment="1">
      <alignment vertical="center" wrapText="1"/>
    </xf>
    <xf numFmtId="181" fontId="84" fillId="21" borderId="5" xfId="10" applyNumberFormat="1" applyFont="1" applyFill="1" applyBorder="1" applyAlignment="1">
      <alignment horizontal="left" vertical="center"/>
    </xf>
    <xf numFmtId="181" fontId="84" fillId="21" borderId="5" xfId="10" applyNumberFormat="1" applyFont="1" applyFill="1" applyBorder="1" applyAlignment="1">
      <alignment vertical="center"/>
    </xf>
    <xf numFmtId="181" fontId="84" fillId="21" borderId="1" xfId="10" applyNumberFormat="1" applyFont="1" applyFill="1" applyBorder="1" applyAlignment="1">
      <alignment horizontal="center" vertical="center"/>
    </xf>
    <xf numFmtId="183" fontId="84" fillId="21" borderId="1" xfId="10" applyNumberFormat="1" applyFont="1" applyFill="1" applyBorder="1" applyAlignment="1">
      <alignment horizontal="right" vertical="center" wrapText="1"/>
    </xf>
    <xf numFmtId="181" fontId="84" fillId="21" borderId="1" xfId="10" applyNumberFormat="1" applyFont="1" applyFill="1" applyBorder="1" applyAlignment="1">
      <alignment horizontal="right" vertical="center" wrapText="1"/>
    </xf>
    <xf numFmtId="181" fontId="261" fillId="0" borderId="0" xfId="10" applyNumberFormat="1" applyFont="1" applyAlignment="1">
      <alignment vertical="center" wrapText="1"/>
    </xf>
    <xf numFmtId="181" fontId="261" fillId="0" borderId="0" xfId="10" applyNumberFormat="1" applyFont="1" applyAlignment="1">
      <alignment horizontal="center" vertical="center"/>
    </xf>
    <xf numFmtId="183" fontId="261" fillId="0" borderId="0" xfId="10" applyNumberFormat="1" applyFont="1" applyAlignment="1">
      <alignment horizontal="center" vertical="center"/>
    </xf>
    <xf numFmtId="181" fontId="261" fillId="0" borderId="0" xfId="10" applyNumberFormat="1" applyFont="1" applyAlignment="1">
      <alignment vertical="center"/>
    </xf>
    <xf numFmtId="181" fontId="261" fillId="0" borderId="0" xfId="10" applyNumberFormat="1" applyFont="1">
      <alignment vertical="center"/>
    </xf>
    <xf numFmtId="181" fontId="259" fillId="0" borderId="60" xfId="10" applyNumberFormat="1" applyFont="1" applyBorder="1" applyAlignment="1">
      <alignment horizontal="left" vertical="center"/>
    </xf>
    <xf numFmtId="181" fontId="259" fillId="0" borderId="60" xfId="10" applyNumberFormat="1" applyFont="1" applyBorder="1" applyAlignment="1">
      <alignment vertical="center"/>
    </xf>
    <xf numFmtId="181" fontId="261" fillId="0" borderId="1" xfId="10" applyNumberFormat="1" applyFont="1" applyBorder="1" applyAlignment="1">
      <alignment horizontal="left" vertical="center"/>
    </xf>
    <xf numFmtId="181" fontId="261" fillId="0" borderId="1" xfId="10" applyNumberFormat="1" applyFont="1" applyBorder="1" applyAlignment="1">
      <alignment horizontal="center" vertical="center" wrapText="1"/>
    </xf>
    <xf numFmtId="181" fontId="261" fillId="0" borderId="1" xfId="10" applyNumberFormat="1" applyFont="1" applyBorder="1" applyAlignment="1">
      <alignment horizontal="center" vertical="center"/>
    </xf>
    <xf numFmtId="183" fontId="261" fillId="0" borderId="1" xfId="10" applyNumberFormat="1" applyFont="1" applyBorder="1" applyAlignment="1">
      <alignment horizontal="center" vertical="center"/>
    </xf>
    <xf numFmtId="183" fontId="261" fillId="0" borderId="1" xfId="10" applyNumberFormat="1" applyFont="1" applyBorder="1" applyAlignment="1">
      <alignment horizontal="center" vertical="center" wrapText="1"/>
    </xf>
    <xf numFmtId="181" fontId="261" fillId="0" borderId="1" xfId="10" applyNumberFormat="1" applyFont="1" applyBorder="1" applyAlignment="1">
      <alignment vertical="center" wrapText="1"/>
    </xf>
    <xf numFmtId="181" fontId="261" fillId="0" borderId="1" xfId="10" applyNumberFormat="1" applyFont="1" applyBorder="1" applyAlignment="1">
      <alignment horizontal="left" vertical="center" wrapText="1"/>
    </xf>
    <xf numFmtId="181" fontId="261" fillId="0" borderId="1" xfId="10" applyNumberFormat="1" applyFont="1" applyBorder="1" applyAlignment="1">
      <alignment vertical="center"/>
    </xf>
    <xf numFmtId="181" fontId="261" fillId="0" borderId="5" xfId="10" applyNumberFormat="1" applyFont="1" applyBorder="1" applyAlignment="1">
      <alignment vertical="center"/>
    </xf>
    <xf numFmtId="9" fontId="261" fillId="0" borderId="1" xfId="10" applyNumberFormat="1" applyFont="1" applyBorder="1" applyAlignment="1">
      <alignment horizontal="center" vertical="center"/>
    </xf>
    <xf numFmtId="181" fontId="262" fillId="0" borderId="1" xfId="10" applyNumberFormat="1" applyFont="1" applyBorder="1" applyAlignment="1">
      <alignment horizontal="left" vertical="center"/>
    </xf>
    <xf numFmtId="181" fontId="262" fillId="0" borderId="1" xfId="10" applyNumberFormat="1" applyFont="1" applyBorder="1" applyAlignment="1">
      <alignment vertical="center" wrapText="1"/>
    </xf>
    <xf numFmtId="181" fontId="262" fillId="0" borderId="1" xfId="10" applyNumberFormat="1" applyFont="1" applyBorder="1" applyAlignment="1">
      <alignment horizontal="center" vertical="center"/>
    </xf>
    <xf numFmtId="183" fontId="262" fillId="0" borderId="1" xfId="10" applyNumberFormat="1" applyFont="1" applyBorder="1" applyAlignment="1">
      <alignment horizontal="center" vertical="center"/>
    </xf>
    <xf numFmtId="181" fontId="262" fillId="0" borderId="1" xfId="10" applyNumberFormat="1" applyFont="1" applyBorder="1" applyAlignment="1">
      <alignment vertical="center"/>
    </xf>
    <xf numFmtId="181" fontId="19" fillId="0" borderId="0" xfId="10" applyNumberFormat="1" applyFont="1" applyAlignment="1">
      <alignment horizontal="left" vertical="center"/>
    </xf>
    <xf numFmtId="181" fontId="19" fillId="0" borderId="0" xfId="10" applyNumberFormat="1" applyFont="1" applyAlignment="1">
      <alignment vertical="center" wrapText="1"/>
    </xf>
    <xf numFmtId="181" fontId="19" fillId="0" borderId="0" xfId="10" applyNumberFormat="1" applyFont="1" applyAlignment="1">
      <alignment horizontal="center" vertical="center"/>
    </xf>
    <xf numFmtId="183" fontId="19" fillId="0" borderId="0" xfId="10" applyNumberFormat="1" applyFont="1" applyAlignment="1">
      <alignment vertical="center"/>
    </xf>
    <xf numFmtId="183" fontId="84" fillId="5" borderId="1" xfId="10" applyNumberFormat="1" applyFont="1" applyFill="1" applyBorder="1" applyAlignment="1">
      <alignment horizontal="center" vertical="center" wrapText="1"/>
    </xf>
    <xf numFmtId="183" fontId="84" fillId="21" borderId="1" xfId="10" applyNumberFormat="1" applyFont="1" applyFill="1" applyBorder="1" applyAlignment="1">
      <alignment horizontal="center" vertical="center" wrapText="1"/>
    </xf>
    <xf numFmtId="181" fontId="138" fillId="7" borderId="1" xfId="10" applyNumberFormat="1" applyFont="1" applyFill="1" applyBorder="1" applyAlignment="1">
      <alignment horizontal="right" vertical="center" wrapText="1"/>
    </xf>
    <xf numFmtId="181" fontId="262" fillId="0" borderId="0" xfId="10" applyNumberFormat="1" applyFont="1" applyAlignment="1">
      <alignment horizontal="left" vertical="center"/>
    </xf>
    <xf numFmtId="183" fontId="261" fillId="0" borderId="0" xfId="10" applyNumberFormat="1" applyFont="1" applyAlignment="1">
      <alignment vertical="center"/>
    </xf>
    <xf numFmtId="183" fontId="261" fillId="0" borderId="0" xfId="10" applyNumberFormat="1" applyFont="1">
      <alignment vertical="center"/>
    </xf>
    <xf numFmtId="183" fontId="19" fillId="0" borderId="0" xfId="10" applyNumberFormat="1" applyFont="1" applyAlignment="1">
      <alignment vertical="center" wrapText="1"/>
    </xf>
    <xf numFmtId="9" fontId="50" fillId="52" borderId="36" xfId="0" applyNumberFormat="1" applyFont="1" applyFill="1" applyBorder="1" applyAlignment="1" applyProtection="1">
      <alignment horizontal="center" vertical="center"/>
      <protection locked="0"/>
    </xf>
    <xf numFmtId="9" fontId="106" fillId="0" borderId="37" xfId="0" applyNumberFormat="1" applyFont="1" applyFill="1" applyBorder="1" applyAlignment="1" applyProtection="1">
      <alignment horizontal="center" vertical="center" wrapText="1"/>
      <protection locked="0"/>
    </xf>
    <xf numFmtId="0" fontId="61" fillId="8" borderId="48" xfId="0"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5" fontId="47" fillId="8" borderId="24" xfId="0" applyNumberFormat="1" applyFont="1" applyFill="1" applyBorder="1" applyAlignment="1" applyProtection="1">
      <alignment horizontal="center" vertical="center"/>
      <protection locked="0"/>
    </xf>
    <xf numFmtId="180" fontId="47" fillId="8" borderId="24" xfId="1" applyNumberFormat="1" applyFont="1" applyFill="1" applyBorder="1" applyAlignment="1" applyProtection="1">
      <alignment horizontal="center" vertical="center"/>
      <protection locked="0"/>
    </xf>
    <xf numFmtId="49" fontId="98" fillId="2" borderId="4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6"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6" fontId="64" fillId="0" borderId="5" xfId="0" applyNumberFormat="1" applyFont="1" applyFill="1" applyBorder="1" applyAlignment="1" applyProtection="1">
      <alignment horizontal="center" vertical="center" wrapText="1"/>
    </xf>
    <xf numFmtId="186" fontId="64" fillId="0" borderId="54" xfId="0" applyNumberFormat="1" applyFont="1" applyFill="1" applyBorder="1" applyAlignment="1" applyProtection="1">
      <alignment horizontal="center" vertical="center" wrapText="1"/>
    </xf>
    <xf numFmtId="186"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6"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8"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6" fontId="134" fillId="6" borderId="1" xfId="0" applyNumberFormat="1" applyFont="1" applyFill="1" applyBorder="1" applyAlignment="1" applyProtection="1">
      <alignment horizontal="center" vertical="center" wrapText="1"/>
    </xf>
    <xf numFmtId="0" fontId="134" fillId="52"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6" fontId="47" fillId="6" borderId="5" xfId="0" applyNumberFormat="1" applyFont="1" applyFill="1" applyBorder="1" applyAlignment="1" applyProtection="1">
      <alignment horizontal="center" vertical="center" wrapText="1"/>
    </xf>
    <xf numFmtId="186" fontId="47" fillId="6" borderId="3" xfId="0" applyNumberFormat="1" applyFont="1" applyFill="1" applyBorder="1" applyAlignment="1" applyProtection="1">
      <alignment horizontal="center" vertical="center" wrapText="1"/>
    </xf>
    <xf numFmtId="186"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9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4" fillId="0" borderId="0" xfId="0" applyFont="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22" borderId="23" xfId="0" applyFont="1" applyFill="1" applyBorder="1" applyAlignment="1" applyProtection="1">
      <alignment horizontal="center" vertical="center" wrapText="1"/>
      <protection locked="0"/>
    </xf>
    <xf numFmtId="0" fontId="178" fillId="22" borderId="24"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2" borderId="41" xfId="0" applyNumberFormat="1" applyFont="1" applyFill="1" applyBorder="1" applyAlignment="1" applyProtection="1">
      <alignment horizontal="center" vertical="center" wrapText="1"/>
      <protection locked="0"/>
    </xf>
    <xf numFmtId="0" fontId="54" fillId="8" borderId="7" xfId="0" applyNumberFormat="1" applyFont="1" applyFill="1" applyBorder="1" applyAlignment="1" applyProtection="1">
      <alignment horizontal="center" vertical="center" wrapText="1"/>
      <protection locked="0"/>
    </xf>
    <xf numFmtId="0" fontId="54" fillId="8" borderId="41" xfId="0" applyNumberFormat="1" applyFont="1" applyFill="1" applyBorder="1" applyAlignment="1" applyProtection="1">
      <alignment horizontal="center" vertical="center" wrapText="1"/>
      <protection locked="0"/>
    </xf>
    <xf numFmtId="185" fontId="47" fillId="7" borderId="1" xfId="0" applyNumberFormat="1" applyFont="1" applyFill="1" applyBorder="1" applyAlignment="1" applyProtection="1">
      <alignment horizontal="center" vertical="center"/>
      <protection locked="0"/>
    </xf>
    <xf numFmtId="185" fontId="50" fillId="8" borderId="8" xfId="0" applyNumberFormat="1" applyFont="1" applyFill="1" applyBorder="1" applyAlignment="1" applyProtection="1">
      <alignment horizontal="center" vertical="center"/>
      <protection locked="0"/>
    </xf>
    <xf numFmtId="185" fontId="50" fillId="8" borderId="24" xfId="0" applyNumberFormat="1" applyFont="1" applyFill="1" applyBorder="1" applyAlignment="1" applyProtection="1">
      <alignment horizontal="center" vertical="center"/>
      <protection locked="0"/>
    </xf>
    <xf numFmtId="49" fontId="54" fillId="8" borderId="41" xfId="0" applyNumberFormat="1" applyFont="1" applyFill="1" applyBorder="1" applyAlignment="1" applyProtection="1">
      <alignment horizontal="center" vertical="center" wrapText="1"/>
      <protection locked="0"/>
    </xf>
    <xf numFmtId="49" fontId="54" fillId="8" borderId="7" xfId="0" applyNumberFormat="1" applyFont="1" applyFill="1" applyBorder="1" applyAlignment="1" applyProtection="1">
      <alignment horizontal="center" vertical="center" wrapText="1"/>
      <protection locked="0"/>
    </xf>
    <xf numFmtId="0" fontId="131" fillId="0" borderId="23" xfId="0" applyFont="1" applyBorder="1" applyAlignment="1" applyProtection="1">
      <alignment horizontal="center" vertical="center"/>
      <protection locked="0"/>
    </xf>
  </cellXfs>
  <cellStyles count="706">
    <cellStyle name="_xffff__x0005__xffff_" xfId="17"/>
    <cellStyle name=" lines_pldt" xfId="18"/>
    <cellStyle name=" Monthly" xfId="19"/>
    <cellStyle name="_x000a_mouse.drv=lm" xfId="20"/>
    <cellStyle name="." xfId="21"/>
    <cellStyle name="@_text" xfId="22"/>
    <cellStyle name="@_text_2009年预算-云栖谷" xfId="23"/>
    <cellStyle name="@_text_2009年预算-云栖谷_10" xfId="24"/>
    <cellStyle name="@_text_20100320投资分析标准模板" xfId="25"/>
    <cellStyle name="@_text_20100320投资分析标准模板_10" xfId="26"/>
    <cellStyle name="@_text_Book1" xfId="27"/>
    <cellStyle name="@_text_测绘报告面积指标" xfId="28"/>
    <cellStyle name="@_text_协信中心项目建筑标准（概算调整）20081210" xfId="29"/>
    <cellStyle name="_%(SignOnly)" xfId="30"/>
    <cellStyle name="_%(SignSpaceOnly)" xfId="31"/>
    <cellStyle name="_1" xfId="32"/>
    <cellStyle name="_1表紙～ｺﾝｾﾌﾟﾄ" xfId="33"/>
    <cellStyle name="_1表紙～ｺﾝｾﾌﾟﾄ.xls グラフ 16" xfId="34"/>
    <cellStyle name="_1表紙～ｺﾝｾﾌﾟﾄ.xls グラフ 16_1" xfId="35"/>
    <cellStyle name="_1表紙～ｺﾝｾﾌﾟﾄ.xls グラフ 16_2" xfId="36"/>
    <cellStyle name="_1表紙～ｺﾝｾﾌﾟﾄ.xls グラフ 16_3" xfId="37"/>
    <cellStyle name="_1表紙～ｺﾝｾﾌﾟﾄ_1" xfId="38"/>
    <cellStyle name="_1表紙～ｺﾝｾﾌﾟﾄ_2" xfId="39"/>
    <cellStyle name="_1表紙～ｺﾝｾﾌﾟﾄ_3" xfId="40"/>
    <cellStyle name="_2010年预算汇总表20100301-苏州公司" xfId="41"/>
    <cellStyle name="_２管理提案（目次）" xfId="42"/>
    <cellStyle name="_２管理提案（目次）_1" xfId="43"/>
    <cellStyle name="_２管理提案（目次）_2" xfId="44"/>
    <cellStyle name="_２管理提案（目次）_3" xfId="45"/>
    <cellStyle name="_3.1－Ⅰ区成本明细表" xfId="46"/>
    <cellStyle name="_3.2－Ⅱ区成本明细" xfId="47"/>
    <cellStyle name="_3月底銷售統計" xfId="48"/>
    <cellStyle name="_４管理提案（ｺﾝｾﾌﾟﾄ）" xfId="49"/>
    <cellStyle name="_４管理提案（ｺﾝｾﾌﾟﾄ）_1" xfId="50"/>
    <cellStyle name="_４管理提案（ｺﾝｾﾌﾟﾄ）_2" xfId="51"/>
    <cellStyle name="_４管理提案（ｺﾝｾﾌﾟﾄ）_3" xfId="52"/>
    <cellStyle name="_５管理提案（教育体制）" xfId="53"/>
    <cellStyle name="_５管理提案（教育体制）_1" xfId="54"/>
    <cellStyle name="_５管理提案（教育体制）_2" xfId="55"/>
    <cellStyle name="_５管理提案（教育体制）_3" xfId="56"/>
    <cellStyle name="_６管理提案（年間計画）" xfId="57"/>
    <cellStyle name="_６管理提案（年間計画）_1" xfId="58"/>
    <cellStyle name="_６管理提案（年間計画）_2" xfId="59"/>
    <cellStyle name="_６管理提案（年間計画）_3" xfId="60"/>
    <cellStyle name="_７管理提案（ﾊﾞｯｸｱｯﾌﾟ）" xfId="61"/>
    <cellStyle name="_７管理提案（ﾊﾞｯｸｱｯﾌﾟ）_1" xfId="62"/>
    <cellStyle name="_７管理提案（ﾊﾞｯｸｱｯﾌﾟ）_2" xfId="63"/>
    <cellStyle name="_７管理提案（ﾊﾞｯｸｱｯﾌﾟ）_3" xfId="64"/>
    <cellStyle name="_８管理提案（長期１）" xfId="65"/>
    <cellStyle name="_８管理提案（長期１）_1" xfId="66"/>
    <cellStyle name="_８管理提案（長期１）_2" xfId="67"/>
    <cellStyle name="_８管理提案（長期１）_3" xfId="68"/>
    <cellStyle name="_８管理提案(長期２)" xfId="69"/>
    <cellStyle name="_９管理提案（管理方式）" xfId="70"/>
    <cellStyle name="_９管理提案（管理方式）_1" xfId="71"/>
    <cellStyle name="_９管理提案（管理方式）_2" xfId="72"/>
    <cellStyle name="_９管理提案（管理方式）_3" xfId="73"/>
    <cellStyle name="_book1" xfId="74"/>
    <cellStyle name="_bud2001-r.o.1N" xfId="75"/>
    <cellStyle name="_Cash flow" xfId="76"/>
    <cellStyle name="_Cht-Staff cost%reven؀ᘞä᚞ä᜞äឞä᠞äᢞäᤞäᦞä᨞ä᪞äᬞäᮞä" xfId="77"/>
    <cellStyle name="_Comma" xfId="78"/>
    <cellStyle name="_Comma_30パレス経堂（テンプレート：9.18）" xfId="79"/>
    <cellStyle name="_C-ROACE" xfId="80"/>
    <cellStyle name="_CROCF" xfId="81"/>
    <cellStyle name="_Currency" xfId="82"/>
    <cellStyle name="_Currency_30パレス経堂（テンプレート：9.18）" xfId="83"/>
    <cellStyle name="_Currency_Book1" xfId="84"/>
    <cellStyle name="_Currency_Cap DSCR  Mar 1" xfId="85"/>
    <cellStyle name="_Currency_Rent roll 6  31" xfId="86"/>
    <cellStyle name="_Currency_Roll Up Import" xfId="87"/>
    <cellStyle name="_Currency_StackingPlan（浜松町）" xfId="88"/>
    <cellStyle name="_CurrencySpace" xfId="89"/>
    <cellStyle name="_CurrencySpace_30パレス経堂（テンプレート：9.18）" xfId="90"/>
    <cellStyle name="_Demand Fcst." xfId="91"/>
    <cellStyle name="_ET_STYLE_NoName_00_" xfId="92"/>
    <cellStyle name="_ET_STYLE_NoName_00__A区动态明细表(11~12月)" xfId="93"/>
    <cellStyle name="_ET_STYLE_NoName_00__目标成本+资金（温泉小镇20111011-精装+含1.9亿土地费）" xfId="94"/>
    <cellStyle name="_ET_STYLE_NoName_00__温泉酒店动态成本更新(20120104)" xfId="95"/>
    <cellStyle name="_ET_STYLE_NoName_00__温泉酒店动态成本更新(20120331)" xfId="96"/>
    <cellStyle name="_ET_STYLE_NoName_00__温泉酒店动态成本更新(20120430)" xfId="97"/>
    <cellStyle name="_ET_STYLE_NoName_00__温泉酒店动态成本更新(20120531)" xfId="98"/>
    <cellStyle name="_Euro" xfId="99"/>
    <cellStyle name="_Heading" xfId="100"/>
    <cellStyle name="_Highlight" xfId="101"/>
    <cellStyle name="_kanri" xfId="102"/>
    <cellStyle name="_kanri_1" xfId="103"/>
    <cellStyle name="_kanri_2" xfId="104"/>
    <cellStyle name="_kanri_3" xfId="105"/>
    <cellStyle name="_Mgt report on sales and cost" xfId="106"/>
    <cellStyle name="_Mgt report on sales recognition (2)" xfId="107"/>
    <cellStyle name="_Multiple" xfId="108"/>
    <cellStyle name="_Multiple_30パレス経堂（テンプレート：9.18）" xfId="109"/>
    <cellStyle name="_MultipleSpace" xfId="110"/>
    <cellStyle name="_MultipleSpace_30パレス経堂（テンプレート：9.18）" xfId="111"/>
    <cellStyle name="_Percent" xfId="112"/>
    <cellStyle name="_PercentSpace" xfId="113"/>
    <cellStyle name="_Sheet1" xfId="114"/>
    <cellStyle name="_Sheet1_3.1－Ⅰ区成本明细表" xfId="115"/>
    <cellStyle name="_Sheet1_3.2－Ⅱ区成本明细" xfId="116"/>
    <cellStyle name="_SubHeading" xfId="117"/>
    <cellStyle name="_SX_DB_CUR" xfId="118"/>
    <cellStyle name="_Table" xfId="119"/>
    <cellStyle name="_TableHead" xfId="120"/>
    <cellStyle name="_TableRowHead" xfId="121"/>
    <cellStyle name="_TableSuperHead" xfId="122"/>
    <cellStyle name="_リニューアル工事.xls グラフ 175" xfId="123"/>
    <cellStyle name="_リニューアル工事.xls グラフ 175_1" xfId="124"/>
    <cellStyle name="_リニューアル工事.xls グラフ 175_2" xfId="125"/>
    <cellStyle name="_リニューアル工事.xls グラフ 175_3" xfId="126"/>
    <cellStyle name="_リニューアル工事.xls グラフ 176" xfId="127"/>
    <cellStyle name="_リニューアル工事.xls グラフ 176_1" xfId="128"/>
    <cellStyle name="_リニューアル工事.xls グラフ 176_2" xfId="129"/>
    <cellStyle name="_リニューアル工事.xls グラフ 176_3" xfId="130"/>
    <cellStyle name="_リニューアル工事.xls グラフ 3" xfId="131"/>
    <cellStyle name="_リニューアル工事.xls グラフ 3_1" xfId="132"/>
    <cellStyle name="_リニューアル工事.xls グラフ 3_2" xfId="133"/>
    <cellStyle name="_リニューアル工事.xls グラフ 3_3" xfId="134"/>
    <cellStyle name="_リニューアル工事.xls グラフ 4" xfId="135"/>
    <cellStyle name="_リニューアル工事.xls グラフ 4_1" xfId="136"/>
    <cellStyle name="_リニューアル工事.xls グラフ 4_2" xfId="137"/>
    <cellStyle name="_リニューアル工事.xls グラフ 4_3" xfId="138"/>
    <cellStyle name="_長期應付款公允價值" xfId="139"/>
    <cellStyle name="_長期應付款公允價值_2009年预算-云栖谷" xfId="140"/>
    <cellStyle name="_長期應付款公允價值_2009年预算-云栖谷_10" xfId="141"/>
    <cellStyle name="_長期應付款公允價值_20100320投资分析标准模板" xfId="142"/>
    <cellStyle name="_長期應付款公允價值_20100320投资分析标准模板_10" xfId="143"/>
    <cellStyle name="_長期應付款公允價值_Book1" xfId="144"/>
    <cellStyle name="_長期應付款公允價值_测绘报告面积指标" xfId="145"/>
    <cellStyle name="_長期應付款公允價值_协信中心项目建筑标准（概算调整）20081210" xfId="146"/>
    <cellStyle name="_附件二_與華潤本息對賬" xfId="147"/>
    <cellStyle name="_工程現金流預算及進度管理滙報表" xfId="148"/>
    <cellStyle name="_管理提案（本   文）" xfId="149"/>
    <cellStyle name="_管理提案（本   文）_1" xfId="150"/>
    <cellStyle name="_管理提案（本   文）_2" xfId="151"/>
    <cellStyle name="_管理提案（本   文）_3" xfId="152"/>
    <cellStyle name="_管理提案（本   文）－２" xfId="153"/>
    <cellStyle name="_管理提案（本   文）－２_1" xfId="154"/>
    <cellStyle name="_管理提案（本   文）－２_2" xfId="155"/>
    <cellStyle name="_管理提案（本   文）－２_3" xfId="156"/>
    <cellStyle name="_管理提案（目　次）２" xfId="157"/>
    <cellStyle name="_管理提案（目　次）２_1" xfId="158"/>
    <cellStyle name="_管理提案（目　次）２_2" xfId="159"/>
    <cellStyle name="_管理提案（目　次）２_3" xfId="160"/>
    <cellStyle name="_管理提案書A3.xls グラフ 4" xfId="161"/>
    <cellStyle name="_管理提案書A3.xls グラフ 4_1" xfId="162"/>
    <cellStyle name="_管理提案書A3.xls グラフ 4_2" xfId="163"/>
    <cellStyle name="_管理提案書A3.xls グラフ 4_3" xfId="164"/>
    <cellStyle name="_管理提案書A3.xls グラフ 5" xfId="165"/>
    <cellStyle name="_管理提案書A3.xls グラフ 5_1" xfId="166"/>
    <cellStyle name="_管理提案書A3.xls グラフ 5_2" xfId="167"/>
    <cellStyle name="_管理提案書A3.xls グラフ 5_3" xfId="168"/>
    <cellStyle name="_管理提案書A3.xls グラフ 9" xfId="169"/>
    <cellStyle name="_管理提案書A3.xls グラフ 9_1" xfId="170"/>
    <cellStyle name="_管理提案書A3.xls グラフ 9_2" xfId="171"/>
    <cellStyle name="_管理提案書A3.xls グラフ 9_3" xfId="172"/>
    <cellStyle name="_室町ＮＳビル総合管理提案２" xfId="173"/>
    <cellStyle name="_室町ＮＳビル総合管理提案２.xls グラフ 3" xfId="174"/>
    <cellStyle name="_室町ＮＳビル総合管理提案２.xls グラフ 3_1" xfId="175"/>
    <cellStyle name="_室町ＮＳビル総合管理提案２.xls グラフ 3_2" xfId="176"/>
    <cellStyle name="_室町ＮＳビル総合管理提案２.xls グラフ 3_3" xfId="177"/>
    <cellStyle name="_室町ＮＳビル総合管理提案２.xls グラフ 4" xfId="178"/>
    <cellStyle name="_室町ＮＳビル総合管理提案２.xls グラフ 4_1" xfId="179"/>
    <cellStyle name="_室町ＮＳビル総合管理提案２.xls グラフ 4_2" xfId="180"/>
    <cellStyle name="_室町ＮＳビル総合管理提案２.xls グラフ 4_3" xfId="181"/>
    <cellStyle name="_室町ＮＳビル総合管理提案２.xls グラフ 8" xfId="182"/>
    <cellStyle name="_室町ＮＳビル総合管理提案２.xls グラフ 8_1" xfId="183"/>
    <cellStyle name="_室町ＮＳビル総合管理提案２.xls グラフ 8_2" xfId="184"/>
    <cellStyle name="_室町ＮＳビル総合管理提案２.xls グラフ 8_3" xfId="185"/>
    <cellStyle name="_室町ＮＳビル総合管理提案２_1" xfId="186"/>
    <cellStyle name="_室町ＮＳビル総合管理提案２_2" xfId="187"/>
    <cellStyle name="_室町ＮＳビル総合管理提案２_3" xfId="188"/>
    <cellStyle name="_提案書2-2" xfId="189"/>
    <cellStyle name="_提案書2-2_1" xfId="190"/>
    <cellStyle name="_提案書2-2_2" xfId="191"/>
    <cellStyle name="_提案書2-2_3" xfId="192"/>
    <cellStyle name="_营销费用台帐" xfId="193"/>
    <cellStyle name="{Comma [0]}" xfId="194"/>
    <cellStyle name="{Comma}" xfId="195"/>
    <cellStyle name="{Date}" xfId="196"/>
    <cellStyle name="{Month}" xfId="197"/>
    <cellStyle name="{Percent}" xfId="198"/>
    <cellStyle name="{Thousand [0]}" xfId="199"/>
    <cellStyle name="{Thousand}" xfId="200"/>
    <cellStyle name="{Z'0000(1 dec)}" xfId="201"/>
    <cellStyle name="{Z'0000(4 dec)}" xfId="202"/>
    <cellStyle name="•W€_Cash Flow Yaesu" xfId="203"/>
    <cellStyle name="0,0_x000d__x000a_NA_x000d__x000a_" xfId="204"/>
    <cellStyle name="20% - Accent1" xfId="205"/>
    <cellStyle name="20% - Accent1 2" xfId="206"/>
    <cellStyle name="20% - Accent1 2 2" xfId="207"/>
    <cellStyle name="20% - Accent1 3" xfId="208"/>
    <cellStyle name="20% - Accent2" xfId="209"/>
    <cellStyle name="20% - Accent2 2" xfId="210"/>
    <cellStyle name="20% - Accent2 2 2" xfId="211"/>
    <cellStyle name="20% - Accent2 3" xfId="212"/>
    <cellStyle name="20% - Accent3" xfId="213"/>
    <cellStyle name="20% - Accent3 2" xfId="214"/>
    <cellStyle name="20% - Accent3 2 2" xfId="215"/>
    <cellStyle name="20% - Accent3 3" xfId="216"/>
    <cellStyle name="20% - Accent4" xfId="217"/>
    <cellStyle name="20% - Accent4 2" xfId="218"/>
    <cellStyle name="20% - Accent4 2 2" xfId="219"/>
    <cellStyle name="20% - Accent4 3" xfId="220"/>
    <cellStyle name="20% - Accent5" xfId="221"/>
    <cellStyle name="20% - Accent5 2" xfId="222"/>
    <cellStyle name="20% - Accent5 2 2" xfId="223"/>
    <cellStyle name="20% - Accent5 3" xfId="224"/>
    <cellStyle name="20% - Accent6" xfId="225"/>
    <cellStyle name="20% - Accent6 2" xfId="226"/>
    <cellStyle name="20% - Accent6 2 2" xfId="227"/>
    <cellStyle name="20% - Accent6 3" xfId="228"/>
    <cellStyle name="20% - 强调文字颜色 1 2" xfId="229"/>
    <cellStyle name="3232" xfId="230"/>
    <cellStyle name="3232 2" xfId="231"/>
    <cellStyle name="3232 2 2" xfId="232"/>
    <cellStyle name="3232 2 2 2" xfId="233"/>
    <cellStyle name="3232 3" xfId="234"/>
    <cellStyle name="3232 3 2" xfId="235"/>
    <cellStyle name="3232 3 2 2" xfId="236"/>
    <cellStyle name="3232 4" xfId="237"/>
    <cellStyle name="3232 4 2" xfId="238"/>
    <cellStyle name="3232_2014年度考核指标定义" xfId="239"/>
    <cellStyle name="40% - Accent1" xfId="240"/>
    <cellStyle name="40% - Accent1 2" xfId="241"/>
    <cellStyle name="40% - Accent1 2 2" xfId="242"/>
    <cellStyle name="40% - Accent1 3" xfId="243"/>
    <cellStyle name="40% - Accent2" xfId="244"/>
    <cellStyle name="40% - Accent2 2" xfId="245"/>
    <cellStyle name="40% - Accent2 2 2" xfId="246"/>
    <cellStyle name="40% - Accent2 3" xfId="247"/>
    <cellStyle name="40% - Accent3" xfId="248"/>
    <cellStyle name="40% - Accent3 2" xfId="249"/>
    <cellStyle name="40% - Accent3 2 2" xfId="250"/>
    <cellStyle name="40% - Accent3 3" xfId="251"/>
    <cellStyle name="40% - Accent4" xfId="252"/>
    <cellStyle name="40% - Accent4 2" xfId="253"/>
    <cellStyle name="40% - Accent4 2 2" xfId="254"/>
    <cellStyle name="40% - Accent4 3" xfId="255"/>
    <cellStyle name="40% - Accent5" xfId="256"/>
    <cellStyle name="40% - Accent5 2" xfId="257"/>
    <cellStyle name="40% - Accent5 2 2" xfId="258"/>
    <cellStyle name="40% - Accent5 3" xfId="259"/>
    <cellStyle name="40% - Accent6" xfId="260"/>
    <cellStyle name="40% - Accent6 2" xfId="261"/>
    <cellStyle name="40% - Accent6 2 2" xfId="262"/>
    <cellStyle name="40% - Accent6 3" xfId="263"/>
    <cellStyle name="60% - Accent1" xfId="264"/>
    <cellStyle name="60% - Accent1 2" xfId="265"/>
    <cellStyle name="60% - Accent1 2 2" xfId="266"/>
    <cellStyle name="60% - Accent2" xfId="267"/>
    <cellStyle name="60% - Accent2 2" xfId="268"/>
    <cellStyle name="60% - Accent2 2 2" xfId="269"/>
    <cellStyle name="60% - Accent3" xfId="270"/>
    <cellStyle name="60% - Accent3 2" xfId="271"/>
    <cellStyle name="60% - Accent3 2 2" xfId="272"/>
    <cellStyle name="60% - Accent4" xfId="273"/>
    <cellStyle name="60% - Accent4 2" xfId="274"/>
    <cellStyle name="60% - Accent4 2 2" xfId="275"/>
    <cellStyle name="60% - Accent5" xfId="276"/>
    <cellStyle name="60% - Accent5 2" xfId="277"/>
    <cellStyle name="60% - Accent5 2 2" xfId="278"/>
    <cellStyle name="60% - Accent6" xfId="279"/>
    <cellStyle name="60% - Accent6 2" xfId="280"/>
    <cellStyle name="60% - Accent6 2 2" xfId="281"/>
    <cellStyle name="ᦞä᨞ä᪞äᬞäᮞä" xfId="282"/>
    <cellStyle name="Accent1" xfId="283"/>
    <cellStyle name="Accent1 2" xfId="284"/>
    <cellStyle name="Accent1 2 2" xfId="285"/>
    <cellStyle name="Accent2" xfId="286"/>
    <cellStyle name="Accent2 2" xfId="287"/>
    <cellStyle name="Accent2 2 2" xfId="288"/>
    <cellStyle name="Accent3" xfId="289"/>
    <cellStyle name="Accent3 2" xfId="290"/>
    <cellStyle name="Accent3 2 2" xfId="291"/>
    <cellStyle name="Accent4" xfId="292"/>
    <cellStyle name="Accent4 2" xfId="293"/>
    <cellStyle name="Accent4 2 2" xfId="294"/>
    <cellStyle name="Accent5" xfId="295"/>
    <cellStyle name="Accent5 2" xfId="296"/>
    <cellStyle name="Accent5 2 2" xfId="297"/>
    <cellStyle name="Accent6" xfId="298"/>
    <cellStyle name="Accent6 2" xfId="299"/>
    <cellStyle name="Accent6 2 2" xfId="300"/>
    <cellStyle name="al_C-lines distribution_guyan" xfId="301"/>
    <cellStyle name="AREAST" xfId="302"/>
    <cellStyle name="Bad" xfId="303"/>
    <cellStyle name="Bad 2" xfId="304"/>
    <cellStyle name="Bad 2 2" xfId="305"/>
    <cellStyle name="b᳨ä㙢bᴤä㙲bᵬä㚂bᶰä㚒b㣘ä㚢b㤘ä㚲b㥘ä㛂b㥼ᨐ_x001e_Normal_C-Orig PLDT lines_guyan" xfId="306"/>
    <cellStyle name="Blue" xfId="307"/>
    <cellStyle name="b떼㔢b뗰㔲b똤㕂b뙔㕒b᩠ä㕢b᪜ä㕲b᫈ä㖂bᬀ_SX_DB_CUR" xfId="308"/>
    <cellStyle name="Calc Currency (0)" xfId="309"/>
    <cellStyle name="Calculation" xfId="310"/>
    <cellStyle name="Calculation 2" xfId="311"/>
    <cellStyle name="Calculation 2 2" xfId="312"/>
    <cellStyle name="Cf_pldt" xfId="313"/>
    <cellStyle name="Change A&amp;ll" xfId="314"/>
    <cellStyle name="Change A&amp;ll 2" xfId="315"/>
    <cellStyle name="Change A&amp;ll 2 2" xfId="316"/>
    <cellStyle name="Change A&amp;ll 2 2 2" xfId="317"/>
    <cellStyle name="Change A&amp;ll 3" xfId="318"/>
    <cellStyle name="Change A&amp;ll 3 2" xfId="319"/>
    <cellStyle name="Change A&amp;ll_2014年经营预算模板_地产" xfId="320"/>
    <cellStyle name="Check Cell" xfId="321"/>
    <cellStyle name="Check Cell 2" xfId="322"/>
    <cellStyle name="Check Cell 2 2" xfId="323"/>
    <cellStyle name="Comma  - Style1" xfId="324"/>
    <cellStyle name="Comma  - Style2" xfId="325"/>
    <cellStyle name="Comma  - Style3" xfId="326"/>
    <cellStyle name="Comma  - Style4" xfId="327"/>
    <cellStyle name="Comma  - Style5" xfId="328"/>
    <cellStyle name="Comma  - Style6" xfId="329"/>
    <cellStyle name="Comma  - Style7" xfId="330"/>
    <cellStyle name="Comma  - Style8" xfId="331"/>
    <cellStyle name="Comma 0" xfId="332"/>
    <cellStyle name="Comma 2" xfId="333"/>
    <cellStyle name="Currency 0" xfId="334"/>
    <cellStyle name="Currency 2" xfId="335"/>
    <cellStyle name="Date Aligned" xfId="336"/>
    <cellStyle name="DB" xfId="337"/>
    <cellStyle name="Dotted Line" xfId="338"/>
    <cellStyle name="entry box" xfId="339"/>
    <cellStyle name="es" xfId="340"/>
    <cellStyle name="et on Rev_pldt" xfId="341"/>
    <cellStyle name="Euro" xfId="342"/>
    <cellStyle name="ev" xfId="343"/>
    <cellStyle name="Explanatory Text" xfId="344"/>
    <cellStyle name="Explanatory Text 2" xfId="345"/>
    <cellStyle name="Explanatory Text 2 2" xfId="346"/>
    <cellStyle name="EYtext" xfId="347"/>
    <cellStyle name="Good" xfId="348"/>
    <cellStyle name="Good 2" xfId="349"/>
    <cellStyle name="Good 2 2" xfId="350"/>
    <cellStyle name="Grey" xfId="351"/>
    <cellStyle name="Header1" xfId="352"/>
    <cellStyle name="Header2" xfId="353"/>
    <cellStyle name="Heading 1" xfId="354"/>
    <cellStyle name="Heading 1 2" xfId="355"/>
    <cellStyle name="Heading 1 2 2" xfId="356"/>
    <cellStyle name="Heading 2" xfId="357"/>
    <cellStyle name="Heading 2 2" xfId="358"/>
    <cellStyle name="Heading 2 2 2" xfId="359"/>
    <cellStyle name="Heading 3" xfId="360"/>
    <cellStyle name="Heading 3 2" xfId="361"/>
    <cellStyle name="Heading 3 2 2" xfId="362"/>
    <cellStyle name="Heading 4" xfId="363"/>
    <cellStyle name="Heading 4 2" xfId="364"/>
    <cellStyle name="Heading 4 2 2" xfId="365"/>
    <cellStyle name="Input" xfId="366"/>
    <cellStyle name="Input [yellow]" xfId="367"/>
    <cellStyle name="Input 2" xfId="368"/>
    <cellStyle name="Input 2 2" xfId="369"/>
    <cellStyle name="Input 3" xfId="370"/>
    <cellStyle name="Input 3 2" xfId="371"/>
    <cellStyle name="Input 4" xfId="372"/>
    <cellStyle name="Input 4 2" xfId="373"/>
    <cellStyle name="Input 5" xfId="374"/>
    <cellStyle name="Input 5 2" xfId="375"/>
    <cellStyle name="l Opr Cf" xfId="376"/>
    <cellStyle name="Linked Cell" xfId="377"/>
    <cellStyle name="Linked Cell 2" xfId="378"/>
    <cellStyle name="Linked Cell 2 2" xfId="379"/>
    <cellStyle name="MainData" xfId="380"/>
    <cellStyle name="MajorTotal" xfId="381"/>
    <cellStyle name="Neutral" xfId="382"/>
    <cellStyle name="Neutral 2" xfId="383"/>
    <cellStyle name="Neutral 2 2" xfId="384"/>
    <cellStyle name="new" xfId="385"/>
    <cellStyle name="new change" xfId="386"/>
    <cellStyle name="Normal - Style1" xfId="387"/>
    <cellStyle name="Normal 2" xfId="388"/>
    <cellStyle name="Normal 3" xfId="389"/>
    <cellStyle name="Normal_集团spreadsheet-03" xfId="390"/>
    <cellStyle name="Normalny_Arkusz1" xfId="391"/>
    <cellStyle name="NormalOPrint_Module_E (2)" xfId="392"/>
    <cellStyle name="Note" xfId="393"/>
    <cellStyle name="Note 2" xfId="394"/>
    <cellStyle name="Note 2 2" xfId="395"/>
    <cellStyle name="Output" xfId="396"/>
    <cellStyle name="Output 2" xfId="397"/>
    <cellStyle name="Output 2 2" xfId="398"/>
    <cellStyle name="Percent [2]" xfId="399"/>
    <cellStyle name="pldt" xfId="400"/>
    <cellStyle name="Prefilled" xfId="401"/>
    <cellStyle name="rmal_C-lines distribution_pldt" xfId="402"/>
    <cellStyle name="RowLevel_0" xfId="403"/>
    <cellStyle name="s" xfId="404"/>
    <cellStyle name="SAPBEXaggData" xfId="405"/>
    <cellStyle name="SAPBEXaggDataEmph" xfId="406"/>
    <cellStyle name="SAPBEXaggItem" xfId="407"/>
    <cellStyle name="SAPBEXaggItemX" xfId="408"/>
    <cellStyle name="SAPBEXchaText" xfId="409"/>
    <cellStyle name="SAPBEXe¥cCritical5" xfId="410"/>
    <cellStyle name="SAPBEXexcBad7" xfId="411"/>
    <cellStyle name="SAPBEXexcBad8" xfId="412"/>
    <cellStyle name="SAPBEXexcBad9" xfId="413"/>
    <cellStyle name="SAPBEXexcCritical4" xfId="414"/>
    <cellStyle name="SAPBEXexcCritical5" xfId="415"/>
    <cellStyle name="SAPBEXexcCritical6" xfId="416"/>
    <cellStyle name="SAPBEXexcGood1" xfId="417"/>
    <cellStyle name="SAPBEXexcGood2" xfId="418"/>
    <cellStyle name="SAPBEXexcGood3" xfId="419"/>
    <cellStyle name="SAPBEXfilterDrill" xfId="420"/>
    <cellStyle name="SAPBEXfilterItem" xfId="421"/>
    <cellStyle name="SAPBEXfilterText" xfId="422"/>
    <cellStyle name="SAPBEXformats" xfId="423"/>
    <cellStyle name="SAPBEXheaderItem" xfId="424"/>
    <cellStyle name="SAPBEXheaderText" xfId="425"/>
    <cellStyle name="SAPBEXHLevel0" xfId="426"/>
    <cellStyle name="SAPBEXHLevel0 2" xfId="427"/>
    <cellStyle name="SAPBEXHLevel0 2 2" xfId="428"/>
    <cellStyle name="SAPBEXHLevel0X" xfId="429"/>
    <cellStyle name="SAPBEXHLevel1" xfId="430"/>
    <cellStyle name="SAPBEXHLevel1 2" xfId="431"/>
    <cellStyle name="SAPBEXHLevel1 2 2" xfId="432"/>
    <cellStyle name="SAPBEXHLevel1X" xfId="433"/>
    <cellStyle name="SAPBEXHLevel2" xfId="434"/>
    <cellStyle name="SAPBEXHLevel2X" xfId="435"/>
    <cellStyle name="SAPBEXHLevel3" xfId="436"/>
    <cellStyle name="SAPBEXHLevel3X" xfId="437"/>
    <cellStyle name="SAPBEXresData" xfId="438"/>
    <cellStyle name="SAPBEXresDataEmph" xfId="439"/>
    <cellStyle name="SAPBEXresItem" xfId="440"/>
    <cellStyle name="SAPBEXresItemX" xfId="441"/>
    <cellStyle name="SAPBEXstdData" xfId="442"/>
    <cellStyle name="SAPBEXstdDataEmph" xfId="443"/>
    <cellStyle name="SAPBEXstdItem" xfId="444"/>
    <cellStyle name="SAPBEXstdItemX" xfId="445"/>
    <cellStyle name="SAPBEXtitle" xfId="446"/>
    <cellStyle name="SAPBEXundefined" xfId="447"/>
    <cellStyle name="SubTotal" xfId="448"/>
    <cellStyle name="t" xfId="449"/>
    <cellStyle name="t Summ" xfId="450"/>
    <cellStyle name="t_pldt" xfId="451"/>
    <cellStyle name="Title" xfId="452"/>
    <cellStyle name="Title 2" xfId="453"/>
    <cellStyle name="Title 2 2" xfId="454"/>
    <cellStyle name="Total" xfId="455"/>
    <cellStyle name="Total 2" xfId="456"/>
    <cellStyle name="Total 2 2" xfId="457"/>
    <cellStyle name="ull Year FY96" xfId="458"/>
    <cellStyle name="Warning Text" xfId="459"/>
    <cellStyle name="Warning Text 2" xfId="460"/>
    <cellStyle name="Warning Text 2 2" xfId="461"/>
    <cellStyle name="yan" xfId="462"/>
    <cellStyle name="百分比 2" xfId="463"/>
    <cellStyle name="百分比 2 2" xfId="464"/>
    <cellStyle name="百分比 2 2 2" xfId="465"/>
    <cellStyle name="百分比 2 2 2 2" xfId="466"/>
    <cellStyle name="百分比 2 3" xfId="467"/>
    <cellStyle name="百分比 2 3 2" xfId="468"/>
    <cellStyle name="百分比 2 3 2 2" xfId="469"/>
    <cellStyle name="百分比 2 3 2 2 2" xfId="470"/>
    <cellStyle name="百分比 2 3 3" xfId="471"/>
    <cellStyle name="百分比 2 3 3 2" xfId="472"/>
    <cellStyle name="百分比 2 4" xfId="473"/>
    <cellStyle name="百分比 2 4 2" xfId="474"/>
    <cellStyle name="百分比 3" xfId="475"/>
    <cellStyle name="百分比 3 2" xfId="476"/>
    <cellStyle name="百分比 4" xfId="477"/>
    <cellStyle name="百分比 5" xfId="478"/>
    <cellStyle name="捠壿 [0.00]_guyan" xfId="479"/>
    <cellStyle name="捠壿_guyan" xfId="480"/>
    <cellStyle name="標準_☆TMK目黒Variance Report" xfId="481"/>
    <cellStyle name="常规" xfId="0" builtinId="0"/>
    <cellStyle name="常规 10" xfId="13"/>
    <cellStyle name="常规 10 10" xfId="482"/>
    <cellStyle name="常规 10 10 2" xfId="483"/>
    <cellStyle name="常规 10 10 2 2" xfId="484"/>
    <cellStyle name="常规 10 10 2 2 2" xfId="485"/>
    <cellStyle name="常规 10 10 3" xfId="486"/>
    <cellStyle name="常规 10 10 3 2" xfId="487"/>
    <cellStyle name="常规 10 2" xfId="488"/>
    <cellStyle name="常规 10 2 2" xfId="489"/>
    <cellStyle name="常规 10 2 2 2" xfId="490"/>
    <cellStyle name="常规 10 3" xfId="491"/>
    <cellStyle name="常规 10 3 2" xfId="492"/>
    <cellStyle name="常规 10_2014年经营预算模板_地产" xfId="493"/>
    <cellStyle name="常规 11" xfId="494"/>
    <cellStyle name="常规 11 2" xfId="495"/>
    <cellStyle name="常规 11 2 2" xfId="496"/>
    <cellStyle name="常规 11 2 2 2" xfId="497"/>
    <cellStyle name="常规 11 3" xfId="498"/>
    <cellStyle name="常规 11 3 2" xfId="499"/>
    <cellStyle name="常规 11_2014年经营预算模板_地产" xfId="500"/>
    <cellStyle name="常规 12" xfId="501"/>
    <cellStyle name="常规 12 2" xfId="502"/>
    <cellStyle name="常规 12 2 2" xfId="503"/>
    <cellStyle name="常规 12 2 2 2" xfId="504"/>
    <cellStyle name="常规 12 3" xfId="505"/>
    <cellStyle name="常规 12 3 2" xfId="506"/>
    <cellStyle name="常规 12_2014年经营预算模板_地产" xfId="507"/>
    <cellStyle name="常规 13" xfId="508"/>
    <cellStyle name="常规 13 2" xfId="509"/>
    <cellStyle name="常规 13 2 2" xfId="510"/>
    <cellStyle name="常规 13 2 2 2" xfId="511"/>
    <cellStyle name="常规 13 3" xfId="512"/>
    <cellStyle name="常规 13 3 2" xfId="513"/>
    <cellStyle name="常规 13_2014年经营预算模板_地产" xfId="514"/>
    <cellStyle name="常规 14" xfId="515"/>
    <cellStyle name="常规 15" xfId="516"/>
    <cellStyle name="常规 16" xfId="10"/>
    <cellStyle name="常规 17" xfId="517"/>
    <cellStyle name="常规 18" xfId="518"/>
    <cellStyle name="常规 19" xfId="519"/>
    <cellStyle name="常规 2" xfId="1"/>
    <cellStyle name="常规 2 2" xfId="8"/>
    <cellStyle name="常规 2 2 2" xfId="520"/>
    <cellStyle name="常规 2 2 2 2" xfId="521"/>
    <cellStyle name="常规 2 3" xfId="522"/>
    <cellStyle name="常规 2 3 2" xfId="523"/>
    <cellStyle name="常规 2 4" xfId="524"/>
    <cellStyle name="常规 2 4 2" xfId="525"/>
    <cellStyle name="常规 2 4 2 2" xfId="526"/>
    <cellStyle name="常规 2 4 2 2 2" xfId="527"/>
    <cellStyle name="常规 2 4 3" xfId="528"/>
    <cellStyle name="常规 2 4 3 2" xfId="529"/>
    <cellStyle name="常规 2 4_2014年经营预算模板_地产" xfId="530"/>
    <cellStyle name="常规 2_2014年经营预算模板_地产" xfId="531"/>
    <cellStyle name="常规 20" xfId="532"/>
    <cellStyle name="常规 21" xfId="533"/>
    <cellStyle name="常规 22" xfId="534"/>
    <cellStyle name="常规 23" xfId="535"/>
    <cellStyle name="常规 24" xfId="536"/>
    <cellStyle name="常规 25" xfId="537"/>
    <cellStyle name="常规 26" xfId="538"/>
    <cellStyle name="常规 27" xfId="539"/>
    <cellStyle name="常规 28" xfId="540"/>
    <cellStyle name="常规 29" xfId="541"/>
    <cellStyle name="常规 3" xfId="2"/>
    <cellStyle name="常规 3 2" xfId="3"/>
    <cellStyle name="常规 3 2 2" xfId="542"/>
    <cellStyle name="常规 3 2 2 2" xfId="543"/>
    <cellStyle name="常规 3 3" xfId="544"/>
    <cellStyle name="常规 3 3 2" xfId="545"/>
    <cellStyle name="常规 3_2014年经营预算模板_地产" xfId="546"/>
    <cellStyle name="常规 30" xfId="547"/>
    <cellStyle name="常规 4" xfId="4"/>
    <cellStyle name="常规 4 2" xfId="15"/>
    <cellStyle name="常规 4 2 2" xfId="548"/>
    <cellStyle name="常规 4 2 2 2" xfId="549"/>
    <cellStyle name="常规 4 3" xfId="550"/>
    <cellStyle name="常规 4 3 2" xfId="551"/>
    <cellStyle name="常规 4_2014年经营预算模板_地产" xfId="552"/>
    <cellStyle name="常规 5" xfId="5"/>
    <cellStyle name="常规 5 2" xfId="553"/>
    <cellStyle name="常规 5 2 2" xfId="554"/>
    <cellStyle name="常规 5 2 2 2" xfId="555"/>
    <cellStyle name="常规 5 3" xfId="556"/>
    <cellStyle name="常规 5 3 2" xfId="557"/>
    <cellStyle name="常规 5 3 2 2" xfId="558"/>
    <cellStyle name="常规 5 3 2 2 2" xfId="559"/>
    <cellStyle name="常规 5 3 3" xfId="560"/>
    <cellStyle name="常规 5 3 3 2" xfId="561"/>
    <cellStyle name="常规 5 3_2014年经营预算模板_地产" xfId="562"/>
    <cellStyle name="常规 5 4" xfId="563"/>
    <cellStyle name="常规 5 4 2" xfId="564"/>
    <cellStyle name="常规 5 4 2 2" xfId="565"/>
    <cellStyle name="常规 5 4 2 2 2" xfId="566"/>
    <cellStyle name="常规 5 4 3" xfId="567"/>
    <cellStyle name="常规 5 4 3 2" xfId="568"/>
    <cellStyle name="常规 5 4_2014年经营预算模板_地产" xfId="569"/>
    <cellStyle name="常规 5 5" xfId="570"/>
    <cellStyle name="常规 5 5 2" xfId="571"/>
    <cellStyle name="常规 5_2014年经营预算模板_地产" xfId="572"/>
    <cellStyle name="常规 6" xfId="6"/>
    <cellStyle name="常规 6 2" xfId="9"/>
    <cellStyle name="常规 6 2 2" xfId="573"/>
    <cellStyle name="常规 6 2 2 2" xfId="574"/>
    <cellStyle name="常规 6 3" xfId="575"/>
    <cellStyle name="常规 6 3 2" xfId="576"/>
    <cellStyle name="常规 6_2014年经营预算模板_地产" xfId="577"/>
    <cellStyle name="常规 7" xfId="7"/>
    <cellStyle name="常规 7 2" xfId="578"/>
    <cellStyle name="常规 7 2 2" xfId="579"/>
    <cellStyle name="常规 7 2 2 2" xfId="580"/>
    <cellStyle name="常规 7 3" xfId="581"/>
    <cellStyle name="常规 7 3 2" xfId="582"/>
    <cellStyle name="常规 7_2014年经营预算模板_地产" xfId="583"/>
    <cellStyle name="常规 8" xfId="11"/>
    <cellStyle name="常规 8 2" xfId="584"/>
    <cellStyle name="常规 8 2 2" xfId="585"/>
    <cellStyle name="常规 8 2 2 2" xfId="586"/>
    <cellStyle name="常规 8 3" xfId="587"/>
    <cellStyle name="常规 8 3 2" xfId="588"/>
    <cellStyle name="常规 8_2014年经营预算模板_地产" xfId="589"/>
    <cellStyle name="常规 9" xfId="12"/>
    <cellStyle name="常规 9 2" xfId="590"/>
    <cellStyle name="常规 9 2 2" xfId="591"/>
    <cellStyle name="常规 9 2 2 2" xfId="592"/>
    <cellStyle name="常规 9 3" xfId="593"/>
    <cellStyle name="常规 9 3 2" xfId="594"/>
    <cellStyle name="常规 9_2014年经营预算模板_地产" xfId="595"/>
    <cellStyle name="常规_附件01-2：规划指标表（参考模板）" xfId="16"/>
    <cellStyle name="超级链接_VGD MR 0302 (BU)" xfId="596"/>
    <cellStyle name="超链接" xfId="14" builtinId="8"/>
    <cellStyle name="归盒啦_95" xfId="597"/>
    <cellStyle name="好 2" xfId="598"/>
    <cellStyle name="好_1、小镇初设版（201104.18）" xfId="599"/>
    <cellStyle name="好_2012年4月成本月报（小镇、酒店、别院、小学）" xfId="600"/>
    <cellStyle name="好_5、小镇初设版目标成本初稿（20110905）" xfId="601"/>
    <cellStyle name="好_9、目标成本（2010.1.6改)" xfId="602"/>
    <cellStyle name="好_B区初设版目标成本测算表(定稿会签版)090424" xfId="603"/>
    <cellStyle name="好_G3地块规划指标（施工图版-20120703罗乐发）" xfId="604"/>
    <cellStyle name="好_G3地块每栋楼分析表" xfId="605"/>
    <cellStyle name="好_成本测算模板（C区南地块新-20110913）" xfId="606"/>
    <cellStyle name="好_成本测算模板（新-20110803）" xfId="607"/>
    <cellStyle name="好_目标成本（2010.1.6改)" xfId="608"/>
    <cellStyle name="好_目标成本（G3地块项目-初设阶段）-启动会版" xfId="609"/>
    <cellStyle name="好_目标成本（G3地块项目-施工图阶段）-201211" xfId="610"/>
    <cellStyle name="好_目标成本（温泉别院-施工图阶段20111228）" xfId="611"/>
    <cellStyle name="好_目标成本（温泉别院-施工图阶段-成本压缩）-20120531" xfId="612"/>
    <cellStyle name="好_目标成本（小学-施工图阶段-201206）" xfId="613"/>
    <cellStyle name="好_目标成本+资金（C区南-施工图阶段-20110919）" xfId="614"/>
    <cellStyle name="好_目标成本+资金（C区南-施工图阶段-20111008-含1.9亿土地费）" xfId="615"/>
    <cellStyle name="好_目标成本+资金（H区-初设阶段-20110922）" xfId="616"/>
    <cellStyle name="好_目标成本+资金（H区-初设阶段-20111008-含1.9亿土地费）" xfId="617"/>
    <cellStyle name="好_目标成本+资金（温泉别院20111014）--分楼栋" xfId="618"/>
    <cellStyle name="好_目标成本+资金（温泉小镇20110905）" xfId="619"/>
    <cellStyle name="好_目标成本+资金（温泉小镇20110924）" xfId="620"/>
    <cellStyle name="好_目标成本+资金（温泉小镇20111011-精装+含1.9亿土地费）" xfId="621"/>
    <cellStyle name="好_南区A方案版目标成本(定稿)20110315" xfId="622"/>
    <cellStyle name="好_融汇温泉城项目地价分摊表（含1.9亿-20110929）" xfId="623"/>
    <cellStyle name="好_融汇温泉城项目跨期成本分摊-20111010版(1)" xfId="624"/>
    <cellStyle name="好_温泉酒店动态成本更新(20120104)" xfId="625"/>
    <cellStyle name="桁区切り [0.00]_☆TMK目黒Variance Report" xfId="626"/>
    <cellStyle name="桁区切り_☆TMK目黒Variance Report" xfId="627"/>
    <cellStyle name="콤마 [0]_BOILER-CO1" xfId="628"/>
    <cellStyle name="콤마_BOILER-CO1" xfId="629"/>
    <cellStyle name="통화 [0]_BOILER-CO1" xfId="630"/>
    <cellStyle name="통화_BOILER-CO1" xfId="631"/>
    <cellStyle name="표준_0N-HANDLING " xfId="632"/>
    <cellStyle name="霓付 [0]_95" xfId="633"/>
    <cellStyle name="霓付_95" xfId="634"/>
    <cellStyle name="烹拳 [0]_95" xfId="635"/>
    <cellStyle name="烹拳_95" xfId="636"/>
    <cellStyle name="千分位[0]_ 白土" xfId="637"/>
    <cellStyle name="千分位_ 白土" xfId="638"/>
    <cellStyle name="千位[0]_gdhz" xfId="639"/>
    <cellStyle name="千位_gdhz" xfId="640"/>
    <cellStyle name="千位分隔 2" xfId="641"/>
    <cellStyle name="千位分隔 2 2" xfId="642"/>
    <cellStyle name="千位分隔 2 2 10" xfId="643"/>
    <cellStyle name="千位分隔 2 2 10 2" xfId="644"/>
    <cellStyle name="千位分隔 2 2 10 2 2" xfId="645"/>
    <cellStyle name="千位分隔 2 2 10 2 2 2" xfId="646"/>
    <cellStyle name="千位分隔 2 2 10 3" xfId="647"/>
    <cellStyle name="千位分隔 2 2 10 3 2" xfId="648"/>
    <cellStyle name="千位分隔 2 2 2" xfId="649"/>
    <cellStyle name="千位分隔 2 2 2 2" xfId="650"/>
    <cellStyle name="千位分隔 2 2 2 2 2" xfId="651"/>
    <cellStyle name="千位分隔 2 2 3" xfId="652"/>
    <cellStyle name="千位分隔 2 2 3 2" xfId="653"/>
    <cellStyle name="千位分隔 2 3" xfId="654"/>
    <cellStyle name="千位分隔 2 3 2" xfId="655"/>
    <cellStyle name="千位分隔 2 3 2 2" xfId="656"/>
    <cellStyle name="千位分隔 2 4" xfId="657"/>
    <cellStyle name="千位分隔 2 4 2" xfId="658"/>
    <cellStyle name="千位分隔 3" xfId="659"/>
    <cellStyle name="千位分隔 3 2" xfId="660"/>
    <cellStyle name="千位分隔 3 2 2" xfId="661"/>
    <cellStyle name="千位分隔 3 2 2 2" xfId="662"/>
    <cellStyle name="千位分隔 3 3" xfId="663"/>
    <cellStyle name="千位分隔 3 3 2" xfId="664"/>
    <cellStyle name="千位分隔 4" xfId="665"/>
    <cellStyle name="千位分隔 4 2" xfId="666"/>
    <cellStyle name="千位分隔 4 2 2" xfId="667"/>
    <cellStyle name="千位分隔 4 2 2 2" xfId="668"/>
    <cellStyle name="千位分隔 4 3" xfId="669"/>
    <cellStyle name="千位分隔 4 3 2" xfId="670"/>
    <cellStyle name="千位分隔 5" xfId="671"/>
    <cellStyle name="千位分隔 5 2" xfId="672"/>
    <cellStyle name="千位分隔 6" xfId="673"/>
    <cellStyle name="千位分隔 7" xfId="674"/>
    <cellStyle name="千位分隔 7 2" xfId="675"/>
    <cellStyle name="千位分隔 7 2 2" xfId="676"/>
    <cellStyle name="千位分隔 7 2 2 2" xfId="677"/>
    <cellStyle name="千位分隔 7 3" xfId="678"/>
    <cellStyle name="千位分隔 7 3 2" xfId="679"/>
    <cellStyle name="千位分隔[0] 2" xfId="680"/>
    <cellStyle name="千位分隔[0] 2 2" xfId="681"/>
    <cellStyle name="千位分隔[0] 2 2 2" xfId="682"/>
    <cellStyle name="千位分隔[0] 2 2 2 2" xfId="683"/>
    <cellStyle name="千位分隔[0] 2 3" xfId="684"/>
    <cellStyle name="千位分隔[0] 2 3 2" xfId="685"/>
    <cellStyle name="千位分隔[0] 2 3 2 2" xfId="686"/>
    <cellStyle name="千位分隔[0] 2 4" xfId="687"/>
    <cellStyle name="千位分隔[0] 2 4 2" xfId="688"/>
    <cellStyle name="千位分隔[0] 3" xfId="689"/>
    <cellStyle name="钎霖_4岿角利" xfId="690"/>
    <cellStyle name="审计调整分录" xfId="691"/>
    <cellStyle name="适中 2" xfId="692"/>
    <cellStyle name="通貨 [0.00]_12目黒修繕" xfId="693"/>
    <cellStyle name="样式 1" xfId="694"/>
    <cellStyle name="样式 2" xfId="695"/>
    <cellStyle name="样式 3" xfId="696"/>
    <cellStyle name="样式 4" xfId="697"/>
    <cellStyle name="样式 5" xfId="698"/>
    <cellStyle name="一般_02-06forecastsemicongp" xfId="699"/>
    <cellStyle name="已访问的超链接" xfId="704" builtinId="9" hidden="1"/>
    <cellStyle name="已访问的超链接" xfId="705" builtinId="9" hidden="1"/>
    <cellStyle name="昗弨_Fem.Pro" xfId="700"/>
    <cellStyle name="禃宁垃㌠" xfId="701"/>
    <cellStyle name="寘嬫愗傝 [0.00]_guyan" xfId="702"/>
    <cellStyle name="寘嬫愗傝_guyan" xfId="703"/>
  </cellStyles>
  <dxfs count="25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20987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364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171450</xdr:colOff>
      <xdr:row>55</xdr:row>
      <xdr:rowOff>142875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4175"/>
          <a:ext cx="9772650" cy="6657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447675</xdr:colOff>
      <xdr:row>24</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63075" cy="421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30427;&#26223;&#25237;&#36164;&#20998;&#26512;&#27169;&#22411;08052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6149;&#26862;&#24444;&#23736;&#27979;&#31639;&#65288;&#32451;&#20064;&#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
      <sheetName val="使用指引"/>
      <sheetName val="投资评价指标"/>
      <sheetName val="敏感分析"/>
      <sheetName val="项目损益"/>
      <sheetName val="建筑面积及分期"/>
      <sheetName val="销售面积及分期"/>
      <sheetName val="开发计划"/>
      <sheetName val="成本测算"/>
      <sheetName val="建安付款规划"/>
      <sheetName val="付款计划"/>
      <sheetName val="销售及回款"/>
      <sheetName val="留存资产"/>
      <sheetName val="资金来源与运用表"/>
      <sheetName val="现金流量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s>
    <sheetDataSet>
      <sheetData sheetId="0" refreshError="1"/>
      <sheetData sheetId="1" refreshError="1"/>
      <sheetData sheetId="2" refreshError="1"/>
      <sheetData sheetId="3" refreshError="1"/>
      <sheetData sheetId="4" refreshError="1">
        <row r="4">
          <cell r="C4">
            <v>200430</v>
          </cell>
        </row>
        <row r="7">
          <cell r="C7">
            <v>782464.04999999993</v>
          </cell>
        </row>
        <row r="8">
          <cell r="C8">
            <v>180736.65</v>
          </cell>
        </row>
        <row r="9">
          <cell r="C9">
            <v>126136.43999999997</v>
          </cell>
        </row>
        <row r="10">
          <cell r="C10">
            <v>261458.93000000002</v>
          </cell>
        </row>
        <row r="11">
          <cell r="C11">
            <v>13493.57</v>
          </cell>
        </row>
        <row r="12">
          <cell r="C12">
            <v>11027.84</v>
          </cell>
        </row>
        <row r="13">
          <cell r="C13">
            <v>12908.94</v>
          </cell>
        </row>
        <row r="14">
          <cell r="C14">
            <v>8257</v>
          </cell>
        </row>
        <row r="15">
          <cell r="C15">
            <v>39947.86</v>
          </cell>
        </row>
        <row r="16">
          <cell r="C16">
            <v>16880.919999999998</v>
          </cell>
        </row>
        <row r="17">
          <cell r="C17">
            <v>101412.64</v>
          </cell>
        </row>
        <row r="21">
          <cell r="C21">
            <v>20500</v>
          </cell>
        </row>
        <row r="23">
          <cell r="C23">
            <v>2584.63</v>
          </cell>
        </row>
        <row r="24">
          <cell r="C24">
            <v>4463.55</v>
          </cell>
        </row>
        <row r="25">
          <cell r="C25">
            <v>3155.0800000000004</v>
          </cell>
        </row>
        <row r="32">
          <cell r="C32">
            <v>104535</v>
          </cell>
        </row>
        <row r="35">
          <cell r="C35">
            <v>3866</v>
          </cell>
        </row>
        <row r="40">
          <cell r="C40">
            <v>40409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javascript:top.main.DataEdit('50',20);" TargetMode="External"/><Relationship Id="rId1" Type="http://schemas.openxmlformats.org/officeDocument/2006/relationships/hyperlink" Target="javascript:top.main.DataEdit('50',20);" TargetMode="External"/><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hyperlink" Target="http://cq.fzg360.com/archive.php?aid=121734" TargetMode="External"/><Relationship Id="rId2" Type="http://schemas.openxmlformats.org/officeDocument/2006/relationships/hyperlink" Target="http://cq.fzg360.com/archive.php?aid=132573" TargetMode="External"/><Relationship Id="rId1" Type="http://schemas.openxmlformats.org/officeDocument/2006/relationships/hyperlink" Target="http://www.sohu.com/a/218722454_720917" TargetMode="External"/><Relationship Id="rId4" Type="http://schemas.openxmlformats.org/officeDocument/2006/relationships/hyperlink" Target="http://www.langold.com.cn/index.php?m=content&amp;c=index&amp;a=show&amp;catid=8&amp;id=398"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hyperlink" Target="http://cq.house.qq.com/a/20170919/018767.htm?qqcom_pgv_from=aio" TargetMode="External"/><Relationship Id="rId1" Type="http://schemas.openxmlformats.org/officeDocument/2006/relationships/hyperlink" Target="http://www.sohu.com/a/206997095_720917"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76" customWidth="1"/>
    <col min="2" max="2" width="81" style="1593" customWidth="1"/>
    <col min="3" max="16384" width="8.875" style="1591"/>
  </cols>
  <sheetData>
    <row r="1" spans="1:2" s="1579" customFormat="1" ht="16.5" thickBot="1">
      <c r="A1" s="1578" t="s">
        <v>1219</v>
      </c>
      <c r="B1" s="1577" t="s">
        <v>1298</v>
      </c>
    </row>
    <row r="2" spans="1:2" s="1582" customFormat="1" ht="15" thickTop="1">
      <c r="A2" s="1580" t="s">
        <v>1220</v>
      </c>
      <c r="B2" s="1581" t="str">
        <f>'预评函-封皮'!B37:I37</f>
        <v>重庆市江北区观音桥组团I分区I29-3-/02地块“隆鑫中心”项目出让国有建设用地使用权及在建建筑物房地产抵押价值预评估</v>
      </c>
    </row>
    <row r="3" spans="1:2" s="1585" customFormat="1">
      <c r="A3" s="1583" t="s">
        <v>1221</v>
      </c>
      <c r="B3" s="1584" t="str">
        <f>'预评函-封皮'!B40</f>
        <v>中国东方资产管理股份有限公司</v>
      </c>
    </row>
    <row r="4" spans="1:2" s="1585" customFormat="1">
      <c r="A4" s="1583" t="s">
        <v>1222</v>
      </c>
      <c r="B4" s="1584" t="str">
        <f ca="1">'预评函-封皮'!B46</f>
        <v>王鹏（注册号：1120050019)、郑燚（注册号：1120070131)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受贵公司委托，我公司对重庆市江北区观音桥组团I分区I29-3-/02地块“隆鑫中心”项目出让国有建设用地使用权及在建建筑物房地产抵押价值进行了预评估。</v>
      </c>
    </row>
    <row r="7" spans="1:2" s="1585" customFormat="1">
      <c r="A7" s="1583" t="s">
        <v>1264</v>
      </c>
      <c r="B7" s="1584" t="str">
        <f>'预评函-1'!A7</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2" spans="1:2" s="1585" customFormat="1">
      <c r="A12" s="1583" t="s">
        <v>1226</v>
      </c>
      <c r="B12" s="1584" t="str">
        <f>'预评函-1'!A15</f>
        <v>2018年8月20日</v>
      </c>
    </row>
    <row r="13" spans="1:2" s="1585" customFormat="1">
      <c r="A13" s="1583" t="s">
        <v>1227</v>
      </c>
      <c r="B13" s="1584"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405914</v>
      </c>
    </row>
    <row r="21" spans="1:2" s="1585" customFormat="1">
      <c r="A21" s="1583" t="s">
        <v>1235</v>
      </c>
      <c r="B21" s="1584">
        <f ca="1">'预评函-2'!D7</f>
        <v>10828</v>
      </c>
    </row>
    <row r="22" spans="1:2" s="1585" customFormat="1">
      <c r="A22" s="1583" t="s">
        <v>1236</v>
      </c>
      <c r="B22" s="1584" t="str">
        <f ca="1">'预评函-2'!D6</f>
        <v>肆拾亿伍仟玖佰壹拾肆万元整</v>
      </c>
    </row>
    <row r="23" spans="1:2" s="1585" customFormat="1">
      <c r="A23" s="1583" t="s">
        <v>1287</v>
      </c>
      <c r="B23" s="1584" t="str">
        <f>'预评函-2'!B8</f>
        <v>2.估价师知悉的除抵押担保权以外的法定优先受偿款</v>
      </c>
    </row>
    <row r="24" spans="1:2" s="1585" customFormat="1">
      <c r="A24" s="1583" t="s">
        <v>1293</v>
      </c>
      <c r="B24" s="1584">
        <f>'预评函-2'!D8</f>
        <v>5816</v>
      </c>
    </row>
    <row r="25" spans="1:2" s="1585" customFormat="1">
      <c r="A25" s="1583" t="s">
        <v>1237</v>
      </c>
      <c r="B25" s="1584" t="str">
        <f>'预评函-2'!D9</f>
        <v>伍仟捌佰壹拾陆万元整</v>
      </c>
    </row>
    <row r="26" spans="1:2" s="1585" customFormat="1">
      <c r="A26" s="1583" t="s">
        <v>1238</v>
      </c>
      <c r="B26" s="1584">
        <f>'预评函-2'!D10</f>
        <v>0</v>
      </c>
    </row>
    <row r="27" spans="1:2" s="1585" customFormat="1">
      <c r="A27" s="1583" t="s">
        <v>1239</v>
      </c>
      <c r="B27" s="1584">
        <f>'预评函-2'!D11</f>
        <v>896</v>
      </c>
    </row>
    <row r="28" spans="1:2" s="1585" customFormat="1">
      <c r="A28" s="1583" t="s">
        <v>1240</v>
      </c>
      <c r="B28" s="1584">
        <f>'预评函-2'!D12</f>
        <v>4920</v>
      </c>
    </row>
    <row r="29" spans="1:2" s="1585" customFormat="1">
      <c r="A29" s="1583" t="s">
        <v>1291</v>
      </c>
      <c r="B29" s="1584" t="str">
        <f>'预评函-2'!B13</f>
        <v>——</v>
      </c>
    </row>
    <row r="30" spans="1:2" s="1585" customFormat="1">
      <c r="A30" s="1583" t="s">
        <v>1292</v>
      </c>
      <c r="B30" s="1584" t="str">
        <f>'预评函-2'!D13</f>
        <v>——</v>
      </c>
    </row>
    <row r="31" spans="1:2" s="1585" customFormat="1">
      <c r="A31" s="1583" t="s">
        <v>1274</v>
      </c>
      <c r="B31" s="1584" t="e">
        <f>'预评函-2'!D15</f>
        <v>#VALUE!</v>
      </c>
    </row>
    <row r="32" spans="1:2" s="1585" customFormat="1">
      <c r="A32" s="1583" t="s">
        <v>1241</v>
      </c>
      <c r="B32" s="1584" t="e">
        <f>'预评函-2'!D14</f>
        <v>#VALUE!</v>
      </c>
    </row>
    <row r="33" spans="1:2" s="1585" customFormat="1">
      <c r="A33" s="1583" t="s">
        <v>1276</v>
      </c>
      <c r="B33" s="1584" t="str">
        <f>'预评函-2'!B16</f>
        <v>3.抵押担保权已注销时的房地产抵押价值</v>
      </c>
    </row>
    <row r="34" spans="1:2" s="1585" customFormat="1">
      <c r="A34" s="1583" t="s">
        <v>1294</v>
      </c>
      <c r="B34" s="1584">
        <f ca="1">'预评函-2'!D16</f>
        <v>400098</v>
      </c>
    </row>
    <row r="35" spans="1:2" s="1585" customFormat="1">
      <c r="A35" s="1583" t="s">
        <v>1275</v>
      </c>
      <c r="B35" s="1584">
        <f ca="1">'预评函-2'!D18</f>
        <v>10673</v>
      </c>
    </row>
    <row r="36" spans="1:2" s="1585" customFormat="1">
      <c r="A36" s="1583" t="s">
        <v>1242</v>
      </c>
      <c r="B36" s="1584" t="str">
        <f ca="1">'预评函-2'!D17</f>
        <v>肆拾亿零玖拾捌万元整</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重庆市江北区观音桥组团I分区I29-3-/02地块“隆鑫中心”项目出让国有建设用地使用权及在建建筑物房地产</v>
      </c>
    </row>
    <row r="42" spans="1:2" s="1585" customFormat="1">
      <c r="A42" s="1583" t="s">
        <v>1288</v>
      </c>
      <c r="B42" s="1584" t="str">
        <f>'预评函-3'!B2</f>
        <v>建筑面积</v>
      </c>
    </row>
    <row r="43" spans="1:2" s="1585" customFormat="1">
      <c r="A43" s="1583" t="s">
        <v>1289</v>
      </c>
      <c r="B43" s="1584">
        <f>'预评函-3'!B4</f>
        <v>374875.08999999997</v>
      </c>
    </row>
    <row r="44" spans="1:2" s="1585" customFormat="1">
      <c r="A44" s="1583" t="s">
        <v>1273</v>
      </c>
      <c r="B44" s="1584" t="str">
        <f>'预评函-3'!C2</f>
        <v>(分摊)土地面积</v>
      </c>
    </row>
    <row r="45" spans="1:2" s="1585" customFormat="1">
      <c r="A45" s="1583" t="s">
        <v>1245</v>
      </c>
      <c r="B45" s="1584">
        <f>'预评函-3'!C4</f>
        <v>25136</v>
      </c>
    </row>
    <row r="46" spans="1:2" s="1585" customFormat="1">
      <c r="A46" s="1583" t="s">
        <v>1271</v>
      </c>
      <c r="B46" s="1584" t="str">
        <f>'预评函-3'!D2</f>
        <v>出让国有建设用地使用权价值</v>
      </c>
    </row>
    <row r="47" spans="1:2" s="1585" customFormat="1">
      <c r="A47" s="1583" t="s">
        <v>1246</v>
      </c>
      <c r="B47" s="1584">
        <f ca="1">'预评函-3'!D4</f>
        <v>284546</v>
      </c>
    </row>
    <row r="48" spans="1:2" s="1585" customFormat="1">
      <c r="A48" s="1583" t="s">
        <v>1247</v>
      </c>
      <c r="B48" s="1584">
        <f ca="1">'预评函-3'!E4</f>
        <v>7590</v>
      </c>
    </row>
    <row r="49" spans="1:2" s="1585" customFormat="1">
      <c r="A49" s="1583" t="s">
        <v>1248</v>
      </c>
      <c r="B49" s="1584" t="str">
        <f ca="1">'预评函-3'!D5</f>
        <v>贰拾捌亿肆仟伍佰肆拾陆万元整</v>
      </c>
    </row>
    <row r="50" spans="1:2" s="1585" customFormat="1">
      <c r="A50" s="1583" t="s">
        <v>1272</v>
      </c>
      <c r="B50" s="1584" t="str">
        <f>'预评函-3'!F2</f>
        <v>在建建筑物价值</v>
      </c>
    </row>
    <row r="51" spans="1:2" s="1585" customFormat="1">
      <c r="A51" s="1583" t="s">
        <v>1249</v>
      </c>
      <c r="B51" s="1584">
        <f ca="1">'预评函-3'!F4</f>
        <v>121368</v>
      </c>
    </row>
    <row r="52" spans="1:2" s="1585" customFormat="1">
      <c r="A52" s="1583" t="s">
        <v>1250</v>
      </c>
      <c r="B52" s="1584">
        <f ca="1">'预评函-3'!G4</f>
        <v>3238</v>
      </c>
    </row>
    <row r="53" spans="1:2" s="1585" customFormat="1">
      <c r="A53" s="1583" t="s">
        <v>1278</v>
      </c>
      <c r="B53" s="1584" t="str">
        <f ca="1">'预评函-3'!F5</f>
        <v>壹拾贰亿壹仟叁佰陆拾捌万元整</v>
      </c>
    </row>
    <row r="54" spans="1:2" s="1585" customFormat="1">
      <c r="A54" s="1583" t="s">
        <v>1296</v>
      </c>
      <c r="B54" s="1584" t="str">
        <f>'预评函-3'!A8</f>
        <v/>
      </c>
    </row>
    <row r="55" spans="1:2" s="1585" customFormat="1">
      <c r="A55" s="1583" t="s">
        <v>1279</v>
      </c>
      <c r="B55" s="1584" t="str">
        <f>'预评函-3'!A10</f>
        <v>抵押担保权已注销时的房地产抵押价值</v>
      </c>
    </row>
    <row r="56" spans="1:2" s="1585" customFormat="1">
      <c r="A56" s="1583" t="s">
        <v>1280</v>
      </c>
      <c r="B56" s="1584" t="str">
        <f>'预评函-3'!A12</f>
        <v/>
      </c>
    </row>
    <row r="57" spans="1:2" s="1579" customFormat="1" ht="15" thickBot="1">
      <c r="A57" s="1586" t="s">
        <v>1297</v>
      </c>
      <c r="B57" s="1587" t="str">
        <f>'预评函-3'!A6</f>
        <v>估价师知悉的除抵押担保权以外的法定优先受偿款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故，本次评估估价师知悉的除抵押担保权以外的法定优先受偿款为人民币5816万元整。</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王鹏</v>
      </c>
    </row>
    <row r="71" spans="1:2">
      <c r="A71" s="1583" t="s">
        <v>1261</v>
      </c>
      <c r="B71" s="1584">
        <f ca="1">'预评函-4'!B4</f>
        <v>1120050019</v>
      </c>
    </row>
    <row r="72" spans="1:2">
      <c r="A72" s="1583" t="s">
        <v>1262</v>
      </c>
      <c r="B72" s="1592" t="str">
        <f>'预评函-4'!A5</f>
        <v>郑燚</v>
      </c>
    </row>
    <row r="73" spans="1:2" s="1579" customFormat="1" ht="15" thickBot="1">
      <c r="A73" s="1586" t="s">
        <v>1263</v>
      </c>
      <c r="B73" s="1587">
        <f ca="1">'预评函-4'!B5</f>
        <v>1120070131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Y2" sqref="Y2"/>
    </sheetView>
  </sheetViews>
  <sheetFormatPr defaultColWidth="8.875" defaultRowHeight="13.5"/>
  <cols>
    <col min="1" max="1" width="13.5" style="2016" customWidth="1"/>
    <col min="2" max="2" width="23.125" style="1967" customWidth="1"/>
    <col min="3" max="3" width="13" style="2011" hidden="1" customWidth="1"/>
    <col min="4" max="4" width="5.62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8.875" style="1967"/>
  </cols>
  <sheetData>
    <row r="1" spans="1:23" s="2005" customFormat="1" ht="27">
      <c r="A1" s="1999" t="s">
        <v>71</v>
      </c>
      <c r="B1" s="2000" t="s">
        <v>1690</v>
      </c>
      <c r="C1" s="2001" t="s">
        <v>759</v>
      </c>
      <c r="D1" s="2002" t="s">
        <v>1691</v>
      </c>
      <c r="E1" s="2002" t="s">
        <v>1692</v>
      </c>
      <c r="F1" s="2002" t="s">
        <v>1693</v>
      </c>
      <c r="G1" s="2002" t="s">
        <v>1694</v>
      </c>
      <c r="H1" s="2002" t="s">
        <v>1695</v>
      </c>
      <c r="I1" s="2002" t="s">
        <v>1696</v>
      </c>
      <c r="J1" s="2002" t="s">
        <v>1697</v>
      </c>
      <c r="K1" s="2002" t="s">
        <v>1698</v>
      </c>
      <c r="L1" s="2002" t="s">
        <v>1699</v>
      </c>
      <c r="M1" s="2002" t="s">
        <v>1700</v>
      </c>
      <c r="N1" s="2002" t="s">
        <v>1701</v>
      </c>
      <c r="O1" s="2002" t="s">
        <v>1702</v>
      </c>
      <c r="P1" s="2003" t="s">
        <v>753</v>
      </c>
      <c r="Q1" s="2003" t="s">
        <v>1144</v>
      </c>
      <c r="R1" s="2002" t="s">
        <v>1138</v>
      </c>
      <c r="S1" s="2002" t="s">
        <v>1703</v>
      </c>
      <c r="T1" s="2004" t="s">
        <v>1704</v>
      </c>
      <c r="U1" s="2002" t="s">
        <v>1705</v>
      </c>
      <c r="V1" s="2002" t="s">
        <v>1706</v>
      </c>
      <c r="W1" s="2002" t="s">
        <v>755</v>
      </c>
    </row>
    <row r="2" spans="1:23">
      <c r="A2" s="2006" t="s">
        <v>22</v>
      </c>
      <c r="B2" s="2006" t="s">
        <v>1707</v>
      </c>
      <c r="C2" s="2007" t="s">
        <v>760</v>
      </c>
      <c r="D2" s="2008" t="s">
        <v>1708</v>
      </c>
      <c r="E2" s="2008" t="s">
        <v>1709</v>
      </c>
      <c r="F2" s="2008" t="s">
        <v>1710</v>
      </c>
      <c r="G2" s="2008">
        <v>40</v>
      </c>
      <c r="H2" s="2008" t="s">
        <v>1710</v>
      </c>
      <c r="I2" s="2008" t="s">
        <v>1711</v>
      </c>
      <c r="J2" s="2008" t="s">
        <v>1712</v>
      </c>
      <c r="K2" s="2008" t="s">
        <v>1713</v>
      </c>
      <c r="L2" s="2008" t="s">
        <v>1713</v>
      </c>
      <c r="M2" s="2008" t="s">
        <v>1713</v>
      </c>
      <c r="N2" s="2008" t="s">
        <v>1713</v>
      </c>
      <c r="O2" s="2008" t="s">
        <v>1713</v>
      </c>
      <c r="P2" s="2008" t="s">
        <v>1713</v>
      </c>
      <c r="Q2" s="2008" t="s">
        <v>1713</v>
      </c>
      <c r="R2" s="2008" t="s">
        <v>1140</v>
      </c>
      <c r="S2" s="2008" t="s">
        <v>1713</v>
      </c>
      <c r="T2" s="2008" t="s">
        <v>1714</v>
      </c>
      <c r="U2" s="2008" t="s">
        <v>1713</v>
      </c>
      <c r="V2" s="2008" t="s">
        <v>1715</v>
      </c>
      <c r="W2" s="2008" t="s">
        <v>1713</v>
      </c>
    </row>
    <row r="3" spans="1:23">
      <c r="A3" s="2006" t="s">
        <v>1716</v>
      </c>
      <c r="B3" s="2009" t="s">
        <v>1145</v>
      </c>
      <c r="C3" s="2010" t="s">
        <v>761</v>
      </c>
      <c r="D3" s="2008" t="s">
        <v>1717</v>
      </c>
      <c r="E3" s="2008" t="s">
        <v>16</v>
      </c>
      <c r="F3" s="2008" t="s">
        <v>1718</v>
      </c>
      <c r="G3" s="2008">
        <v>50</v>
      </c>
      <c r="H3" s="2008" t="s">
        <v>1718</v>
      </c>
      <c r="I3" s="2008" t="s">
        <v>1719</v>
      </c>
      <c r="J3" s="2008" t="s">
        <v>1720</v>
      </c>
      <c r="K3" s="2008" t="s">
        <v>1721</v>
      </c>
      <c r="L3" s="2008" t="s">
        <v>1721</v>
      </c>
      <c r="M3" s="2008" t="s">
        <v>1721</v>
      </c>
      <c r="N3" s="2008" t="s">
        <v>1721</v>
      </c>
      <c r="O3" s="2008" t="s">
        <v>1721</v>
      </c>
      <c r="P3" s="2008" t="s">
        <v>1721</v>
      </c>
      <c r="Q3" s="2008" t="s">
        <v>1721</v>
      </c>
      <c r="R3" s="2008" t="s">
        <v>1139</v>
      </c>
      <c r="S3" s="2008" t="s">
        <v>1721</v>
      </c>
      <c r="T3" s="2008" t="s">
        <v>1722</v>
      </c>
      <c r="U3" s="2008" t="s">
        <v>1721</v>
      </c>
      <c r="V3" s="2008" t="s">
        <v>1723</v>
      </c>
      <c r="W3" s="2008" t="s">
        <v>1721</v>
      </c>
    </row>
    <row r="4" spans="1:23">
      <c r="A4" s="2006" t="s">
        <v>1724</v>
      </c>
      <c r="B4" s="2006" t="s">
        <v>1725</v>
      </c>
      <c r="C4" s="2007" t="s">
        <v>762</v>
      </c>
      <c r="D4" s="2008" t="s">
        <v>868</v>
      </c>
      <c r="E4" s="2008" t="s">
        <v>1726</v>
      </c>
      <c r="F4" s="2008" t="s">
        <v>1727</v>
      </c>
      <c r="G4" s="2008">
        <v>70</v>
      </c>
      <c r="H4" s="2008" t="s">
        <v>1727</v>
      </c>
      <c r="I4" s="2008" t="s">
        <v>1728</v>
      </c>
      <c r="K4" s="2008" t="s">
        <v>1729</v>
      </c>
      <c r="L4" s="2008" t="s">
        <v>1729</v>
      </c>
      <c r="M4" s="2008" t="s">
        <v>1729</v>
      </c>
      <c r="N4" s="2008" t="s">
        <v>1729</v>
      </c>
      <c r="O4" s="2008" t="s">
        <v>1729</v>
      </c>
      <c r="P4" s="2008" t="s">
        <v>1729</v>
      </c>
      <c r="Q4" s="2008" t="s">
        <v>1729</v>
      </c>
      <c r="R4" s="2008" t="s">
        <v>1141</v>
      </c>
      <c r="S4" s="2008" t="s">
        <v>1729</v>
      </c>
      <c r="T4" s="2008" t="s">
        <v>1730</v>
      </c>
      <c r="U4" s="2008" t="s">
        <v>1729</v>
      </c>
      <c r="W4" s="2008" t="s">
        <v>1729</v>
      </c>
    </row>
    <row r="5" spans="1:23">
      <c r="A5" s="2006" t="s">
        <v>1731</v>
      </c>
      <c r="B5" s="2006" t="s">
        <v>1732</v>
      </c>
      <c r="C5" s="2007" t="s">
        <v>763</v>
      </c>
      <c r="F5" s="2008" t="s">
        <v>1733</v>
      </c>
      <c r="H5" s="2008" t="s">
        <v>1734</v>
      </c>
      <c r="I5" s="2008" t="s">
        <v>1735</v>
      </c>
      <c r="K5" s="2008" t="s">
        <v>1736</v>
      </c>
      <c r="L5" s="2008" t="s">
        <v>1736</v>
      </c>
      <c r="M5" s="2008" t="s">
        <v>1736</v>
      </c>
      <c r="N5" s="2008" t="s">
        <v>1736</v>
      </c>
      <c r="O5" s="2008" t="s">
        <v>1736</v>
      </c>
      <c r="P5" s="2008" t="s">
        <v>1736</v>
      </c>
      <c r="Q5" s="2008" t="s">
        <v>1736</v>
      </c>
      <c r="R5" s="2008" t="s">
        <v>1142</v>
      </c>
      <c r="S5" s="2008" t="s">
        <v>1736</v>
      </c>
      <c r="T5" s="2008" t="s">
        <v>1737</v>
      </c>
      <c r="U5" s="2008" t="s">
        <v>1736</v>
      </c>
      <c r="W5" s="2008" t="s">
        <v>1736</v>
      </c>
    </row>
    <row r="6" spans="1:23">
      <c r="A6" s="2006" t="s">
        <v>1738</v>
      </c>
      <c r="B6" s="2009" t="s">
        <v>1146</v>
      </c>
      <c r="C6" s="2012" t="s">
        <v>30</v>
      </c>
      <c r="F6" s="2008" t="s">
        <v>1734</v>
      </c>
      <c r="H6" s="2008" t="s">
        <v>1739</v>
      </c>
      <c r="I6" s="2008" t="s">
        <v>1740</v>
      </c>
      <c r="K6" s="2008" t="s">
        <v>1741</v>
      </c>
      <c r="L6" s="2008" t="s">
        <v>1741</v>
      </c>
      <c r="M6" s="2008" t="s">
        <v>1741</v>
      </c>
      <c r="N6" s="2008" t="s">
        <v>1741</v>
      </c>
      <c r="O6" s="2008" t="s">
        <v>1741</v>
      </c>
      <c r="P6" s="2008" t="s">
        <v>1741</v>
      </c>
      <c r="Q6" s="2008" t="s">
        <v>1741</v>
      </c>
      <c r="R6" s="2008" t="s">
        <v>1143</v>
      </c>
      <c r="S6" s="2008" t="s">
        <v>1741</v>
      </c>
      <c r="T6" s="2008"/>
      <c r="U6" s="2008" t="s">
        <v>1741</v>
      </c>
      <c r="W6" s="2008" t="s">
        <v>1741</v>
      </c>
    </row>
    <row r="7" spans="1:23">
      <c r="A7" s="2006" t="s">
        <v>1742</v>
      </c>
      <c r="B7" s="2009" t="s">
        <v>1147</v>
      </c>
      <c r="C7" s="2007" t="s">
        <v>31</v>
      </c>
      <c r="F7" s="2008" t="s">
        <v>1743</v>
      </c>
      <c r="H7" s="2008" t="s">
        <v>1744</v>
      </c>
      <c r="I7" s="2008" t="s">
        <v>1745</v>
      </c>
    </row>
    <row r="8" spans="1:23">
      <c r="A8" s="2006" t="s">
        <v>1746</v>
      </c>
      <c r="B8" s="2006" t="s">
        <v>1747</v>
      </c>
      <c r="C8" s="2007" t="s">
        <v>764</v>
      </c>
      <c r="F8" s="2008" t="s">
        <v>1748</v>
      </c>
      <c r="H8" s="2008"/>
      <c r="I8" s="2008" t="s">
        <v>1749</v>
      </c>
    </row>
    <row r="9" spans="1:23">
      <c r="A9" s="2006" t="s">
        <v>1750</v>
      </c>
      <c r="B9" s="2006" t="s">
        <v>1751</v>
      </c>
      <c r="C9" s="2007" t="s">
        <v>765</v>
      </c>
      <c r="F9" s="2008" t="s">
        <v>1752</v>
      </c>
      <c r="H9" s="2008"/>
    </row>
    <row r="10" spans="1:23">
      <c r="A10" s="2006" t="s">
        <v>1753</v>
      </c>
      <c r="B10" s="2006" t="s">
        <v>1754</v>
      </c>
      <c r="C10" s="2007" t="s">
        <v>766</v>
      </c>
      <c r="F10" s="2008" t="s">
        <v>16</v>
      </c>
    </row>
    <row r="11" spans="1:23">
      <c r="A11" s="2006" t="s">
        <v>1755</v>
      </c>
      <c r="B11" s="2006" t="s">
        <v>1756</v>
      </c>
      <c r="C11" s="2007" t="s">
        <v>767</v>
      </c>
    </row>
    <row r="12" spans="1:23">
      <c r="A12" s="2006" t="s">
        <v>1757</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757</v>
      </c>
      <c r="C17" s="2007"/>
    </row>
    <row r="18" spans="1:3">
      <c r="A18" s="2006" t="s">
        <v>1767</v>
      </c>
      <c r="B18" s="2006" t="s">
        <v>3083</v>
      </c>
      <c r="C18" s="2007"/>
    </row>
    <row r="19" spans="1:3">
      <c r="A19" s="2006" t="s">
        <v>1768</v>
      </c>
      <c r="B19" s="2006" t="s">
        <v>3084</v>
      </c>
      <c r="C19" s="2007"/>
    </row>
    <row r="20" spans="1:3">
      <c r="A20" s="2006" t="s">
        <v>1769</v>
      </c>
      <c r="B20" s="2006" t="s">
        <v>3085</v>
      </c>
      <c r="C20" s="2007"/>
    </row>
    <row r="21" spans="1:3">
      <c r="A21" s="2006" t="s">
        <v>1770</v>
      </c>
      <c r="B21" s="2006" t="s">
        <v>4274</v>
      </c>
      <c r="C21" s="2007"/>
    </row>
    <row r="22" spans="1:3">
      <c r="A22" s="2006" t="s">
        <v>1771</v>
      </c>
      <c r="B22" s="2006" t="s">
        <v>757</v>
      </c>
      <c r="C22" s="2007"/>
    </row>
    <row r="23" spans="1:3">
      <c r="A23" s="2006" t="s">
        <v>1772</v>
      </c>
      <c r="B23" s="2006" t="s">
        <v>757</v>
      </c>
      <c r="C23" s="2007"/>
    </row>
    <row r="24" spans="1:3">
      <c r="A24" s="2006" t="s">
        <v>1773</v>
      </c>
      <c r="B24" s="2006" t="s">
        <v>757</v>
      </c>
      <c r="C24" s="2007"/>
    </row>
    <row r="25" spans="1:3">
      <c r="A25" s="2006" t="s">
        <v>1774</v>
      </c>
      <c r="B25" s="2006" t="s">
        <v>757</v>
      </c>
      <c r="C25" s="2007"/>
    </row>
    <row r="26" spans="1:3">
      <c r="A26" s="2006" t="s">
        <v>1775</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为估价委托人在向中国东方资产管理股份有限公司办理贷款手续过程中，确定房地产抵押贷款额度提供参考依据而评估房地产抵押价值。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201"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2014" t="s">
        <v>864</v>
      </c>
      <c r="C54" s="2011" t="s">
        <v>1281</v>
      </c>
    </row>
    <row r="55" spans="1:4">
      <c r="A55" s="3201"/>
      <c r="B55" s="2014" t="s">
        <v>865</v>
      </c>
      <c r="C55" s="2011" t="s">
        <v>1282</v>
      </c>
    </row>
    <row r="56" spans="1:4">
      <c r="A56" s="3201"/>
      <c r="B56" s="2014" t="s">
        <v>866</v>
      </c>
      <c r="C56" s="2011" t="s">
        <v>1286</v>
      </c>
    </row>
    <row r="57" spans="1:4">
      <c r="A57" s="3201"/>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5" sqref="F5"/>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625" style="2024" customWidth="1"/>
    <col min="8" max="8" width="10" style="2024" customWidth="1"/>
    <col min="9" max="9" width="11.12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1776</v>
      </c>
      <c r="B1" s="3202" t="str">
        <f>IF(B10="北京市","北京市",C10)&amp;F10&amp;IF(结果表!G1="在建","出让国有建设用地使用权及在建建筑物",IF(结果表!G1="土地","出让国有建设用地使用权",))&amp;B9&amp;"预评估"</f>
        <v>重庆市江北区观音桥组团I分区I29-3-/02地块“隆鑫中心”项目出让国有建设用地使用权及在建建筑物房地产抵押价值预评估</v>
      </c>
      <c r="C1" s="3203"/>
      <c r="D1" s="3203"/>
      <c r="E1" s="3203"/>
      <c r="F1" s="3203"/>
      <c r="G1" s="3203"/>
      <c r="H1" s="3203"/>
      <c r="I1" s="3204"/>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重庆市江北区观音桥组团I分区I29-3-/02地块“隆鑫中心”项目出让国有建设用地使用权及在建建筑物房地产抵押价值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重庆市江北区观音桥组团I分区I29-3-/02地块“隆鑫中心”项目出让国有建设用地使用权及在建建筑物房地产</v>
      </c>
    </row>
    <row r="3" spans="1:19" ht="18" customHeight="1">
      <c r="A3" s="2027" t="s">
        <v>1778</v>
      </c>
      <c r="B3" s="2028"/>
      <c r="C3" s="2029" t="s">
        <v>1779</v>
      </c>
      <c r="D3" s="2028">
        <v>43332</v>
      </c>
      <c r="E3" s="2018"/>
      <c r="F3" s="2018"/>
      <c r="G3" s="2018"/>
      <c r="H3" s="2018"/>
      <c r="I3" s="2018"/>
      <c r="J3" s="2018"/>
      <c r="K3" s="2019"/>
      <c r="L3" s="2020"/>
      <c r="M3" s="2020"/>
      <c r="N3" s="2021"/>
      <c r="O3" s="2022"/>
      <c r="P3" s="2021"/>
      <c r="Q3" s="2021"/>
      <c r="R3" s="2021"/>
      <c r="S3" s="2023"/>
    </row>
    <row r="4" spans="1:19" ht="18" customHeight="1" thickBot="1">
      <c r="A4" s="2030" t="s">
        <v>1780</v>
      </c>
      <c r="B4" s="2031" t="s">
        <v>3034</v>
      </c>
      <c r="C4" s="1030">
        <f ca="1">SUMIF(注册房地产估价师,B4,估价师及机构信息!B3:B24)</f>
        <v>1120050019</v>
      </c>
      <c r="D4" s="2031" t="s">
        <v>3035</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王鹏（注册号：1120050019)、郑燚（注册号：1120070131)</v>
      </c>
      <c r="L4" s="2020"/>
      <c r="M4" s="2020"/>
      <c r="N4" s="2021"/>
      <c r="O4" s="2022"/>
      <c r="P4" s="2021"/>
      <c r="Q4" s="2021"/>
      <c r="R4" s="2021"/>
      <c r="S4" s="2023"/>
    </row>
    <row r="5" spans="1:19" ht="18" customHeight="1" thickTop="1">
      <c r="A5" s="2036" t="s">
        <v>1781</v>
      </c>
      <c r="B5" s="3009" t="str">
        <f>B6</f>
        <v>中国东方资产管理股份有限公司</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1782</v>
      </c>
      <c r="B6" s="3007" t="s">
        <v>4256</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39" t="s">
        <v>1783</v>
      </c>
      <c r="B7" s="2040" t="str">
        <f>C11</f>
        <v>重庆华诚投资有限公司</v>
      </c>
      <c r="C7" s="2041"/>
      <c r="D7" s="2042"/>
      <c r="E7" s="2026"/>
      <c r="F7" s="2034"/>
      <c r="G7" s="2034"/>
      <c r="H7" s="2034"/>
      <c r="I7" s="2034"/>
      <c r="J7" s="2034"/>
      <c r="K7" s="2044"/>
      <c r="L7" s="2020"/>
      <c r="M7" s="2020"/>
      <c r="N7" s="2021"/>
      <c r="O7" s="2022"/>
      <c r="P7" s="2021"/>
      <c r="Q7" s="2021"/>
      <c r="R7" s="2021"/>
    </row>
    <row r="8" spans="1:19" ht="18" customHeight="1">
      <c r="A8" s="2039" t="s">
        <v>1784</v>
      </c>
      <c r="B8" s="2045" t="s">
        <v>3040</v>
      </c>
      <c r="C8" s="2046"/>
      <c r="D8" s="3205" t="s">
        <v>1785</v>
      </c>
      <c r="E8" s="2047" t="s">
        <v>4272</v>
      </c>
      <c r="F8" s="2048"/>
      <c r="G8" s="2018"/>
      <c r="H8" s="2018"/>
      <c r="I8" s="2018"/>
      <c r="J8" s="2034"/>
      <c r="K8" s="2035"/>
      <c r="L8" s="2020"/>
      <c r="M8" s="2020"/>
      <c r="N8" s="2021"/>
      <c r="O8" s="2022"/>
      <c r="P8" s="2021"/>
      <c r="Q8" s="2021"/>
      <c r="R8" s="2021"/>
    </row>
    <row r="9" spans="1:19" ht="18" customHeight="1" thickBot="1">
      <c r="A9" s="2032" t="s">
        <v>1786</v>
      </c>
      <c r="B9" s="2049" t="s">
        <v>3039</v>
      </c>
      <c r="C9" s="2050"/>
      <c r="D9" s="3206"/>
      <c r="E9" s="2049"/>
      <c r="F9" s="2051"/>
      <c r="G9" s="2052"/>
      <c r="H9" s="2052"/>
      <c r="I9" s="2052"/>
      <c r="J9" s="2034"/>
      <c r="K9" s="2044"/>
      <c r="L9" s="2020"/>
      <c r="M9" s="2020"/>
      <c r="N9" s="2021"/>
      <c r="O9" s="2022"/>
      <c r="P9" s="2021"/>
      <c r="Q9" s="2021"/>
      <c r="R9" s="2021"/>
    </row>
    <row r="10" spans="1:19" ht="18" customHeight="1" thickTop="1">
      <c r="A10" s="2053" t="s">
        <v>1787</v>
      </c>
      <c r="B10" s="2054" t="s">
        <v>3038</v>
      </c>
      <c r="C10" s="3008" t="s">
        <v>4259</v>
      </c>
      <c r="D10" s="2038"/>
      <c r="E10" s="2055" t="s">
        <v>1788</v>
      </c>
      <c r="F10" s="2056" t="s">
        <v>4258</v>
      </c>
      <c r="G10" s="2057"/>
      <c r="H10" s="2058"/>
      <c r="I10" s="2038"/>
      <c r="J10" s="2034"/>
      <c r="K10" s="2044"/>
      <c r="L10" s="2020"/>
      <c r="M10" s="2020"/>
      <c r="N10" s="2021"/>
      <c r="O10" s="2022"/>
      <c r="P10" s="2021"/>
      <c r="Q10" s="2021"/>
      <c r="R10" s="2021"/>
    </row>
    <row r="11" spans="1:19" ht="18" customHeight="1">
      <c r="A11" s="2059" t="s">
        <v>1789</v>
      </c>
      <c r="B11" s="2060" t="s">
        <v>3037</v>
      </c>
      <c r="C11" s="3010" t="s">
        <v>4257</v>
      </c>
      <c r="D11" s="2061"/>
      <c r="E11" s="2034"/>
      <c r="F11" s="2034"/>
      <c r="G11" s="2034"/>
      <c r="H11" s="2034"/>
      <c r="I11" s="2034"/>
      <c r="J11" s="2034"/>
      <c r="K11" s="2044"/>
      <c r="L11" s="2020"/>
      <c r="M11" s="2020"/>
      <c r="N11" s="2021"/>
      <c r="O11" s="2022"/>
      <c r="P11" s="2021"/>
      <c r="Q11" s="2021"/>
      <c r="R11" s="2021"/>
    </row>
    <row r="12" spans="1:19" ht="18" customHeight="1">
      <c r="A12" s="2062" t="s">
        <v>1790</v>
      </c>
      <c r="B12" s="2060" t="s">
        <v>3036</v>
      </c>
      <c r="C12" s="2063" t="s">
        <v>1791</v>
      </c>
      <c r="D12" s="2064" t="s">
        <v>1792</v>
      </c>
      <c r="E12" s="2064" t="s">
        <v>1793</v>
      </c>
      <c r="F12" s="2064" t="s">
        <v>1794</v>
      </c>
      <c r="G12" s="2064" t="s">
        <v>1795</v>
      </c>
      <c r="H12" s="2064" t="s">
        <v>1796</v>
      </c>
      <c r="I12" s="2064" t="s">
        <v>1797</v>
      </c>
      <c r="J12" s="2034"/>
      <c r="K12" s="2044"/>
      <c r="L12" s="2020"/>
      <c r="M12" s="2020"/>
      <c r="N12" s="2021"/>
      <c r="O12" s="2022"/>
      <c r="P12" s="2021"/>
      <c r="Q12" s="2021"/>
      <c r="R12" s="2021"/>
    </row>
    <row r="13" spans="1:19" ht="18" customHeight="1">
      <c r="A13" s="2065"/>
      <c r="B13" s="2066"/>
      <c r="C13" s="2067" t="s">
        <v>1798</v>
      </c>
      <c r="D13" s="2068">
        <v>55395</v>
      </c>
      <c r="E13" s="2068">
        <v>55395</v>
      </c>
      <c r="F13" s="2068"/>
      <c r="G13" s="2068">
        <v>55395</v>
      </c>
      <c r="H13" s="2068"/>
      <c r="I13" s="1040"/>
      <c r="J13" s="2034"/>
      <c r="K13" s="2044"/>
      <c r="L13" s="2020"/>
      <c r="M13" s="2020"/>
      <c r="N13" s="2021"/>
      <c r="O13" s="2022"/>
      <c r="P13" s="2021"/>
      <c r="Q13" s="2021"/>
      <c r="R13" s="2021"/>
    </row>
    <row r="14" spans="1:19" ht="18" customHeight="1">
      <c r="A14" s="2065"/>
      <c r="B14" s="2066"/>
      <c r="C14" s="2067" t="s">
        <v>1799</v>
      </c>
      <c r="D14" s="1043">
        <v>40</v>
      </c>
      <c r="E14" s="1043">
        <v>40</v>
      </c>
      <c r="F14" s="1043"/>
      <c r="G14" s="1043">
        <v>40</v>
      </c>
      <c r="H14" s="1043"/>
      <c r="I14" s="1043"/>
      <c r="J14" s="2034"/>
      <c r="K14" s="2069"/>
      <c r="L14" s="2020"/>
      <c r="M14" s="2020"/>
      <c r="N14" s="2021"/>
      <c r="O14" s="2022"/>
      <c r="P14" s="2021"/>
      <c r="Q14" s="2021"/>
      <c r="R14" s="2021"/>
    </row>
    <row r="15" spans="1:19" ht="18" customHeight="1">
      <c r="A15" s="2053"/>
      <c r="B15" s="2070"/>
      <c r="C15" s="2067" t="s">
        <v>1800</v>
      </c>
      <c r="D15" s="1042">
        <f>IF(B12="出让",IF(D13="","",ROUNDDOWN(MIN((D13-$D$3)/365,D14),2)),D14)</f>
        <v>33.04</v>
      </c>
      <c r="E15" s="1042">
        <f>IF(B12="出让",IF(E13="","",ROUNDDOWN(MIN((E13-$D$3)/365,E14),2)),E14)</f>
        <v>33.04</v>
      </c>
      <c r="F15" s="1042" t="str">
        <f>IF(B12="出让",IF(F13="","",ROUNDDOWN(MIN((F13-$D$3)/365,F14),2)),F14)</f>
        <v/>
      </c>
      <c r="G15" s="1042">
        <f>IF(B12="出让",IF(G13="","",ROUNDDOWN(MIN((G13-$D$3)/365,G14),2)),G14)</f>
        <v>33.04</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1801</v>
      </c>
      <c r="B16" s="3212"/>
      <c r="C16" s="3213"/>
      <c r="D16" s="3214"/>
      <c r="E16" s="2074" t="s">
        <v>1802</v>
      </c>
      <c r="F16" s="3215"/>
      <c r="G16" s="3216"/>
      <c r="H16" s="3216"/>
      <c r="I16" s="3217"/>
      <c r="J16" s="2021"/>
      <c r="K16" s="2071"/>
      <c r="L16" s="2072"/>
      <c r="M16" s="2072"/>
      <c r="N16" s="2073"/>
      <c r="O16" s="2072"/>
      <c r="P16" s="2073"/>
      <c r="Q16" s="2021"/>
      <c r="R16" s="2021"/>
    </row>
    <row r="17" spans="1:22" ht="18" customHeight="1">
      <c r="A17" s="2075" t="s">
        <v>1803</v>
      </c>
      <c r="B17" s="2027" t="s">
        <v>1804</v>
      </c>
      <c r="C17" s="1047">
        <f>'数据-汇总表'!E3</f>
        <v>374875.08999999997</v>
      </c>
      <c r="D17" s="2076" t="s">
        <v>1805</v>
      </c>
      <c r="E17" s="3218" t="s">
        <v>1806</v>
      </c>
      <c r="F17" s="3219"/>
      <c r="G17" s="3219"/>
      <c r="H17" s="3219"/>
      <c r="I17" s="3220"/>
      <c r="J17" s="2021"/>
      <c r="K17" s="2077"/>
      <c r="L17" s="2072"/>
      <c r="M17" s="2072"/>
      <c r="N17" s="2073"/>
      <c r="O17" s="2072"/>
      <c r="P17" s="2073"/>
      <c r="Q17" s="2021"/>
      <c r="R17" s="2021"/>
      <c r="S17" s="2021"/>
      <c r="T17" s="2021"/>
      <c r="U17" s="2021"/>
      <c r="V17" s="2021"/>
    </row>
    <row r="18" spans="1:22" ht="36" customHeight="1" thickBot="1">
      <c r="A18" s="2078" t="s">
        <v>1807</v>
      </c>
      <c r="B18" s="2030" t="s">
        <v>1808</v>
      </c>
      <c r="C18" s="1437">
        <f>'数据-汇总表'!D3</f>
        <v>25136</v>
      </c>
      <c r="D18" s="2079" t="s">
        <v>1805</v>
      </c>
      <c r="E18" s="3221" t="s">
        <v>1809</v>
      </c>
      <c r="F18" s="3222"/>
      <c r="G18" s="3222"/>
      <c r="H18" s="3222"/>
      <c r="I18" s="3223"/>
      <c r="J18" s="2021"/>
      <c r="K18" s="2077"/>
      <c r="L18" s="2072"/>
      <c r="M18" s="2072"/>
      <c r="N18" s="2073"/>
      <c r="O18" s="2072"/>
      <c r="P18" s="2073"/>
      <c r="Q18" s="2021"/>
      <c r="R18" s="2021"/>
      <c r="S18" s="2021"/>
      <c r="T18" s="2021"/>
      <c r="U18" s="2021"/>
      <c r="V18" s="2021"/>
    </row>
    <row r="19" spans="1:22" ht="37.5" customHeight="1" thickTop="1" thickBot="1">
      <c r="A19" s="369" t="s">
        <v>1810</v>
      </c>
      <c r="B19" s="348" t="s">
        <v>1811</v>
      </c>
      <c r="C19" s="2080" t="s">
        <v>3042</v>
      </c>
      <c r="D19" s="2081" t="s">
        <v>1812</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1813</v>
      </c>
      <c r="B20" s="3208" t="s">
        <v>1814</v>
      </c>
      <c r="C20" s="3209"/>
      <c r="D20" s="3210" t="s">
        <v>1815</v>
      </c>
      <c r="E20" s="3211"/>
      <c r="F20" s="2086" t="s">
        <v>1816</v>
      </c>
      <c r="G20" s="2034"/>
      <c r="H20" s="2034"/>
      <c r="I20" s="2034"/>
      <c r="J20" s="2034"/>
      <c r="K20" s="3207" t="s">
        <v>1817</v>
      </c>
      <c r="L20" s="744"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20"/>
      <c r="N20" s="2073"/>
      <c r="O20" s="2072"/>
      <c r="P20" s="2073"/>
      <c r="Q20" s="2021"/>
      <c r="R20" s="2021"/>
      <c r="S20" s="2021"/>
      <c r="T20" s="2021"/>
      <c r="U20" s="2021"/>
      <c r="V20" s="2021"/>
    </row>
    <row r="21" spans="1:22" ht="24.75" customHeight="1">
      <c r="A21" s="2085"/>
      <c r="B21" s="2087" t="s">
        <v>4267</v>
      </c>
      <c r="C21" s="2088" t="s">
        <v>4268</v>
      </c>
      <c r="D21" s="2089"/>
      <c r="E21" s="2090"/>
      <c r="F21" s="2091"/>
      <c r="G21" s="2034"/>
      <c r="H21" s="2034"/>
      <c r="I21" s="2034"/>
      <c r="J21" s="2034"/>
      <c r="K21" s="320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20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1818</v>
      </c>
      <c r="B23" s="179" t="s">
        <v>1819</v>
      </c>
      <c r="C23" s="2095"/>
      <c r="D23" s="2096" t="s">
        <v>1819</v>
      </c>
      <c r="E23" s="2097"/>
      <c r="F23" s="2093"/>
      <c r="G23" s="2034"/>
      <c r="H23" s="2034"/>
      <c r="I23" s="2034"/>
      <c r="J23" s="2034"/>
      <c r="K23" s="2098"/>
      <c r="L23" s="744"/>
      <c r="M23" s="2020"/>
      <c r="N23" s="2073"/>
      <c r="O23" s="2072"/>
      <c r="P23" s="2073"/>
      <c r="Q23" s="2021"/>
      <c r="R23" s="2021"/>
      <c r="S23" s="2021"/>
      <c r="T23" s="2021"/>
      <c r="U23" s="2021"/>
      <c r="V23" s="2021"/>
    </row>
    <row r="24" spans="1:22" ht="18" customHeight="1">
      <c r="A24" s="2099"/>
      <c r="B24" s="179" t="s">
        <v>1820</v>
      </c>
      <c r="C24" s="2100"/>
      <c r="D24" s="2094" t="s">
        <v>1820</v>
      </c>
      <c r="E24" s="2101"/>
      <c r="F24" s="2093"/>
      <c r="G24" s="2034"/>
      <c r="H24" s="2034"/>
      <c r="I24" s="2034"/>
      <c r="J24" s="2034"/>
      <c r="K24" s="2098"/>
      <c r="L24" s="744"/>
      <c r="M24" s="2020"/>
      <c r="N24" s="2073"/>
      <c r="O24" s="2072"/>
      <c r="P24" s="2073"/>
      <c r="Q24" s="2021"/>
      <c r="R24" s="2021"/>
      <c r="S24" s="2021"/>
      <c r="T24" s="2021"/>
      <c r="U24" s="2021"/>
      <c r="V24" s="2021"/>
    </row>
    <row r="25" spans="1:22" ht="18" customHeight="1">
      <c r="A25" s="2099"/>
      <c r="B25" s="179" t="s">
        <v>1821</v>
      </c>
      <c r="C25" s="2100"/>
      <c r="D25" s="2094" t="s">
        <v>1821</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1822</v>
      </c>
      <c r="C26" s="2104"/>
      <c r="D26" s="2105" t="s">
        <v>1823</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225" t="s">
        <v>1824</v>
      </c>
      <c r="B27" s="2053" t="s">
        <v>1825</v>
      </c>
      <c r="C27" s="2108"/>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225"/>
      <c r="B28" s="2027" t="s">
        <v>1826</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225"/>
      <c r="B29" s="2027" t="s">
        <v>1827</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226"/>
      <c r="B30" s="2027" t="s">
        <v>1828</v>
      </c>
      <c r="C30" s="3227"/>
      <c r="D30" s="3228"/>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229" t="s">
        <v>1829</v>
      </c>
      <c r="B31" s="2115" t="s">
        <v>4260</v>
      </c>
      <c r="C31" s="2116" t="str">
        <f>IF(B31="现房","成新及维护状况正常否",IF(B31="在建","工程状态是否正常",IF(B31="土地","是否闲置","-")))</f>
        <v>工程状态是否正常</v>
      </c>
      <c r="D31" s="2117"/>
      <c r="E31" s="2118"/>
      <c r="F31" s="2034"/>
      <c r="G31" s="2034"/>
      <c r="H31" s="2034"/>
      <c r="I31" s="2034"/>
      <c r="J31" s="2034"/>
      <c r="K31" s="2043"/>
      <c r="L31" s="2020"/>
      <c r="M31" s="2020"/>
      <c r="N31" s="2021"/>
      <c r="O31" s="2022"/>
      <c r="P31" s="2021"/>
      <c r="Q31" s="2021"/>
      <c r="R31" s="2021"/>
      <c r="S31" s="2021"/>
      <c r="T31" s="2021"/>
      <c r="U31" s="2021"/>
      <c r="V31" s="2021"/>
    </row>
    <row r="32" spans="1:22" ht="18" customHeight="1">
      <c r="A32" s="3230"/>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230"/>
      <c r="B33" s="2119"/>
      <c r="C33" s="2059"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1830</v>
      </c>
      <c r="B34" s="2122" t="s">
        <v>4261</v>
      </c>
      <c r="C34" s="2122" t="s">
        <v>4262</v>
      </c>
      <c r="D34" s="2122" t="s">
        <v>4263</v>
      </c>
      <c r="E34" s="2122" t="s">
        <v>4264</v>
      </c>
      <c r="F34" s="2122" t="s">
        <v>4265</v>
      </c>
      <c r="G34" s="2122" t="s">
        <v>4266</v>
      </c>
      <c r="H34" s="2122"/>
      <c r="I34" s="2034"/>
      <c r="J34" s="2034"/>
      <c r="K34" s="1787">
        <f>COUNTIF(B34:H34,"——")</f>
        <v>0</v>
      </c>
      <c r="L34" s="2063" t="s">
        <v>1831</v>
      </c>
      <c r="M34" s="2063" t="s">
        <v>1832</v>
      </c>
      <c r="N34" s="2063" t="s">
        <v>1833</v>
      </c>
      <c r="O34" s="2063" t="s">
        <v>1834</v>
      </c>
      <c r="P34" s="2063" t="s">
        <v>1835</v>
      </c>
      <c r="Q34" s="2063" t="s">
        <v>1836</v>
      </c>
      <c r="R34" s="2063" t="s">
        <v>1837</v>
      </c>
      <c r="S34" s="3224" t="s">
        <v>1838</v>
      </c>
      <c r="T34" s="2123" t="str">
        <f>NUMBERSTRING(7-K34,1)&amp;"通"</f>
        <v>七通</v>
      </c>
      <c r="U34" s="2021"/>
      <c r="V34" s="2021"/>
    </row>
    <row r="35" spans="1:22" ht="18" customHeight="1">
      <c r="A35" s="2124"/>
      <c r="B35" s="3231" t="s">
        <v>1839</v>
      </c>
      <c r="C35" s="3231"/>
      <c r="D35" s="3231"/>
      <c r="E35" s="3231"/>
      <c r="F35" s="2125" t="str">
        <f>C10</f>
        <v>重庆市</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224"/>
      <c r="T35" s="48" t="str">
        <f>IF(T34="一通",L35,IF(T34="二通",M35,IF(T34="三通",N35,IF(T34="四通",O35,IF(T34="五通",P35,IF(T34="六通",Q35,R35))))))</f>
        <v>通路、通电、通讯、通上水、通下水、燃气、</v>
      </c>
      <c r="U35" s="2021"/>
      <c r="V35" s="2021"/>
    </row>
    <row r="36" spans="1:22" ht="18" customHeight="1">
      <c r="A36" s="2126"/>
      <c r="B36" s="2125" t="s">
        <v>1840</v>
      </c>
      <c r="C36" s="2125" t="s">
        <v>1841</v>
      </c>
      <c r="D36" s="2125" t="s">
        <v>1842</v>
      </c>
      <c r="E36" s="2125" t="s">
        <v>1843</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1844</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1845</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1846</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2"/>
      <c r="L40" s="2072"/>
      <c r="M40" s="2072"/>
      <c r="N40" s="2073"/>
      <c r="O40" s="2072"/>
      <c r="P40" s="2021"/>
      <c r="Q40" s="2021"/>
      <c r="R40" s="2021"/>
      <c r="S40" s="2021"/>
      <c r="T40" s="2021"/>
      <c r="U40" s="2021"/>
      <c r="V40" s="2021"/>
    </row>
    <row r="41" spans="1:22" ht="18" customHeight="1">
      <c r="A41" s="8" t="s">
        <v>1847</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1848</v>
      </c>
      <c r="B42" s="1787" t="s">
        <v>1849</v>
      </c>
      <c r="C42" s="1787" t="s">
        <v>1850</v>
      </c>
      <c r="D42" s="1787" t="s">
        <v>1851</v>
      </c>
      <c r="E42" s="1787" t="s">
        <v>1852</v>
      </c>
      <c r="F42" s="1787" t="s">
        <v>1853</v>
      </c>
      <c r="G42" s="1787" t="s">
        <v>1854</v>
      </c>
      <c r="H42" s="1787" t="s">
        <v>1855</v>
      </c>
      <c r="I42" s="1787" t="s">
        <v>1856</v>
      </c>
      <c r="J42" s="2141" t="s">
        <v>1857</v>
      </c>
      <c r="K42" s="2064" t="s">
        <v>1858</v>
      </c>
      <c r="L42" s="2064" t="s">
        <v>1859</v>
      </c>
      <c r="M42" s="2064" t="s">
        <v>1860</v>
      </c>
      <c r="N42" s="1787" t="s">
        <v>1861</v>
      </c>
      <c r="O42" s="1787" t="s">
        <v>1862</v>
      </c>
      <c r="P42" s="1787" t="s">
        <v>1863</v>
      </c>
      <c r="Q42" s="2063" t="s">
        <v>1864</v>
      </c>
      <c r="R42" s="2063" t="s">
        <v>1865</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625" style="2148" customWidth="1"/>
    <col min="17" max="17" width="9.375" style="2148" customWidth="1"/>
    <col min="18" max="18" width="9.125" style="2148" customWidth="1"/>
    <col min="19" max="19" width="10.875" style="2148" customWidth="1"/>
    <col min="20" max="20" width="10.625" style="2148" customWidth="1"/>
    <col min="21" max="21" width="10.625" style="2148" hidden="1" customWidth="1"/>
    <col min="22" max="22" width="10.875" style="2148" hidden="1" customWidth="1"/>
    <col min="23" max="27" width="10.625" style="2148" hidden="1" customWidth="1"/>
    <col min="28" max="28" width="10.875" style="2148" hidden="1" customWidth="1"/>
    <col min="29" max="29" width="11" style="2148" bestFit="1" customWidth="1"/>
    <col min="30" max="30" width="10" style="2148" bestFit="1" customWidth="1"/>
    <col min="31" max="31" width="9.625" style="2148" customWidth="1"/>
    <col min="32" max="46" width="9.5" style="2148" customWidth="1"/>
    <col min="47" max="47" width="18.125" style="2148" customWidth="1"/>
    <col min="48" max="50" width="9.62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1866</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1867</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1868</v>
      </c>
      <c r="B2" s="11" t="s">
        <v>1869</v>
      </c>
      <c r="C2" s="11" t="s">
        <v>1870</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1871</v>
      </c>
      <c r="AZ2" s="1263" t="s">
        <v>1872</v>
      </c>
      <c r="BA2" s="11" t="s">
        <v>1873</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25136</v>
      </c>
      <c r="B3" s="14">
        <f>IF(C3="否",G5-AT5,G5)</f>
        <v>374875.08999999997</v>
      </c>
      <c r="C3" s="2157" t="s">
        <v>1874</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1875</v>
      </c>
      <c r="B5" s="1795"/>
      <c r="C5" s="1795"/>
      <c r="D5" s="1798"/>
      <c r="E5" s="16" t="s">
        <v>1</v>
      </c>
      <c r="F5" s="16">
        <f>SUM(F13:F587)</f>
        <v>0</v>
      </c>
      <c r="G5" s="16">
        <f>SUM(G13:G587)</f>
        <v>375447.06999999995</v>
      </c>
      <c r="H5" s="16">
        <f t="shared" ref="H5:AT5" si="0">SUM(H13:H656)</f>
        <v>360215.94999999995</v>
      </c>
      <c r="I5" s="16">
        <f t="shared" si="0"/>
        <v>38459.120000000003</v>
      </c>
      <c r="J5" s="16">
        <f t="shared" si="0"/>
        <v>0</v>
      </c>
      <c r="K5" s="16">
        <f t="shared" si="0"/>
        <v>32618.32</v>
      </c>
      <c r="L5" s="16">
        <f t="shared" si="0"/>
        <v>0</v>
      </c>
      <c r="M5" s="16">
        <f t="shared" si="0"/>
        <v>6266.93</v>
      </c>
      <c r="N5" s="16">
        <f t="shared" si="0"/>
        <v>0</v>
      </c>
      <c r="O5" s="16">
        <f t="shared" si="0"/>
        <v>82985.51999999999</v>
      </c>
      <c r="P5" s="16">
        <f t="shared" si="0"/>
        <v>0</v>
      </c>
      <c r="Q5" s="16">
        <f t="shared" si="0"/>
        <v>84500</v>
      </c>
      <c r="R5" s="16">
        <f t="shared" si="0"/>
        <v>0</v>
      </c>
      <c r="S5" s="16">
        <f t="shared" si="0"/>
        <v>115386.06</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14659.140000000007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7206.4600000000064</v>
      </c>
      <c r="AM5" s="16">
        <f t="shared" si="0"/>
        <v>0</v>
      </c>
      <c r="AN5" s="16">
        <f t="shared" si="0"/>
        <v>7452.6800000000012</v>
      </c>
      <c r="AO5" s="16">
        <f t="shared" si="0"/>
        <v>0</v>
      </c>
      <c r="AP5" s="16">
        <f t="shared" si="0"/>
        <v>0</v>
      </c>
      <c r="AQ5" s="16">
        <f t="shared" si="0"/>
        <v>0</v>
      </c>
      <c r="AR5" s="16">
        <f t="shared" si="0"/>
        <v>0</v>
      </c>
      <c r="AS5" s="16">
        <f t="shared" si="0"/>
        <v>0</v>
      </c>
      <c r="AT5" s="16">
        <f t="shared" si="0"/>
        <v>571.98</v>
      </c>
      <c r="AU5" s="1794"/>
      <c r="AV5" s="15" t="s">
        <v>1875</v>
      </c>
      <c r="AW5" s="1795"/>
      <c r="AX5" s="1795"/>
      <c r="AY5" s="17" t="s">
        <v>3</v>
      </c>
      <c r="AZ5" s="18">
        <f t="shared" ref="AZ5:BT5" si="1">SUM(AZ13:AZ656)</f>
        <v>374875.08999999997</v>
      </c>
      <c r="BA5" s="18">
        <f t="shared" si="1"/>
        <v>360215.94999999995</v>
      </c>
      <c r="BB5" s="18">
        <f t="shared" si="1"/>
        <v>38459.120000000003</v>
      </c>
      <c r="BC5" s="18">
        <f t="shared" si="1"/>
        <v>32618.32</v>
      </c>
      <c r="BD5" s="18">
        <f t="shared" si="1"/>
        <v>6266.93</v>
      </c>
      <c r="BE5" s="18">
        <f t="shared" si="1"/>
        <v>82985.51999999999</v>
      </c>
      <c r="BF5" s="18">
        <f t="shared" si="1"/>
        <v>84500</v>
      </c>
      <c r="BG5" s="18">
        <f t="shared" si="1"/>
        <v>115386.06</v>
      </c>
      <c r="BH5" s="18">
        <f t="shared" si="1"/>
        <v>0</v>
      </c>
      <c r="BI5" s="18">
        <f t="shared" si="1"/>
        <v>0</v>
      </c>
      <c r="BJ5" s="18">
        <f t="shared" si="1"/>
        <v>0</v>
      </c>
      <c r="BK5" s="18">
        <f t="shared" si="1"/>
        <v>0</v>
      </c>
      <c r="BL5" s="18">
        <f t="shared" si="1"/>
        <v>14659.140000000007</v>
      </c>
      <c r="BM5" s="18">
        <f t="shared" si="1"/>
        <v>0</v>
      </c>
      <c r="BN5" s="18">
        <f t="shared" si="1"/>
        <v>0</v>
      </c>
      <c r="BO5" s="18">
        <f t="shared" si="1"/>
        <v>0</v>
      </c>
      <c r="BP5" s="18">
        <f t="shared" si="1"/>
        <v>0</v>
      </c>
      <c r="BQ5" s="18">
        <f t="shared" si="1"/>
        <v>7206.4600000000064</v>
      </c>
      <c r="BR5" s="18">
        <f t="shared" si="1"/>
        <v>7452.6800000000012</v>
      </c>
      <c r="BS5" s="18">
        <f t="shared" si="1"/>
        <v>0</v>
      </c>
      <c r="BT5" s="19">
        <f t="shared" si="1"/>
        <v>0</v>
      </c>
    </row>
    <row r="6" spans="1:72" s="2166" customFormat="1" ht="12.75">
      <c r="A6" s="15" t="s">
        <v>1876</v>
      </c>
      <c r="B6" s="2163"/>
      <c r="C6" s="2163"/>
      <c r="D6" s="2164"/>
      <c r="E6" s="16">
        <f>H6+AC6+AT6</f>
        <v>25136.009999999995</v>
      </c>
      <c r="F6" s="16" t="s">
        <v>1</v>
      </c>
      <c r="G6" s="16" t="s">
        <v>2</v>
      </c>
      <c r="H6" s="20">
        <f>SUMIF(I$12:AB$12,"总值",I6:AB6)</f>
        <v>24153.089999999997</v>
      </c>
      <c r="I6" s="16">
        <f t="shared" ref="I6:AB6" si="2">ROUND($A$3*I5/$B$3,2)</f>
        <v>2578.75</v>
      </c>
      <c r="J6" s="16">
        <f t="shared" si="2"/>
        <v>0</v>
      </c>
      <c r="K6" s="16">
        <f t="shared" si="2"/>
        <v>2187.11</v>
      </c>
      <c r="L6" s="16">
        <f t="shared" si="2"/>
        <v>0</v>
      </c>
      <c r="M6" s="16">
        <f t="shared" si="2"/>
        <v>420.21</v>
      </c>
      <c r="N6" s="16">
        <f t="shared" si="2"/>
        <v>0</v>
      </c>
      <c r="O6" s="16">
        <f t="shared" si="2"/>
        <v>5564.32</v>
      </c>
      <c r="P6" s="16">
        <f t="shared" si="2"/>
        <v>0</v>
      </c>
      <c r="Q6" s="16">
        <f t="shared" si="2"/>
        <v>5665.87</v>
      </c>
      <c r="R6" s="16">
        <f t="shared" si="2"/>
        <v>0</v>
      </c>
      <c r="S6" s="16">
        <f t="shared" si="2"/>
        <v>7736.83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982.92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483.21</v>
      </c>
      <c r="AM6" s="16">
        <f t="shared" si="3"/>
        <v>0</v>
      </c>
      <c r="AN6" s="16">
        <f t="shared" si="3"/>
        <v>499.71</v>
      </c>
      <c r="AO6" s="16">
        <f t="shared" si="3"/>
        <v>0</v>
      </c>
      <c r="AP6" s="16">
        <f t="shared" si="3"/>
        <v>0</v>
      </c>
      <c r="AQ6" s="16">
        <f t="shared" si="3"/>
        <v>0</v>
      </c>
      <c r="AR6" s="16">
        <f t="shared" si="3"/>
        <v>0</v>
      </c>
      <c r="AS6" s="16">
        <f t="shared" si="3"/>
        <v>0</v>
      </c>
      <c r="AT6" s="20">
        <f>IF(C3="是",ROUND($A$3*AT5/$B$3,2),0)</f>
        <v>0</v>
      </c>
      <c r="AU6" s="2165"/>
      <c r="AV6" s="15" t="s">
        <v>1876</v>
      </c>
      <c r="AW6" s="2163"/>
      <c r="AX6" s="2163"/>
      <c r="AY6" s="21">
        <f>IF(AY3&gt;0,AY3,ROUND($A$3*AZ5/$B$3,2))</f>
        <v>25136</v>
      </c>
      <c r="AZ6" s="16" t="s">
        <v>3</v>
      </c>
      <c r="BA6" s="16">
        <f>ROUND($AY$6*BA5/$AZ$5,2)</f>
        <v>24153.08</v>
      </c>
      <c r="BB6" s="16">
        <f>ROUND($AY$6*BB5/$AZ$5,2)</f>
        <v>2578.75</v>
      </c>
      <c r="BC6" s="16">
        <f t="shared" ref="BC6:BH6" si="4">ROUND($AY$6*BC5/$AZ$5,2)</f>
        <v>2187.11</v>
      </c>
      <c r="BD6" s="16">
        <f t="shared" si="4"/>
        <v>420.21</v>
      </c>
      <c r="BE6" s="16">
        <f t="shared" si="4"/>
        <v>5564.32</v>
      </c>
      <c r="BF6" s="16">
        <f t="shared" si="4"/>
        <v>5665.87</v>
      </c>
      <c r="BG6" s="16">
        <f t="shared" si="4"/>
        <v>7736.83</v>
      </c>
      <c r="BH6" s="16">
        <f t="shared" si="4"/>
        <v>0</v>
      </c>
      <c r="BI6" s="16">
        <f t="shared" ref="BI6:BT6" si="5">ROUND($AY$6*BI5/$AZ$5,2)</f>
        <v>0</v>
      </c>
      <c r="BJ6" s="16">
        <f t="shared" si="5"/>
        <v>0</v>
      </c>
      <c r="BK6" s="16">
        <f t="shared" si="5"/>
        <v>0</v>
      </c>
      <c r="BL6" s="16">
        <f t="shared" si="5"/>
        <v>982.92</v>
      </c>
      <c r="BM6" s="16">
        <f t="shared" si="5"/>
        <v>0</v>
      </c>
      <c r="BN6" s="16">
        <f t="shared" si="5"/>
        <v>0</v>
      </c>
      <c r="BO6" s="16">
        <f t="shared" si="5"/>
        <v>0</v>
      </c>
      <c r="BP6" s="16">
        <f t="shared" si="5"/>
        <v>0</v>
      </c>
      <c r="BQ6" s="16">
        <f t="shared" si="5"/>
        <v>483.21</v>
      </c>
      <c r="BR6" s="16">
        <f t="shared" si="5"/>
        <v>499.71</v>
      </c>
      <c r="BS6" s="16">
        <f t="shared" si="5"/>
        <v>0</v>
      </c>
      <c r="BT6" s="22">
        <f t="shared" si="5"/>
        <v>0</v>
      </c>
    </row>
    <row r="7" spans="1:72" s="2156" customFormat="1" ht="24.75">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1884</v>
      </c>
      <c r="AV7" s="23" t="s">
        <v>1885</v>
      </c>
      <c r="AW7" s="2155" t="s">
        <v>1886</v>
      </c>
      <c r="AX7" s="23" t="s">
        <v>1879</v>
      </c>
      <c r="AY7" s="1795"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10"/>
      <c r="K8" s="1810"/>
      <c r="L8" s="1810"/>
      <c r="M8" s="1810"/>
      <c r="N8" s="1810"/>
      <c r="O8" s="1810"/>
      <c r="P8" s="1810"/>
      <c r="Q8" s="1810"/>
      <c r="R8" s="1810"/>
      <c r="S8" s="1810"/>
      <c r="T8" s="1810"/>
      <c r="U8" s="1810"/>
      <c r="V8" s="2175"/>
      <c r="W8" s="1810"/>
      <c r="X8" s="1810"/>
      <c r="Y8" s="1810"/>
      <c r="Z8" s="1810"/>
      <c r="AA8" s="2175"/>
      <c r="AB8" s="2176"/>
      <c r="AC8" s="974" t="s">
        <v>1890</v>
      </c>
      <c r="AD8" s="2177"/>
      <c r="AE8" s="2169"/>
      <c r="AF8" s="1810"/>
      <c r="AG8" s="1810"/>
      <c r="AH8" s="1810"/>
      <c r="AI8" s="1810"/>
      <c r="AJ8" s="1810"/>
      <c r="AK8" s="1810"/>
      <c r="AL8" s="1810"/>
      <c r="AM8" s="1810"/>
      <c r="AN8" s="1810"/>
      <c r="AO8" s="1810"/>
      <c r="AP8" s="1810"/>
      <c r="AQ8" s="1810"/>
      <c r="AR8" s="1810"/>
      <c r="AS8" s="1810"/>
      <c r="AT8" s="1285" t="s">
        <v>1891</v>
      </c>
      <c r="AU8" s="2171" t="s">
        <v>1892</v>
      </c>
      <c r="AV8" s="1285"/>
      <c r="AW8" s="2154"/>
      <c r="AX8" s="1285"/>
      <c r="AY8" s="2155" t="s">
        <v>1893</v>
      </c>
      <c r="AZ8" s="1809" t="s">
        <v>1894</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8" customFormat="1" ht="12.75">
      <c r="A9" s="2171"/>
      <c r="B9" s="2171"/>
      <c r="C9" s="2171"/>
      <c r="D9" s="2171"/>
      <c r="E9" s="2171"/>
      <c r="F9" s="2171"/>
      <c r="G9" s="1285"/>
      <c r="H9" s="2179" t="s">
        <v>1895</v>
      </c>
      <c r="I9" s="2180" t="s">
        <v>3041</v>
      </c>
      <c r="J9" s="974"/>
      <c r="K9" s="2180" t="s">
        <v>3051</v>
      </c>
      <c r="L9" s="974"/>
      <c r="M9" s="2180" t="s">
        <v>3041</v>
      </c>
      <c r="N9" s="974"/>
      <c r="O9" s="2180" t="s">
        <v>3041</v>
      </c>
      <c r="P9" s="974"/>
      <c r="Q9" s="2180" t="s">
        <v>3041</v>
      </c>
      <c r="R9" s="974"/>
      <c r="S9" s="2180" t="s">
        <v>3051</v>
      </c>
      <c r="T9" s="974"/>
      <c r="U9" s="2180"/>
      <c r="V9" s="974"/>
      <c r="W9" s="2180"/>
      <c r="X9" s="2181"/>
      <c r="Y9" s="2180"/>
      <c r="Z9" s="974"/>
      <c r="AA9" s="2180"/>
      <c r="AB9" s="974"/>
      <c r="AC9" s="2172"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2"/>
      <c r="AT9" s="2171"/>
      <c r="AU9" s="2171" t="s">
        <v>1898</v>
      </c>
      <c r="AV9" s="1285"/>
      <c r="AW9" s="2154"/>
      <c r="AX9" s="1285"/>
      <c r="AY9" s="28"/>
      <c r="AZ9" s="28" t="s">
        <v>1888</v>
      </c>
      <c r="BA9" s="2183" t="s">
        <v>1899</v>
      </c>
      <c r="BB9" s="2184"/>
      <c r="BC9" s="1331"/>
      <c r="BD9" s="1331"/>
      <c r="BE9" s="1331"/>
      <c r="BF9" s="1331"/>
      <c r="BG9" s="1331"/>
      <c r="BH9" s="1331"/>
      <c r="BI9" s="1331"/>
      <c r="BJ9" s="1331"/>
      <c r="BK9" s="2185"/>
      <c r="BL9" s="15" t="s">
        <v>1900</v>
      </c>
      <c r="BM9" s="1810"/>
      <c r="BN9" s="2174"/>
      <c r="BO9" s="1810"/>
      <c r="BP9" s="1810"/>
      <c r="BQ9" s="1810"/>
      <c r="BR9" s="1810"/>
      <c r="BS9" s="1810"/>
      <c r="BT9" s="26"/>
    </row>
    <row r="10" spans="1:72" s="2178" customFormat="1" ht="12.75">
      <c r="A10" s="2171"/>
      <c r="B10" s="2171"/>
      <c r="C10" s="2171"/>
      <c r="D10" s="2171"/>
      <c r="E10" s="2171"/>
      <c r="F10" s="2171"/>
      <c r="G10" s="1285"/>
      <c r="H10" s="28"/>
      <c r="I10" s="2180" t="s">
        <v>1377</v>
      </c>
      <c r="J10" s="974"/>
      <c r="K10" s="2186" t="s">
        <v>1377</v>
      </c>
      <c r="L10" s="974"/>
      <c r="M10" s="2186" t="s">
        <v>1377</v>
      </c>
      <c r="N10" s="974"/>
      <c r="O10" s="2186" t="s">
        <v>1377</v>
      </c>
      <c r="P10" s="974"/>
      <c r="Q10" s="2186" t="s">
        <v>3045</v>
      </c>
      <c r="R10" s="974"/>
      <c r="S10" s="2186" t="s">
        <v>3052</v>
      </c>
      <c r="T10" s="974"/>
      <c r="U10" s="2186"/>
      <c r="V10" s="974"/>
      <c r="W10" s="2186"/>
      <c r="X10" s="974"/>
      <c r="Y10" s="2186"/>
      <c r="Z10" s="974"/>
      <c r="AA10" s="2186"/>
      <c r="AB10" s="974"/>
      <c r="AC10" s="1285"/>
      <c r="AD10" s="15" t="s">
        <v>1901</v>
      </c>
      <c r="AE10" s="2187"/>
      <c r="AF10" s="15" t="s">
        <v>1901</v>
      </c>
      <c r="AG10" s="2187"/>
      <c r="AH10" s="15" t="s">
        <v>1902</v>
      </c>
      <c r="AI10" s="2187"/>
      <c r="AJ10" s="15" t="s">
        <v>1902</v>
      </c>
      <c r="AK10" s="2187"/>
      <c r="AL10" s="15" t="s">
        <v>1903</v>
      </c>
      <c r="AM10" s="1291"/>
      <c r="AN10" s="15" t="s">
        <v>1903</v>
      </c>
      <c r="AO10" s="1291"/>
      <c r="AP10" s="15" t="s">
        <v>1904</v>
      </c>
      <c r="AQ10" s="1291"/>
      <c r="AR10" s="15" t="s">
        <v>1904</v>
      </c>
      <c r="AS10" s="1291"/>
      <c r="AT10" s="2171"/>
      <c r="AU10" s="2171"/>
      <c r="AV10" s="1285"/>
      <c r="AW10" s="2154"/>
      <c r="AX10" s="1285"/>
      <c r="AY10" s="28"/>
      <c r="AZ10" s="28"/>
      <c r="BA10" s="2188" t="s">
        <v>1895</v>
      </c>
      <c r="BB10" s="2189" t="str">
        <f>I9</f>
        <v>地上</v>
      </c>
      <c r="BC10" s="29" t="str">
        <f>K9</f>
        <v>地下</v>
      </c>
      <c r="BD10" s="29" t="str">
        <f>M9</f>
        <v>地上</v>
      </c>
      <c r="BE10" s="29" t="str">
        <f>O9</f>
        <v>地上</v>
      </c>
      <c r="BF10" s="29" t="str">
        <f>Q9</f>
        <v>地上</v>
      </c>
      <c r="BG10" s="29" t="str">
        <f>S9</f>
        <v>地下</v>
      </c>
      <c r="BH10" s="29">
        <f>U9</f>
        <v>0</v>
      </c>
      <c r="BI10" s="29">
        <f>W9</f>
        <v>0</v>
      </c>
      <c r="BJ10" s="29">
        <f>Y9</f>
        <v>0</v>
      </c>
      <c r="BK10" s="29">
        <f>AA9</f>
        <v>0</v>
      </c>
      <c r="BL10" s="25" t="s">
        <v>1895</v>
      </c>
      <c r="BM10" s="1809" t="str">
        <f>AD9</f>
        <v>地上</v>
      </c>
      <c r="BN10" s="29" t="str">
        <f>AF9</f>
        <v>地下</v>
      </c>
      <c r="BO10" s="1809" t="str">
        <f>AH9</f>
        <v>地上</v>
      </c>
      <c r="BP10" s="29" t="str">
        <f>AJ9</f>
        <v>地下</v>
      </c>
      <c r="BQ10" s="1809" t="str">
        <f>AL9</f>
        <v>地上</v>
      </c>
      <c r="BR10" s="29" t="str">
        <f>AN9</f>
        <v>地下</v>
      </c>
      <c r="BS10" s="1809" t="str">
        <f>AP9</f>
        <v>地上</v>
      </c>
      <c r="BT10" s="2190" t="str">
        <f>AR9</f>
        <v>地下</v>
      </c>
    </row>
    <row r="11" spans="1:72" s="2178" customFormat="1" ht="12.75">
      <c r="A11" s="2171"/>
      <c r="B11" s="2171"/>
      <c r="C11" s="2171"/>
      <c r="D11" s="2171"/>
      <c r="E11" s="2171"/>
      <c r="F11" s="2171"/>
      <c r="G11" s="1285"/>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5"/>
      <c r="AD11" s="2193" t="s">
        <v>1905</v>
      </c>
      <c r="AE11" s="1811"/>
      <c r="AF11" s="2193" t="s">
        <v>1905</v>
      </c>
      <c r="AG11" s="1811"/>
      <c r="AH11" s="2193" t="s">
        <v>1906</v>
      </c>
      <c r="AI11" s="2194"/>
      <c r="AJ11" s="2193" t="s">
        <v>1906</v>
      </c>
      <c r="AK11" s="1811"/>
      <c r="AL11" s="1809"/>
      <c r="AM11" s="1811"/>
      <c r="AN11" s="1809"/>
      <c r="AO11" s="1811"/>
      <c r="AP11" s="1809"/>
      <c r="AQ11" s="1811"/>
      <c r="AR11" s="1809"/>
      <c r="AS11" s="1811"/>
      <c r="AT11" s="2154"/>
      <c r="AU11" s="2171"/>
      <c r="AV11" s="1285"/>
      <c r="AW11" s="2154"/>
      <c r="AX11" s="1285"/>
      <c r="AY11" s="28"/>
      <c r="AZ11" s="28"/>
      <c r="BA11" s="28"/>
      <c r="BB11" s="2176" t="str">
        <f>I10</f>
        <v>商业</v>
      </c>
      <c r="BC11" s="2176" t="str">
        <f>K10</f>
        <v>商业</v>
      </c>
      <c r="BD11" s="2176" t="str">
        <f>M10</f>
        <v>商业</v>
      </c>
      <c r="BE11" s="2176" t="str">
        <f>O10</f>
        <v>商业</v>
      </c>
      <c r="BF11" s="2176" t="str">
        <f>Q10</f>
        <v>住宅</v>
      </c>
      <c r="BG11" s="2176" t="str">
        <f>S10</f>
        <v>车库—商业</v>
      </c>
      <c r="BH11" s="2176">
        <f>U10</f>
        <v>0</v>
      </c>
      <c r="BI11" s="2176">
        <f>W10</f>
        <v>0</v>
      </c>
      <c r="BJ11" s="2176">
        <f>Y10</f>
        <v>0</v>
      </c>
      <c r="BK11" s="2176">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4" t="s">
        <v>1908</v>
      </c>
      <c r="W12" s="11" t="s">
        <v>1907</v>
      </c>
      <c r="X12" s="11" t="s">
        <v>1908</v>
      </c>
      <c r="Y12" s="11" t="s">
        <v>1907</v>
      </c>
      <c r="Z12" s="11" t="s">
        <v>1908</v>
      </c>
      <c r="AA12" s="11" t="s">
        <v>1907</v>
      </c>
      <c r="AB12" s="11" t="s">
        <v>1908</v>
      </c>
      <c r="AC12" s="2198"/>
      <c r="AD12" s="179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1265"/>
      <c r="D13" s="2202"/>
      <c r="E13" s="16">
        <f>IF($C$3="是",ROUND($A$3*G13/$B$3,2),ROUND($A$3*(G13-AT13)/$B$3,2))</f>
        <v>0</v>
      </c>
      <c r="F13" s="32"/>
      <c r="G13" s="33">
        <f>H13+AC13+AT13</f>
        <v>0</v>
      </c>
      <c r="H13" s="20">
        <f>SUMIF(I$12:AB$12,"总值",I13:AB13)</f>
        <v>0</v>
      </c>
      <c r="I13" s="2203"/>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142"/>
      <c r="D14" s="2202" t="s">
        <v>3042</v>
      </c>
      <c r="E14" s="16">
        <f>IF($C$3="是",ROUND($A$3*G14/$B$3,2),ROUND($A$3*(G14-AT14)/$B$3,2))</f>
        <v>25136</v>
      </c>
      <c r="F14" s="32"/>
      <c r="G14" s="33">
        <f>H14+AC14+AT14</f>
        <v>375447.06999999995</v>
      </c>
      <c r="H14" s="20">
        <f>SUMIF(I$12:AB$12,"总值",I14:AB14)</f>
        <v>360215.94999999995</v>
      </c>
      <c r="I14" s="2203">
        <f>'预测（T1-3）'!B7</f>
        <v>38459.120000000003</v>
      </c>
      <c r="J14" s="2203"/>
      <c r="K14" s="2203">
        <f>'预测（地下商业、车库）'!B9</f>
        <v>32618.32</v>
      </c>
      <c r="L14" s="2203"/>
      <c r="M14" s="2203">
        <f>'预测（T1-3）'!C7</f>
        <v>6266.93</v>
      </c>
      <c r="N14" s="2203"/>
      <c r="O14" s="2203">
        <f>'预测（T1-3）'!D7</f>
        <v>82985.51999999999</v>
      </c>
      <c r="P14" s="2203"/>
      <c r="Q14" s="2203">
        <v>84500</v>
      </c>
      <c r="R14" s="2203"/>
      <c r="S14" s="2203">
        <f>'预测（地下商业、车库）'!C9</f>
        <v>115386.06</v>
      </c>
      <c r="T14" s="2203"/>
      <c r="U14" s="2203"/>
      <c r="V14" s="2203"/>
      <c r="W14" s="2203"/>
      <c r="X14" s="2203"/>
      <c r="Y14" s="2203"/>
      <c r="Z14" s="2203"/>
      <c r="AA14" s="2203"/>
      <c r="AB14" s="2203"/>
      <c r="AC14" s="16">
        <f>SUMIF(AD$12:AS$12,"总值",AD14:AS14)</f>
        <v>14659.140000000007</v>
      </c>
      <c r="AD14" s="3011"/>
      <c r="AE14" s="2204"/>
      <c r="AF14" s="2204"/>
      <c r="AG14" s="2204"/>
      <c r="AH14" s="3011"/>
      <c r="AI14" s="2204"/>
      <c r="AJ14" s="2204"/>
      <c r="AK14" s="2204"/>
      <c r="AL14" s="2958">
        <f>'预测（T1-3）'!E7+88000-84500</f>
        <v>7206.4600000000064</v>
      </c>
      <c r="AM14" s="2204"/>
      <c r="AN14" s="3011">
        <f>'预测（地下商业、车库）'!D9+'预测（地下商业、车库）'!F2</f>
        <v>7452.6800000000012</v>
      </c>
      <c r="AO14" s="2204"/>
      <c r="AP14" s="2204"/>
      <c r="AQ14" s="2204"/>
      <c r="AR14" s="2204"/>
      <c r="AS14" s="2204"/>
      <c r="AT14" s="2205">
        <f>'预测（地下商业、车库）'!E9</f>
        <v>571.98</v>
      </c>
      <c r="AU14" s="2206"/>
      <c r="AV14" s="11">
        <f t="shared" si="6"/>
        <v>0</v>
      </c>
      <c r="AW14" s="11">
        <f t="shared" si="6"/>
        <v>0</v>
      </c>
      <c r="AX14" s="11">
        <f t="shared" si="6"/>
        <v>0</v>
      </c>
      <c r="AY14" s="1798">
        <f>ROUND($AY$6*AZ14/$AZ$5,2)</f>
        <v>25136</v>
      </c>
      <c r="AZ14" s="16">
        <f>BA14+BL14</f>
        <v>374875.08999999997</v>
      </c>
      <c r="BA14" s="16">
        <f>SUM(BB14:BK14)</f>
        <v>360215.94999999995</v>
      </c>
      <c r="BB14" s="16">
        <f>IF($D14="是",I14-J14,0)</f>
        <v>38459.120000000003</v>
      </c>
      <c r="BC14" s="16">
        <f>IF($D14="是",K14-L14,0)</f>
        <v>32618.32</v>
      </c>
      <c r="BD14" s="16">
        <f>IF($D14="是",M14-N14,0)</f>
        <v>6266.93</v>
      </c>
      <c r="BE14" s="16">
        <f>IF($D14="是",O14-P14,0)</f>
        <v>82985.51999999999</v>
      </c>
      <c r="BF14" s="16">
        <f>IF($D14="是",Q14-R14,0)</f>
        <v>84500</v>
      </c>
      <c r="BG14" s="16">
        <f>IF($D14="是",S14-T14,0)</f>
        <v>115386.06</v>
      </c>
      <c r="BH14" s="16">
        <f>IF($D14="是",U14-V14,0)</f>
        <v>0</v>
      </c>
      <c r="BI14" s="16">
        <f>IF($D14="是",W14-X14,0)</f>
        <v>0</v>
      </c>
      <c r="BJ14" s="16">
        <f>IF($D14="是",Y14-Z14,0)</f>
        <v>0</v>
      </c>
      <c r="BK14" s="16">
        <f>IF($D14="是",AA14-AB14,0)</f>
        <v>0</v>
      </c>
      <c r="BL14" s="16">
        <f>SUM(BM14:BT14)</f>
        <v>14659.140000000007</v>
      </c>
      <c r="BM14" s="16">
        <f>IF($D14="是",AD14-AE14,0)</f>
        <v>0</v>
      </c>
      <c r="BN14" s="16">
        <f>IF($D14="是",AF14-AG14,0)</f>
        <v>0</v>
      </c>
      <c r="BO14" s="16">
        <f>IF($D14="是",AH14-AI14,0)</f>
        <v>0</v>
      </c>
      <c r="BP14" s="16">
        <f>IF($D14="是",AJ14-AK14,0)</f>
        <v>0</v>
      </c>
      <c r="BQ14" s="16">
        <f>IF($D14="是",AL14-AM14,0)</f>
        <v>7206.4600000000064</v>
      </c>
      <c r="BR14" s="16">
        <f>IF($D14="是",AN14-AO14,0)</f>
        <v>7452.6800000000012</v>
      </c>
      <c r="BS14" s="16">
        <f>IF($D14="是",AP14-AQ14,0)</f>
        <v>0</v>
      </c>
      <c r="BT14" s="22">
        <f>IF($D14="是",AR14-AS14,0)</f>
        <v>0</v>
      </c>
    </row>
    <row r="15" spans="1:72" s="2156" customFormat="1" ht="12.75">
      <c r="A15" s="1265"/>
      <c r="B15" s="1265"/>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32" t="s">
        <v>0</v>
      </c>
      <c r="B1" s="3232" t="s">
        <v>4</v>
      </c>
      <c r="C1" s="3232" t="s">
        <v>5</v>
      </c>
      <c r="D1" s="3233" t="s">
        <v>53</v>
      </c>
      <c r="E1" s="3233" t="s">
        <v>54</v>
      </c>
      <c r="F1" s="3233"/>
      <c r="G1" s="3233"/>
      <c r="H1" s="3233"/>
      <c r="I1" s="3233"/>
      <c r="J1" s="3233"/>
      <c r="K1" s="3233"/>
      <c r="L1" s="3233"/>
      <c r="M1" s="3233"/>
    </row>
    <row r="2" spans="1:13" ht="27" customHeight="1">
      <c r="A2" s="3232"/>
      <c r="B2" s="3232"/>
      <c r="C2" s="3232"/>
      <c r="D2" s="3233"/>
      <c r="E2" s="3233" t="s">
        <v>37</v>
      </c>
      <c r="F2" s="3233" t="s">
        <v>38</v>
      </c>
      <c r="G2" s="3233"/>
      <c r="H2" s="3233"/>
      <c r="I2" s="3233"/>
      <c r="J2" s="3233" t="s">
        <v>39</v>
      </c>
      <c r="K2" s="3233"/>
      <c r="L2" s="3233"/>
      <c r="M2" s="3233"/>
    </row>
    <row r="3" spans="1:13" ht="28.5">
      <c r="A3" s="3232"/>
      <c r="B3" s="3232"/>
      <c r="C3" s="3232"/>
      <c r="D3" s="3233"/>
      <c r="E3" s="32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3" t="s">
        <v>55</v>
      </c>
      <c r="B9" s="3233"/>
      <c r="C9" s="32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 sqref="P8"/>
    </sheetView>
  </sheetViews>
  <sheetFormatPr defaultColWidth="8.875" defaultRowHeight="13.5"/>
  <sheetData/>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26" sqref="E26"/>
    </sheetView>
  </sheetViews>
  <sheetFormatPr defaultColWidth="8.875" defaultRowHeight="13.5"/>
  <cols>
    <col min="2" max="6" width="11.625" customWidth="1"/>
  </cols>
  <sheetData>
    <row r="1" spans="1:6" ht="14.25" thickBot="1">
      <c r="B1" s="2952" t="s">
        <v>3054</v>
      </c>
      <c r="C1" s="2952" t="s">
        <v>3055</v>
      </c>
      <c r="D1" s="2952" t="s">
        <v>3056</v>
      </c>
      <c r="E1" s="2952" t="s">
        <v>3057</v>
      </c>
      <c r="F1" s="2952"/>
    </row>
    <row r="2" spans="1:6">
      <c r="A2">
        <v>-1</v>
      </c>
      <c r="B2" s="2954">
        <v>32618.32</v>
      </c>
      <c r="C2">
        <v>115386.06</v>
      </c>
      <c r="D2">
        <f>58.38+9.59+1778.14+1209.16+955.17+131.33+248.2+218.24+940.9+61.77+50.33+18+56.04+48.37+41.18+92.01+34.03+8.64+27.8+28.8+201.93+134.64+120.94+627.96</f>
        <v>7101.5500000000011</v>
      </c>
      <c r="E2">
        <v>571.98</v>
      </c>
      <c r="F2">
        <f>29.68+321.45</f>
        <v>351.13</v>
      </c>
    </row>
    <row r="3" spans="1:6" ht="14.25" thickBot="1">
      <c r="A3">
        <v>-2</v>
      </c>
      <c r="B3" s="2955"/>
    </row>
    <row r="4" spans="1:6">
      <c r="A4">
        <v>-3</v>
      </c>
      <c r="C4" s="2954"/>
    </row>
    <row r="5" spans="1:6">
      <c r="A5">
        <v>-4</v>
      </c>
      <c r="C5" s="2956"/>
    </row>
    <row r="6" spans="1:6">
      <c r="A6">
        <v>-5</v>
      </c>
      <c r="C6" s="2956"/>
    </row>
    <row r="7" spans="1:6" ht="14.25" thickBot="1">
      <c r="A7">
        <v>-6</v>
      </c>
      <c r="C7" s="2956"/>
    </row>
    <row r="8" spans="1:6" ht="14.25" thickBot="1">
      <c r="A8">
        <v>-7</v>
      </c>
      <c r="C8" s="2955"/>
      <c r="E8" s="2957"/>
    </row>
    <row r="9" spans="1:6">
      <c r="B9" s="2953">
        <f>SUM(B2:B8)</f>
        <v>32618.32</v>
      </c>
      <c r="C9" s="2953">
        <f t="shared" ref="C9:E9" si="0">SUM(C2:C8)</f>
        <v>115386.06</v>
      </c>
      <c r="D9" s="2953">
        <f t="shared" si="0"/>
        <v>7101.5500000000011</v>
      </c>
      <c r="E9" s="2953">
        <f t="shared" si="0"/>
        <v>571.98</v>
      </c>
      <c r="F9" s="2953">
        <f>SUM(B9:E9)</f>
        <v>155677.91</v>
      </c>
    </row>
    <row r="10" spans="1:6">
      <c r="F10">
        <f>SUM(F2:F9)</f>
        <v>156029.04</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8" sqref="G8"/>
    </sheetView>
  </sheetViews>
  <sheetFormatPr defaultColWidth="8.875" defaultRowHeight="13.5"/>
  <cols>
    <col min="2" max="5" width="10.875" customWidth="1"/>
    <col min="6" max="6" width="11.125" customWidth="1"/>
  </cols>
  <sheetData>
    <row r="1" spans="1:6" ht="14.25" thickBot="1">
      <c r="B1" s="2952" t="s">
        <v>3058</v>
      </c>
      <c r="C1" s="2952" t="s">
        <v>3059</v>
      </c>
      <c r="D1" s="2952" t="s">
        <v>3060</v>
      </c>
      <c r="E1" s="2952" t="s">
        <v>3056</v>
      </c>
    </row>
    <row r="2" spans="1:6">
      <c r="A2">
        <v>1</v>
      </c>
      <c r="B2" s="2954"/>
      <c r="E2">
        <f>559.3+525.06+467.42+525.06+102.02+250.53+23.78+16.82+16.24+17.77+22.58+25.24+65.33+97.33</f>
        <v>2714.48</v>
      </c>
      <c r="F2">
        <f>618.13+649.69+698.75</f>
        <v>1966.5700000000002</v>
      </c>
    </row>
    <row r="3" spans="1:6">
      <c r="A3">
        <v>2</v>
      </c>
      <c r="B3" s="2956"/>
      <c r="E3">
        <v>220.98</v>
      </c>
      <c r="F3">
        <v>86433.57</v>
      </c>
    </row>
    <row r="4" spans="1:6" ht="14.25" thickBot="1">
      <c r="A4">
        <v>3</v>
      </c>
      <c r="B4" s="2956">
        <v>38459.120000000003</v>
      </c>
      <c r="C4">
        <v>6266.93</v>
      </c>
      <c r="D4">
        <f>40689.99+42295.53</f>
        <v>82985.51999999999</v>
      </c>
      <c r="E4">
        <v>771</v>
      </c>
    </row>
    <row r="5" spans="1:6">
      <c r="A5">
        <v>4</v>
      </c>
      <c r="B5" s="2956"/>
      <c r="C5" s="2954"/>
    </row>
    <row r="6" spans="1:6" ht="14.25" thickBot="1">
      <c r="A6">
        <v>5</v>
      </c>
      <c r="B6" s="2955"/>
      <c r="C6" s="2955"/>
    </row>
    <row r="7" spans="1:6">
      <c r="A7">
        <v>6</v>
      </c>
      <c r="B7" s="2953">
        <f>SUM(B2:B6)</f>
        <v>38459.120000000003</v>
      </c>
      <c r="C7" s="2953">
        <f t="shared" ref="C7:E7" si="0">SUM(C2:C6)</f>
        <v>6266.93</v>
      </c>
      <c r="D7" s="2953">
        <f t="shared" si="0"/>
        <v>82985.51999999999</v>
      </c>
      <c r="E7" s="2953">
        <f t="shared" si="0"/>
        <v>3706.46</v>
      </c>
      <c r="F7" s="2953">
        <f>SUM(B7:E7)</f>
        <v>131418.03</v>
      </c>
    </row>
    <row r="8" spans="1:6">
      <c r="A8">
        <v>7</v>
      </c>
      <c r="F8">
        <f>SUM(F2:F7)</f>
        <v>219818.17</v>
      </c>
    </row>
    <row r="9" spans="1:6">
      <c r="A9">
        <v>8</v>
      </c>
    </row>
    <row r="10" spans="1:6">
      <c r="A10">
        <v>9</v>
      </c>
    </row>
    <row r="11" spans="1:6">
      <c r="A11">
        <v>10</v>
      </c>
    </row>
    <row r="12" spans="1:6">
      <c r="A12">
        <v>11</v>
      </c>
    </row>
    <row r="13" spans="1:6">
      <c r="A13">
        <v>12</v>
      </c>
    </row>
    <row r="14" spans="1:6">
      <c r="A14">
        <v>13</v>
      </c>
    </row>
    <row r="15" spans="1:6">
      <c r="A15">
        <v>14</v>
      </c>
    </row>
    <row r="16" spans="1:6">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C43" sqref="C43"/>
    </sheetView>
  </sheetViews>
  <sheetFormatPr defaultColWidth="9.125" defaultRowHeight="14.25"/>
  <cols>
    <col min="1" max="1" width="12.125" style="2215" customWidth="1"/>
    <col min="2" max="2" width="10.1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125" style="2215"/>
  </cols>
  <sheetData>
    <row r="1" spans="1:16" ht="18.75">
      <c r="A1" s="2214" t="s">
        <v>1934</v>
      </c>
      <c r="B1" s="1385"/>
      <c r="C1" s="1385"/>
      <c r="D1" s="1385"/>
      <c r="E1" s="1385"/>
      <c r="F1" s="1385"/>
      <c r="G1" s="1385"/>
      <c r="H1" s="1385"/>
      <c r="I1" s="1385"/>
      <c r="J1" s="1385"/>
      <c r="K1" s="1385"/>
      <c r="L1" s="1385"/>
      <c r="M1" s="1385"/>
      <c r="N1" s="1385"/>
      <c r="O1" s="1385"/>
      <c r="P1" s="1385"/>
    </row>
    <row r="2" spans="1:16" ht="15">
      <c r="A2" s="3243" t="s">
        <v>1935</v>
      </c>
      <c r="B2" s="3243"/>
      <c r="C2" s="3243"/>
      <c r="D2" s="960" t="s">
        <v>1911</v>
      </c>
      <c r="E2" s="2216" t="s">
        <v>1912</v>
      </c>
      <c r="F2" s="1385"/>
      <c r="G2" s="2217"/>
      <c r="H2" s="2218"/>
      <c r="I2" s="2219" t="s">
        <v>1936</v>
      </c>
      <c r="J2" s="1385"/>
      <c r="K2" s="1385"/>
      <c r="L2" s="1385"/>
      <c r="M2" s="1385"/>
      <c r="N2" s="1420"/>
      <c r="O2" s="1385"/>
      <c r="P2" s="1385"/>
    </row>
    <row r="3" spans="1:16" ht="15.75" thickBot="1">
      <c r="A3" s="3244" t="s">
        <v>1909</v>
      </c>
      <c r="B3" s="3244"/>
      <c r="C3" s="3244"/>
      <c r="D3" s="46">
        <f>'数据-基础表'!AY6</f>
        <v>25136</v>
      </c>
      <c r="E3" s="46">
        <f>'数据-基础表'!AZ5</f>
        <v>374875.08999999997</v>
      </c>
      <c r="F3" s="1385"/>
      <c r="G3" s="1392"/>
      <c r="H3" s="1240" t="s">
        <v>1910</v>
      </c>
      <c r="I3" s="55">
        <f>ROUND('数据-基础表'!B3/'数据-基础表'!A3,2)</f>
        <v>14.91</v>
      </c>
      <c r="J3" s="1385"/>
      <c r="K3" s="1385"/>
      <c r="L3" s="1385"/>
      <c r="M3" s="1385"/>
      <c r="N3" s="1420"/>
      <c r="O3" s="1385"/>
      <c r="P3" s="1385"/>
    </row>
    <row r="4" spans="1:16" ht="15">
      <c r="A4" s="3245"/>
      <c r="B4" s="3246"/>
      <c r="C4" s="3247"/>
      <c r="D4" s="2220" t="s">
        <v>1911</v>
      </c>
      <c r="E4" s="2221" t="s">
        <v>1912</v>
      </c>
      <c r="F4" s="1385"/>
      <c r="G4" s="2222" t="s">
        <v>1937</v>
      </c>
      <c r="H4" s="1240" t="s">
        <v>1917</v>
      </c>
      <c r="I4" s="55">
        <f>ROUND(SUMIF('数据-基础表'!I9:AS9,"地上",'数据-基础表'!I5:AS5)/'数据-基础表'!A3,2)</f>
        <v>8.73</v>
      </c>
      <c r="J4" s="1385"/>
      <c r="K4" s="1385"/>
      <c r="L4" s="1385"/>
      <c r="M4" s="1385"/>
      <c r="N4" s="1420"/>
      <c r="O4" s="1385"/>
      <c r="P4" s="1385"/>
    </row>
    <row r="5" spans="1:16">
      <c r="A5" s="47" t="s">
        <v>1913</v>
      </c>
      <c r="B5" s="3248" t="s">
        <v>1914</v>
      </c>
      <c r="C5" s="3248"/>
      <c r="D5" s="48">
        <f>ROUND($D$3*E5/$E$3,2)</f>
        <v>5665.87</v>
      </c>
      <c r="E5" s="49">
        <f>SUMIF('数据-基础表'!$11:$11,"住宅",'数据-基础表'!$5:$5)</f>
        <v>84500</v>
      </c>
      <c r="F5" s="1385"/>
      <c r="G5" s="1392"/>
      <c r="H5" s="1240" t="s">
        <v>1910</v>
      </c>
      <c r="I5" s="55">
        <f>ROUND(E31/D31,2)</f>
        <v>14.91</v>
      </c>
      <c r="J5" s="1385"/>
      <c r="K5" s="1385"/>
      <c r="L5" s="1385"/>
      <c r="M5" s="1385"/>
      <c r="N5" s="1385"/>
      <c r="O5" s="1385"/>
      <c r="P5" s="1385"/>
    </row>
    <row r="6" spans="1:16" ht="15" thickBot="1">
      <c r="A6" s="2223"/>
      <c r="B6" s="3248" t="s">
        <v>1915</v>
      </c>
      <c r="C6" s="3248"/>
      <c r="D6" s="48">
        <f>ROUND($D$3*E6/$E$3,2)</f>
        <v>19470.13</v>
      </c>
      <c r="E6" s="49">
        <f>E3-E5</f>
        <v>290375.08999999997</v>
      </c>
      <c r="F6" s="1385"/>
      <c r="G6" s="2224" t="s">
        <v>1916</v>
      </c>
      <c r="H6" s="1392" t="s">
        <v>1917</v>
      </c>
      <c r="I6" s="932">
        <f>ROUND(F31/D31,2)</f>
        <v>8.73</v>
      </c>
      <c r="J6" s="1385"/>
      <c r="K6" s="1385"/>
      <c r="L6" s="1385"/>
      <c r="M6" s="1385"/>
      <c r="N6" s="1385"/>
      <c r="O6" s="1385"/>
      <c r="P6" s="1385"/>
    </row>
    <row r="7" spans="1:16" ht="15">
      <c r="A7" s="3240"/>
      <c r="B7" s="3241"/>
      <c r="C7" s="3242"/>
      <c r="D7" s="2220" t="s">
        <v>1911</v>
      </c>
      <c r="E7" s="2225" t="s">
        <v>1918</v>
      </c>
      <c r="F7" s="1385"/>
      <c r="G7" s="2217" t="s">
        <v>1919</v>
      </c>
      <c r="H7" s="64"/>
      <c r="I7" s="416"/>
      <c r="J7" s="1385"/>
      <c r="K7" s="1385"/>
      <c r="L7" s="1385"/>
      <c r="M7" s="1385"/>
      <c r="N7" s="1385"/>
      <c r="O7" s="1385"/>
      <c r="P7" s="1385"/>
    </row>
    <row r="8" spans="1:16">
      <c r="A8" s="47" t="s">
        <v>1920</v>
      </c>
      <c r="B8" s="50" t="s">
        <v>1921</v>
      </c>
      <c r="C8" s="48" t="s">
        <v>1922</v>
      </c>
      <c r="D8" s="48">
        <f t="shared" ref="D8:D15" si="0">ROUND($D$3*E8/$E$3,2)</f>
        <v>14229.14</v>
      </c>
      <c r="E8" s="51">
        <f>SUMIF('数据-基础表'!BB10:BK10,"地上",'数据-基础表'!BB5:BK5)</f>
        <v>212211.57</v>
      </c>
      <c r="F8" s="1385"/>
      <c r="G8" s="2226"/>
      <c r="H8" s="2226"/>
      <c r="I8" s="1385"/>
      <c r="J8" s="1385"/>
      <c r="K8" s="1385"/>
      <c r="L8" s="1385"/>
      <c r="M8" s="1385"/>
      <c r="N8" s="1385"/>
      <c r="O8" s="1385"/>
      <c r="P8" s="1385"/>
    </row>
    <row r="9" spans="1:16">
      <c r="A9" s="2227"/>
      <c r="B9" s="2228"/>
      <c r="C9" s="48" t="s">
        <v>1923</v>
      </c>
      <c r="D9" s="48">
        <f t="shared" si="0"/>
        <v>0</v>
      </c>
      <c r="E9" s="52">
        <v>0</v>
      </c>
      <c r="F9" s="1385"/>
      <c r="G9" s="2226"/>
      <c r="H9" s="2226"/>
      <c r="I9" s="1385"/>
      <c r="J9" s="1385"/>
      <c r="K9" s="1385"/>
      <c r="L9" s="1385"/>
      <c r="M9" s="1385"/>
      <c r="N9" s="1385"/>
      <c r="O9" s="1385"/>
      <c r="P9" s="1385"/>
    </row>
    <row r="10" spans="1:16">
      <c r="A10" s="2227"/>
      <c r="B10" s="2228"/>
      <c r="C10" s="48" t="s">
        <v>1932</v>
      </c>
      <c r="D10" s="48">
        <f t="shared" si="0"/>
        <v>2187.11</v>
      </c>
      <c r="E10" s="51">
        <f>SUMPRODUCT(('数据-基础表'!BB10:BK10="地下")*('数据-基础表'!BB11:BK11="商业")*('数据-基础表'!BB5:BK5))</f>
        <v>32618.32</v>
      </c>
      <c r="F10" s="1385"/>
      <c r="G10" s="2226"/>
      <c r="H10" s="2226"/>
      <c r="I10" s="1385"/>
      <c r="J10" s="1385"/>
      <c r="K10" s="1385"/>
      <c r="L10" s="1385"/>
      <c r="M10" s="1385"/>
      <c r="N10" s="1385"/>
      <c r="O10" s="1385"/>
      <c r="P10" s="1385"/>
    </row>
    <row r="11" spans="1:16">
      <c r="A11" s="2227"/>
      <c r="B11" s="2228"/>
      <c r="C11" s="48" t="s">
        <v>1924</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1925</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1926</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c r="A14" s="2227"/>
      <c r="B14" s="2228"/>
      <c r="C14" s="48" t="s">
        <v>1938</v>
      </c>
      <c r="D14" s="48">
        <f t="shared" si="0"/>
        <v>7736.83</v>
      </c>
      <c r="E14" s="51">
        <f>SUMPRODUCT(('数据-基础表'!BB10:BK10="地下")*('数据-基础表'!BB11:BK11="车库—商业")*('数据-基础表'!BB5:BK5))</f>
        <v>115386.06</v>
      </c>
      <c r="F14" s="1385"/>
      <c r="G14" s="2226"/>
      <c r="H14" s="2226"/>
      <c r="I14" s="1385"/>
      <c r="J14" s="1385"/>
      <c r="K14" s="1385"/>
      <c r="L14" s="1385"/>
      <c r="M14" s="1385"/>
      <c r="N14" s="1385"/>
      <c r="O14" s="1385"/>
      <c r="P14" s="1385"/>
    </row>
    <row r="15" spans="1:16" ht="15" thickBot="1">
      <c r="A15" s="2227"/>
      <c r="B15" s="2228"/>
      <c r="C15" s="48" t="s">
        <v>1933</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1927</v>
      </c>
      <c r="D16" s="50">
        <f>SUM(D8:D15)</f>
        <v>24153.08</v>
      </c>
      <c r="E16" s="53">
        <f>SUM(E8:E15)</f>
        <v>360215.95</v>
      </c>
      <c r="F16" s="1385"/>
      <c r="G16" s="2226"/>
      <c r="H16" s="2229" t="s">
        <v>1939</v>
      </c>
      <c r="I16" s="2230"/>
      <c r="J16" s="1385"/>
      <c r="K16" s="3237" t="s">
        <v>1939</v>
      </c>
      <c r="L16" s="3238"/>
      <c r="M16" s="3238"/>
      <c r="N16" s="3238"/>
      <c r="O16" s="3238"/>
      <c r="P16" s="3239"/>
    </row>
    <row r="17" spans="1:19" ht="15">
      <c r="A17" s="2231" t="s">
        <v>1940</v>
      </c>
      <c r="B17" s="2232" t="s">
        <v>1941</v>
      </c>
      <c r="C17" s="2233" t="s">
        <v>1942</v>
      </c>
      <c r="D17" s="2234" t="s">
        <v>1930</v>
      </c>
      <c r="E17" s="2235" t="s">
        <v>1931</v>
      </c>
      <c r="F17" s="2236"/>
      <c r="G17" s="2237"/>
      <c r="H17" s="2238" t="s">
        <v>1943</v>
      </c>
      <c r="I17" s="2239" t="s">
        <v>1928</v>
      </c>
      <c r="J17" s="1385"/>
      <c r="K17" s="3234" t="s">
        <v>1944</v>
      </c>
      <c r="L17" s="3235"/>
      <c r="M17" s="3236"/>
      <c r="N17" s="3234" t="s">
        <v>1945</v>
      </c>
      <c r="O17" s="3235"/>
      <c r="P17" s="3236"/>
      <c r="R17" s="2217" t="s">
        <v>1946</v>
      </c>
      <c r="S17" s="64"/>
    </row>
    <row r="18" spans="1:19" ht="15">
      <c r="A18" s="2227"/>
      <c r="B18" s="2240"/>
      <c r="C18" s="2241"/>
      <c r="D18" s="2242"/>
      <c r="E18" s="2243" t="s">
        <v>1947</v>
      </c>
      <c r="F18" s="2244" t="s">
        <v>1948</v>
      </c>
      <c r="G18" s="2245" t="s">
        <v>1949</v>
      </c>
      <c r="H18" s="1255" t="s">
        <v>1950</v>
      </c>
      <c r="I18" s="2246" t="s">
        <v>1951</v>
      </c>
      <c r="J18" s="1385"/>
      <c r="K18" s="1255" t="s">
        <v>1952</v>
      </c>
      <c r="L18" s="2247" t="s">
        <v>1953</v>
      </c>
      <c r="M18" s="1039" t="s">
        <v>1954</v>
      </c>
      <c r="N18" s="1255" t="s">
        <v>1952</v>
      </c>
      <c r="O18" s="2247" t="s">
        <v>1953</v>
      </c>
      <c r="P18" s="1039" t="s">
        <v>1954</v>
      </c>
      <c r="R18" s="1240" t="s">
        <v>1955</v>
      </c>
      <c r="S18" s="1240" t="s">
        <v>1956</v>
      </c>
    </row>
    <row r="19" spans="1:19">
      <c r="A19" s="2248"/>
      <c r="B19" s="50" t="s">
        <v>1929</v>
      </c>
      <c r="C19" s="2950" t="s">
        <v>3047</v>
      </c>
      <c r="D19" s="48">
        <f>ROUND($D$3*E19/$E$3,2)</f>
        <v>2998.96</v>
      </c>
      <c r="E19" s="56">
        <f t="shared" ref="E19:E26" si="1">SUM(F19:G19)</f>
        <v>44726.05</v>
      </c>
      <c r="F19" s="57">
        <f>'数据-基础表'!I14+'数据-基础表'!M14</f>
        <v>44726.05</v>
      </c>
      <c r="G19" s="58"/>
      <c r="H19" s="719">
        <f>ROUND($D$3*I19/$E$3,2)</f>
        <v>122.04</v>
      </c>
      <c r="I19" s="51">
        <f t="shared" ref="I19:I26" si="2">IF($I$17="自定义",P19,M19)</f>
        <v>1820.15</v>
      </c>
      <c r="J19" s="1385"/>
      <c r="K19" s="1384">
        <f t="shared" ref="K19:K26" si="3">ROUND(E$28*E19/E$27,2)</f>
        <v>1820.15</v>
      </c>
      <c r="L19" s="1240">
        <f t="shared" ref="L19:L26" si="4">ROUND(IF(COUNTIF(C19,"*住宅*")&gt;0,E$29*E19/E$32,0),2)</f>
        <v>0</v>
      </c>
      <c r="M19" s="1396">
        <f>K19+L19</f>
        <v>1820.15</v>
      </c>
      <c r="N19" s="2249"/>
      <c r="O19" s="2250"/>
      <c r="P19" s="1396">
        <f>N19+O19</f>
        <v>0</v>
      </c>
      <c r="R19" s="1240">
        <f t="shared" ref="R19:S26" si="5">D19+H19</f>
        <v>3121</v>
      </c>
      <c r="S19" s="1241">
        <f t="shared" si="5"/>
        <v>46546.200000000004</v>
      </c>
    </row>
    <row r="20" spans="1:19">
      <c r="A20" s="2251"/>
      <c r="B20" s="50" t="s">
        <v>1957</v>
      </c>
      <c r="C20" s="2950" t="s">
        <v>3048</v>
      </c>
      <c r="D20" s="48">
        <f t="shared" ref="D20:D26" si="6">ROUND($D$3*E20/$E$3,2)</f>
        <v>2187.11</v>
      </c>
      <c r="E20" s="56">
        <f t="shared" si="1"/>
        <v>32618.32</v>
      </c>
      <c r="F20" s="57"/>
      <c r="G20" s="58">
        <f>'数据-基础表'!K14</f>
        <v>32618.32</v>
      </c>
      <c r="H20" s="719">
        <f t="shared" ref="H20:H26" si="7">ROUND($D$3*I20/$E$3,2)</f>
        <v>89.01</v>
      </c>
      <c r="I20" s="51">
        <f t="shared" si="2"/>
        <v>1327.42</v>
      </c>
      <c r="J20" s="1385"/>
      <c r="K20" s="1384">
        <f t="shared" si="3"/>
        <v>1327.42</v>
      </c>
      <c r="L20" s="1240">
        <f t="shared" si="4"/>
        <v>0</v>
      </c>
      <c r="M20" s="1396">
        <f t="shared" ref="M20:M26" si="8">K20+L20</f>
        <v>1327.42</v>
      </c>
      <c r="N20" s="2249"/>
      <c r="O20" s="2250"/>
      <c r="P20" s="1396">
        <f t="shared" ref="P20:P26" si="9">N20+O20</f>
        <v>0</v>
      </c>
      <c r="R20" s="1240">
        <f t="shared" si="5"/>
        <v>2276.1200000000003</v>
      </c>
      <c r="S20" s="1241">
        <f t="shared" si="5"/>
        <v>33945.74</v>
      </c>
    </row>
    <row r="21" spans="1:19">
      <c r="A21" s="2251"/>
      <c r="B21" s="50" t="s">
        <v>1957</v>
      </c>
      <c r="C21" s="2950" t="s">
        <v>3049</v>
      </c>
      <c r="D21" s="48">
        <f t="shared" si="6"/>
        <v>5564.32</v>
      </c>
      <c r="E21" s="56">
        <f t="shared" si="1"/>
        <v>82985.51999999999</v>
      </c>
      <c r="F21" s="57">
        <f>'数据-基础表'!O14</f>
        <v>82985.51999999999</v>
      </c>
      <c r="G21" s="58"/>
      <c r="H21" s="719">
        <f t="shared" si="7"/>
        <v>226.44</v>
      </c>
      <c r="I21" s="51">
        <f t="shared" si="2"/>
        <v>3377.13</v>
      </c>
      <c r="J21" s="1385"/>
      <c r="K21" s="1384">
        <f t="shared" si="3"/>
        <v>3377.13</v>
      </c>
      <c r="L21" s="1240">
        <f t="shared" si="4"/>
        <v>0</v>
      </c>
      <c r="M21" s="1396">
        <f t="shared" si="8"/>
        <v>3377.13</v>
      </c>
      <c r="N21" s="2249"/>
      <c r="O21" s="2250"/>
      <c r="P21" s="1396">
        <f t="shared" si="9"/>
        <v>0</v>
      </c>
      <c r="R21" s="1240">
        <f t="shared" si="5"/>
        <v>5790.7599999999993</v>
      </c>
      <c r="S21" s="1241">
        <f t="shared" si="5"/>
        <v>86362.65</v>
      </c>
    </row>
    <row r="22" spans="1:19">
      <c r="A22" s="2251"/>
      <c r="B22" s="50" t="s">
        <v>1957</v>
      </c>
      <c r="C22" s="2951" t="s">
        <v>3046</v>
      </c>
      <c r="D22" s="48">
        <f t="shared" si="6"/>
        <v>5665.87</v>
      </c>
      <c r="E22" s="56">
        <f t="shared" si="1"/>
        <v>84500</v>
      </c>
      <c r="F22" s="61">
        <f>'数据-基础表'!Q14</f>
        <v>84500</v>
      </c>
      <c r="G22" s="62"/>
      <c r="H22" s="719">
        <f t="shared" si="7"/>
        <v>230.57</v>
      </c>
      <c r="I22" s="51">
        <f t="shared" si="2"/>
        <v>3438.76</v>
      </c>
      <c r="J22" s="1385"/>
      <c r="K22" s="1384">
        <f t="shared" si="3"/>
        <v>3438.76</v>
      </c>
      <c r="L22" s="1240">
        <f t="shared" si="4"/>
        <v>0</v>
      </c>
      <c r="M22" s="1396">
        <f t="shared" si="8"/>
        <v>3438.76</v>
      </c>
      <c r="N22" s="2249"/>
      <c r="O22" s="2250"/>
      <c r="P22" s="1396">
        <f t="shared" si="9"/>
        <v>0</v>
      </c>
      <c r="R22" s="1240">
        <f t="shared" si="5"/>
        <v>5896.44</v>
      </c>
      <c r="S22" s="1241">
        <f t="shared" si="5"/>
        <v>87938.76</v>
      </c>
    </row>
    <row r="23" spans="1:19">
      <c r="A23" s="2251"/>
      <c r="B23" s="50" t="s">
        <v>1957</v>
      </c>
      <c r="C23" s="2951" t="s">
        <v>3050</v>
      </c>
      <c r="D23" s="48">
        <f>ROUND($D$3*E23/$E$3,2)</f>
        <v>7736.83</v>
      </c>
      <c r="E23" s="56">
        <f>SUM(F23:G23)</f>
        <v>115386.06</v>
      </c>
      <c r="F23" s="61"/>
      <c r="G23" s="62">
        <f>'数据-基础表'!S14</f>
        <v>115386.06</v>
      </c>
      <c r="H23" s="719">
        <f>ROUND($D$3*I23/$E$3,2)</f>
        <v>314.85000000000002</v>
      </c>
      <c r="I23" s="51">
        <f t="shared" si="2"/>
        <v>4695.68</v>
      </c>
      <c r="J23" s="1385"/>
      <c r="K23" s="1384">
        <f t="shared" si="3"/>
        <v>4695.68</v>
      </c>
      <c r="L23" s="1240">
        <f t="shared" si="4"/>
        <v>0</v>
      </c>
      <c r="M23" s="1396">
        <f t="shared" si="8"/>
        <v>4695.68</v>
      </c>
      <c r="N23" s="2249"/>
      <c r="O23" s="2250"/>
      <c r="P23" s="1396">
        <f t="shared" si="9"/>
        <v>0</v>
      </c>
      <c r="R23" s="1240">
        <f t="shared" si="5"/>
        <v>8051.68</v>
      </c>
      <c r="S23" s="1241">
        <f t="shared" si="5"/>
        <v>120081.73999999999</v>
      </c>
    </row>
    <row r="24" spans="1:19">
      <c r="A24" s="2251"/>
      <c r="B24" s="50" t="s">
        <v>1957</v>
      </c>
      <c r="C24" s="60"/>
      <c r="D24" s="48">
        <f>ROUND($D$3*E24/$E$3,2)</f>
        <v>0</v>
      </c>
      <c r="E24" s="56">
        <f>SUM(F24:G24)</f>
        <v>0</v>
      </c>
      <c r="F24" s="61"/>
      <c r="G24" s="62"/>
      <c r="H24" s="719">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c r="A25" s="2251"/>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c r="A26" s="2251"/>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75" thickBot="1">
      <c r="A27" s="2251"/>
      <c r="B27" s="48"/>
      <c r="C27" s="2254" t="s">
        <v>1958</v>
      </c>
      <c r="D27" s="1386">
        <f>SUM(D19:D26)</f>
        <v>24153.089999999997</v>
      </c>
      <c r="E27" s="1387">
        <f>IF(SUM(E19:E26)='数据-基础表'!BA5,SUM(E19:E26),IF(F27="地上面积有误","面积有误","地下面积有误"))</f>
        <v>360215.94999999995</v>
      </c>
      <c r="F27" s="1386">
        <f>IF(SUM(F19:F26)=E8,SUM(F19:F26),"地上面积有误")</f>
        <v>212211.57</v>
      </c>
      <c r="G27" s="1388">
        <f>SUM(G19:G26)</f>
        <v>148004.38</v>
      </c>
      <c r="H27" s="1389">
        <f>SUM(H19:H26)</f>
        <v>982.91</v>
      </c>
      <c r="I27" s="1390">
        <f>SUM(I19:I26)</f>
        <v>14659.140000000001</v>
      </c>
      <c r="J27" s="1385"/>
      <c r="K27" s="1393">
        <f>SUM(K19:K26)</f>
        <v>14659.140000000001</v>
      </c>
      <c r="L27" s="1394">
        <f>SUM(L19:L26)</f>
        <v>0</v>
      </c>
      <c r="M27" s="1397">
        <f>SUM(M19:M26)</f>
        <v>14659.140000000001</v>
      </c>
      <c r="N27" s="1393">
        <f t="shared" ref="N27:O27" si="10">SUM(N19:N26)</f>
        <v>0</v>
      </c>
      <c r="O27" s="1394">
        <f t="shared" si="10"/>
        <v>0</v>
      </c>
      <c r="P27" s="1395">
        <f>SUM(P19:P26)</f>
        <v>0</v>
      </c>
      <c r="R27" s="1242">
        <f>IF(SUM(R19:R26)=$D$3,SUM(R19:R26),SUM(R19:R26)&amp;"误差"&amp;ROUND(SUM(R19:R26)-$D$3,2))</f>
        <v>25136</v>
      </c>
      <c r="S27" s="1240">
        <f>IF(SUM(S19:S26)=$E$3,SUM(S19:S26),SUM(S19:S26)&amp;"误差"&amp;ROUND(SUM(S19:S26)-E3,2))</f>
        <v>374875.08999999997</v>
      </c>
    </row>
    <row r="28" spans="1:19">
      <c r="A28" s="2251"/>
      <c r="B28" s="50" t="s">
        <v>1959</v>
      </c>
      <c r="C28" s="1252" t="s">
        <v>1960</v>
      </c>
      <c r="D28" s="48">
        <f>ROUND($D$3*E28/$E$3,2)</f>
        <v>982.92</v>
      </c>
      <c r="E28" s="56">
        <f>SUM(F28:G28)</f>
        <v>14659.140000000007</v>
      </c>
      <c r="F28" s="64">
        <f>'数据-基础表'!BQ5+'数据-基础表'!BS5</f>
        <v>7206.4600000000064</v>
      </c>
      <c r="G28" s="65">
        <f>'数据-基础表'!BR5+'数据-基础表'!BT5</f>
        <v>7452.6800000000012</v>
      </c>
      <c r="H28" s="1385"/>
      <c r="I28" s="1385"/>
      <c r="J28" s="1385"/>
      <c r="K28" s="1385"/>
      <c r="L28" s="1385"/>
      <c r="M28" s="1385"/>
      <c r="N28" s="1385"/>
      <c r="O28" s="1385"/>
      <c r="P28" s="1385"/>
    </row>
    <row r="29" spans="1:19">
      <c r="A29" s="2251"/>
      <c r="B29" s="50" t="s">
        <v>1959</v>
      </c>
      <c r="C29" s="2255"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1"/>
      <c r="B30" s="50"/>
      <c r="C30" s="2256" t="s">
        <v>1958</v>
      </c>
      <c r="D30" s="1386">
        <f>SUM(D28:D29)</f>
        <v>982.92</v>
      </c>
      <c r="E30" s="1386">
        <f>SUM(E28:E29)</f>
        <v>14659.140000000007</v>
      </c>
      <c r="F30" s="1386">
        <f>SUM(F28:F29)</f>
        <v>7206.4600000000064</v>
      </c>
      <c r="G30" s="1388">
        <f>SUM(G28:G29)</f>
        <v>7452.6800000000012</v>
      </c>
      <c r="H30" s="1385"/>
      <c r="I30" s="1385"/>
      <c r="J30" s="1385"/>
      <c r="K30" s="1385"/>
      <c r="L30" s="1385"/>
      <c r="M30" s="1385"/>
      <c r="N30" s="1385"/>
      <c r="O30" s="1385"/>
      <c r="P30" s="1385"/>
    </row>
    <row r="31" spans="1:19" ht="15.75" thickBot="1">
      <c r="A31" s="2257"/>
      <c r="B31" s="2258"/>
      <c r="C31" s="1000" t="s">
        <v>1962</v>
      </c>
      <c r="D31" s="725">
        <f>D27+D30</f>
        <v>25136.009999999995</v>
      </c>
      <c r="E31" s="725">
        <f>E27+E30</f>
        <v>374875.08999999997</v>
      </c>
      <c r="F31" s="726">
        <f>F27+F30</f>
        <v>219418.03000000003</v>
      </c>
      <c r="G31" s="727">
        <f>G27+G30</f>
        <v>155457.06</v>
      </c>
      <c r="H31" s="1385"/>
      <c r="I31" s="1385"/>
      <c r="J31" s="1385"/>
      <c r="K31" s="1385"/>
      <c r="L31" s="1385"/>
      <c r="M31" s="1385"/>
      <c r="N31" s="1385"/>
      <c r="O31" s="1385"/>
      <c r="P31" s="1385"/>
    </row>
    <row r="32" spans="1:19">
      <c r="A32" s="2222"/>
      <c r="B32" s="2222" t="s">
        <v>1963</v>
      </c>
      <c r="C32" s="2222"/>
      <c r="D32" s="2222"/>
      <c r="E32" s="1267">
        <f>SUMIF(C19:C26,"*住宅*",E19:E26)</f>
        <v>84500</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K6" activePane="bottomRight" state="frozen"/>
      <selection activeCell="C50" sqref="C50"/>
      <selection pane="topRight" activeCell="C50" sqref="C50"/>
      <selection pane="bottomLeft" activeCell="C50" sqref="C50"/>
      <selection pane="bottomRight" activeCell="N16" sqref="N16"/>
    </sheetView>
  </sheetViews>
  <sheetFormatPr defaultColWidth="13.625" defaultRowHeight="12.75"/>
  <cols>
    <col min="1" max="1" width="20.875" style="2333" customWidth="1"/>
    <col min="2" max="2" width="12" style="2263" customWidth="1"/>
    <col min="3" max="3" width="10.62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625" style="2263" customWidth="1"/>
    <col min="31" max="31" width="8" style="2263" customWidth="1"/>
    <col min="32" max="34" width="7.125" style="2263" customWidth="1"/>
    <col min="35" max="39" width="8" style="2263" customWidth="1"/>
    <col min="40" max="40" width="13.625" style="2262"/>
    <col min="41" max="41" width="11.625" style="2262" customWidth="1"/>
    <col min="42" max="42" width="9.625" style="2262" customWidth="1"/>
    <col min="43" max="67" width="13.625" style="2262"/>
    <col min="68" max="16384" width="13.625" style="2263"/>
  </cols>
  <sheetData>
    <row r="1" spans="1:67" ht="19.5" thickBot="1">
      <c r="A1" s="2260" t="s">
        <v>1964</v>
      </c>
      <c r="B1" s="728"/>
      <c r="C1" s="1573"/>
      <c r="D1" s="2261"/>
      <c r="E1" s="1573"/>
      <c r="F1" s="1573"/>
      <c r="G1" s="1573"/>
      <c r="H1" s="1573"/>
      <c r="I1" s="1573"/>
      <c r="J1" s="1573"/>
      <c r="K1" s="164"/>
      <c r="L1" s="164"/>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4" t="s">
        <v>1965</v>
      </c>
      <c r="B2" s="1259">
        <f>项目基本情况!D3</f>
        <v>43332</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5"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1966</v>
      </c>
      <c r="B4" s="2269"/>
      <c r="C4" s="2270"/>
      <c r="D4" s="2271"/>
      <c r="E4" s="2270" t="s">
        <v>1967</v>
      </c>
      <c r="F4" s="2270"/>
      <c r="G4" s="2270"/>
      <c r="H4" s="2270"/>
      <c r="I4" s="2270"/>
      <c r="J4" s="2272"/>
      <c r="K4" s="2273"/>
      <c r="L4" s="2274"/>
      <c r="M4" s="2270"/>
      <c r="N4" s="2270" t="s">
        <v>1968</v>
      </c>
      <c r="O4" s="2270"/>
      <c r="P4" s="2270"/>
      <c r="Q4" s="2270"/>
      <c r="R4" s="2270"/>
      <c r="S4" s="2272"/>
      <c r="T4" s="2275" t="str">
        <f>'数据-汇总表'!I17</f>
        <v>按面积比例</v>
      </c>
      <c r="U4" s="2269" t="s">
        <v>1969</v>
      </c>
      <c r="V4" s="2270"/>
      <c r="W4" s="2270"/>
      <c r="X4" s="2270"/>
      <c r="Y4" s="2272"/>
      <c r="Z4" s="2233" t="s">
        <v>1970</v>
      </c>
      <c r="AA4" s="2233"/>
      <c r="AB4" s="2233"/>
      <c r="AC4" s="2233"/>
      <c r="AD4" s="2233"/>
      <c r="AE4" s="2231" t="s">
        <v>1971</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42">
      <c r="A5" s="2277" t="s">
        <v>1972</v>
      </c>
      <c r="B5" s="2278" t="s">
        <v>1973</v>
      </c>
      <c r="C5" s="2279" t="s">
        <v>1974</v>
      </c>
      <c r="D5" s="2280" t="s">
        <v>1975</v>
      </c>
      <c r="E5" s="1261" t="s">
        <v>1976</v>
      </c>
      <c r="F5" s="2281" t="s">
        <v>1977</v>
      </c>
      <c r="G5" s="1261" t="s">
        <v>1978</v>
      </c>
      <c r="H5" s="1261" t="s">
        <v>1979</v>
      </c>
      <c r="I5" s="1261" t="s">
        <v>1980</v>
      </c>
      <c r="J5" s="2282" t="s">
        <v>1981</v>
      </c>
      <c r="K5" s="2283" t="s">
        <v>1982</v>
      </c>
      <c r="L5" s="2284" t="s">
        <v>1983</v>
      </c>
      <c r="M5" s="2285" t="s">
        <v>1984</v>
      </c>
      <c r="N5" s="2286" t="s">
        <v>1985</v>
      </c>
      <c r="O5" s="2284" t="s">
        <v>1986</v>
      </c>
      <c r="P5" s="2287" t="s">
        <v>1987</v>
      </c>
      <c r="Q5" s="69" t="s">
        <v>1988</v>
      </c>
      <c r="R5" s="2288" t="s">
        <v>1989</v>
      </c>
      <c r="S5" s="2289" t="s">
        <v>1990</v>
      </c>
      <c r="T5" s="2290" t="s">
        <v>1991</v>
      </c>
      <c r="U5" s="1260" t="s">
        <v>1992</v>
      </c>
      <c r="V5" s="1261" t="s">
        <v>1993</v>
      </c>
      <c r="W5" s="1261" t="s">
        <v>1994</v>
      </c>
      <c r="X5" s="71"/>
      <c r="Y5" s="70" t="s">
        <v>1995</v>
      </c>
      <c r="Z5" s="2291" t="s">
        <v>1992</v>
      </c>
      <c r="AA5" s="1261" t="s">
        <v>1993</v>
      </c>
      <c r="AB5" s="1261" t="s">
        <v>1994</v>
      </c>
      <c r="AC5" s="71"/>
      <c r="AD5" s="71" t="s">
        <v>1995</v>
      </c>
      <c r="AE5" s="1260" t="s">
        <v>1996</v>
      </c>
      <c r="AF5" s="1261" t="s">
        <v>1997</v>
      </c>
      <c r="AG5" s="70" t="s">
        <v>1998</v>
      </c>
      <c r="AH5" s="1260" t="s">
        <v>1999</v>
      </c>
      <c r="AI5" s="2291" t="s">
        <v>2000</v>
      </c>
      <c r="AJ5" s="2291" t="s">
        <v>2001</v>
      </c>
      <c r="AK5" s="1261" t="s">
        <v>2002</v>
      </c>
      <c r="AL5" s="1261" t="s">
        <v>2003</v>
      </c>
      <c r="AM5" s="70" t="s">
        <v>2004</v>
      </c>
      <c r="AN5" s="2292" t="s">
        <v>2005</v>
      </c>
      <c r="AO5" s="2063" t="s">
        <v>2006</v>
      </c>
      <c r="AP5" s="1242" t="s">
        <v>2007</v>
      </c>
      <c r="AQ5" s="2293" t="s">
        <v>2008</v>
      </c>
      <c r="AR5" s="2293" t="s">
        <v>2009</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4.25">
      <c r="A6" s="2294" t="str">
        <f>'数据-汇总表'!C19</f>
        <v>地上商业</v>
      </c>
      <c r="B6" s="2295" t="str">
        <f>IF(A6=0,"","经营性")</f>
        <v>经营性</v>
      </c>
      <c r="C6" s="2296" t="s">
        <v>1377</v>
      </c>
      <c r="D6" s="1044">
        <f>SUMIF(项目基本情况!D$12:I$12,C6,项目基本情况!D$14:I$14)</f>
        <v>40</v>
      </c>
      <c r="E6" s="1041">
        <f>IF(B6="","",SUMIF(项目基本情况!D$12:I$12,C6,项目基本情况!D$13:I$13))</f>
        <v>55395</v>
      </c>
      <c r="F6" s="72">
        <f>SUMIF(项目基本情况!D$12:I$12,C6,项目基本情况!D$15:I$15)</f>
        <v>33.04</v>
      </c>
      <c r="G6" s="73">
        <f>IF(ISERROR(ROUND(POWER(1+H6,D6-F6)*(POWER(1+H6,F6)-1)/(POWER(1+H6,D6)-1),3)),0,ROUND(POWER(1+H6,D6-F6)*(POWER(1+H6,F6)-1)/(POWER(1+H6,D6)-1),3))</f>
        <v>0.93300000000000005</v>
      </c>
      <c r="H6" s="798">
        <v>0.05</v>
      </c>
      <c r="I6" s="798">
        <v>0.06</v>
      </c>
      <c r="J6" s="74">
        <v>0.08</v>
      </c>
      <c r="K6" s="1244">
        <f>SUMIF('数据-汇总表'!C$19:C$33,A6,'数据-汇总表'!E$19:E$33)</f>
        <v>44726.05</v>
      </c>
      <c r="L6" s="799">
        <v>5000</v>
      </c>
      <c r="M6" s="75">
        <f t="shared" ref="M6:M14" si="0">ROUND(K6*L6/10000,0)</f>
        <v>22363</v>
      </c>
      <c r="N6" s="797">
        <v>0.6</v>
      </c>
      <c r="O6" s="75">
        <f>IF($N$5="成新度","——",ROUND(M6*N6,0))</f>
        <v>13418</v>
      </c>
      <c r="P6" s="76">
        <f>IF($N$5="成新度","——",M6-O6)</f>
        <v>8945</v>
      </c>
      <c r="Q6" s="800">
        <v>0.25</v>
      </c>
      <c r="R6" s="77">
        <f ca="1">SUMIF('数据-汇总表'!C$19:C$33,A6,'数据-汇总表'!R$19:R$27)</f>
        <v>3121</v>
      </c>
      <c r="S6" s="54">
        <f>IF('数据-汇总表'!$I$17="按面积比例",SUMIF('数据-汇总表'!C$19:C$33,A6,'数据-汇总表'!K$19:K$33),SUMIF('数据-汇总表'!C$19:C$33,A6,'数据-汇总表'!N$19:N$33))</f>
        <v>1820.15</v>
      </c>
      <c r="T6" s="1436">
        <f>ROUND($L$14*S6/10000,0)</f>
        <v>728</v>
      </c>
      <c r="U6" s="81">
        <v>6</v>
      </c>
      <c r="V6" s="74">
        <v>0.03</v>
      </c>
      <c r="W6" s="74">
        <v>0.1</v>
      </c>
      <c r="X6" s="1254"/>
      <c r="Y6" s="82">
        <v>1</v>
      </c>
      <c r="Z6" s="81"/>
      <c r="AA6" s="74"/>
      <c r="AB6" s="74"/>
      <c r="AC6" s="1254"/>
      <c r="AD6" s="82"/>
      <c r="AE6" s="1255">
        <f ca="1">IF(AN6="",0,SUMIF(INDIRECT("'"&amp;AN6&amp;"'"&amp;"!E:E"),$AE$5,INDIRECT("'"&amp;AN6&amp;"'"&amp;"!F:F")))</f>
        <v>31.54</v>
      </c>
      <c r="AF6" s="1796"/>
      <c r="AG6" s="144">
        <f>IF(AF6="",0,AE6-AF6)</f>
        <v>0</v>
      </c>
      <c r="AH6" s="83"/>
      <c r="AI6" s="85">
        <v>365</v>
      </c>
      <c r="AJ6" s="86"/>
      <c r="AK6" s="87">
        <v>0.01</v>
      </c>
      <c r="AL6" s="88">
        <v>1E-3</v>
      </c>
      <c r="AM6" s="3154">
        <v>0.01</v>
      </c>
      <c r="AN6" s="2297" t="s">
        <v>3083</v>
      </c>
      <c r="AO6" s="55">
        <f ca="1">SUMIF(INDIRECT("'"&amp;AN6&amp;"'"&amp;"!A:A"),"总价",INDIRECT("'"&amp;AN6&amp;"'"&amp;"!B:B"))</f>
        <v>134442</v>
      </c>
      <c r="AP6" s="2298">
        <f>IF(C6="住宅",K6*L6,0)</f>
        <v>0</v>
      </c>
      <c r="AQ6" s="55">
        <f>ROUND($L$14*$N$14*S6/10000,0)</f>
        <v>437</v>
      </c>
      <c r="AR6" s="55">
        <f>ROUND($L$14*(1-$N$14)*S6/10000,0)</f>
        <v>291</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4.25">
      <c r="A7" s="2294" t="str">
        <f>'数据-汇总表'!C20</f>
        <v>地下商业</v>
      </c>
      <c r="B7" s="2295" t="str">
        <f t="shared" ref="B7:B13" si="1">IF(A7=0,"","经营性")</f>
        <v>经营性</v>
      </c>
      <c r="C7" s="2296" t="s">
        <v>1377</v>
      </c>
      <c r="D7" s="1044">
        <f>SUMIF(项目基本情况!D$12:I$12,C7,项目基本情况!D$14:I$14)</f>
        <v>40</v>
      </c>
      <c r="E7" s="1041">
        <f>IF(B7="","",SUMIF(项目基本情况!D$12:I$12,C7,项目基本情况!D$13:I$13))</f>
        <v>55395</v>
      </c>
      <c r="F7" s="72">
        <f>SUMIF(项目基本情况!D$12:I$12,C7,项目基本情况!D$15:I$15)</f>
        <v>33.04</v>
      </c>
      <c r="G7" s="73">
        <f t="shared" ref="G7:G11" si="2">IF(ISERROR(ROUND(POWER(1+H7,D7-F7)*(POWER(1+H7,F7)-1)/(POWER(1+H7,D7)-1),3)),0,ROUND(POWER(1+H7,D7-F7)*(POWER(1+H7,F7)-1)/(POWER(1+H7,D7)-1),3))</f>
        <v>0.93300000000000005</v>
      </c>
      <c r="H7" s="798">
        <v>0.05</v>
      </c>
      <c r="I7" s="798">
        <v>0.06</v>
      </c>
      <c r="J7" s="74">
        <v>8.5000000000000006E-2</v>
      </c>
      <c r="K7" s="1244">
        <f>SUMIF('数据-汇总表'!C$19:C$33,A7,'数据-汇总表'!E$19:E$33)</f>
        <v>32618.32</v>
      </c>
      <c r="L7" s="799">
        <v>5000</v>
      </c>
      <c r="M7" s="75">
        <f t="shared" si="0"/>
        <v>16309</v>
      </c>
      <c r="N7" s="797">
        <v>0.6</v>
      </c>
      <c r="O7" s="75">
        <f t="shared" ref="O7:O14" si="3">IF($N$5="成新度","——",ROUND(M7*N7,0))</f>
        <v>9785</v>
      </c>
      <c r="P7" s="76">
        <f t="shared" ref="P7:P14" si="4">IF($N$5="成新度","——",M7-O7)</f>
        <v>6524</v>
      </c>
      <c r="Q7" s="800">
        <v>0.25</v>
      </c>
      <c r="R7" s="77">
        <f ca="1">SUMIF('数据-汇总表'!C$19:C$33,A7,'数据-汇总表'!R$19:R$27)</f>
        <v>2276.1200000000003</v>
      </c>
      <c r="S7" s="54">
        <f>IF('数据-汇总表'!$I$17="按面积比例",SUMIF('数据-汇总表'!C$19:C$33,A7,'数据-汇总表'!K$19:K$33),SUMIF('数据-汇总表'!C$19:C$33,A7,'数据-汇总表'!N$19:N$33))</f>
        <v>1327.42</v>
      </c>
      <c r="T7" s="1436">
        <f t="shared" ref="T7:T13" si="5">ROUND($L$14*S7/10000,0)</f>
        <v>531</v>
      </c>
      <c r="U7" s="81">
        <v>5</v>
      </c>
      <c r="V7" s="74">
        <v>0.03</v>
      </c>
      <c r="W7" s="74">
        <v>0.1</v>
      </c>
      <c r="X7" s="1254"/>
      <c r="Y7" s="82">
        <v>1</v>
      </c>
      <c r="Z7" s="81"/>
      <c r="AA7" s="74"/>
      <c r="AB7" s="74"/>
      <c r="AC7" s="1254"/>
      <c r="AD7" s="82"/>
      <c r="AE7" s="1255">
        <f t="shared" ref="AE7:AE13" ca="1" si="6">IF(AN7="",0,SUMIF(INDIRECT("'"&amp;AN7&amp;"'"&amp;"!E:E"),$AE$5,INDIRECT("'"&amp;AN7&amp;"'"&amp;"!F:F")))</f>
        <v>31.54</v>
      </c>
      <c r="AF7" s="1796"/>
      <c r="AG7" s="144">
        <f t="shared" ref="AG7:AG13" si="7">IF(AF7="",0,AE7-AF7)</f>
        <v>0</v>
      </c>
      <c r="AH7" s="83"/>
      <c r="AI7" s="85">
        <v>365</v>
      </c>
      <c r="AJ7" s="86"/>
      <c r="AK7" s="87">
        <v>0.01</v>
      </c>
      <c r="AL7" s="88">
        <v>1E-3</v>
      </c>
      <c r="AM7" s="3154">
        <v>0.01</v>
      </c>
      <c r="AN7" s="2297" t="s">
        <v>3084</v>
      </c>
      <c r="AO7" s="55">
        <f t="shared" ref="AO7:AO13" ca="1" si="8">SUMIF(INDIRECT("'"&amp;AN7&amp;"'"&amp;"!A:A"),"总价",INDIRECT("'"&amp;AN7&amp;"'"&amp;"!B:B"))</f>
        <v>80673</v>
      </c>
      <c r="AP7" s="2298">
        <f t="shared" ref="AP7:AP13" si="9">IF(C7="住宅",K7*L7,0)</f>
        <v>0</v>
      </c>
      <c r="AQ7" s="55">
        <f t="shared" ref="AQ7:AQ13" si="10">ROUND($L$14*$N$14*S7/10000,0)</f>
        <v>319</v>
      </c>
      <c r="AR7" s="55">
        <f t="shared" ref="AR7:AR13" si="11">ROUND($L$14*(1-$N$14)*S7/10000,0)</f>
        <v>212</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4.25">
      <c r="A8" s="2294" t="str">
        <f>'数据-汇总表'!C21</f>
        <v>办公</v>
      </c>
      <c r="B8" s="2295" t="str">
        <f t="shared" si="1"/>
        <v>经营性</v>
      </c>
      <c r="C8" s="2296" t="s">
        <v>1377</v>
      </c>
      <c r="D8" s="1044">
        <f>SUMIF(项目基本情况!D$12:I$12,C8,项目基本情况!D$14:I$14)</f>
        <v>40</v>
      </c>
      <c r="E8" s="1041">
        <f>IF(B8="","",SUMIF(项目基本情况!D$12:I$12,C8,项目基本情况!D$13:I$13))</f>
        <v>55395</v>
      </c>
      <c r="F8" s="72">
        <f>SUMIF(项目基本情况!D$12:I$12,C8,项目基本情况!D$15:I$15)</f>
        <v>33.04</v>
      </c>
      <c r="G8" s="73">
        <f t="shared" si="2"/>
        <v>0.93300000000000005</v>
      </c>
      <c r="H8" s="798">
        <v>0.05</v>
      </c>
      <c r="I8" s="798">
        <v>5.5E-2</v>
      </c>
      <c r="J8" s="74">
        <v>8.5000000000000006E-2</v>
      </c>
      <c r="K8" s="1244">
        <f>SUMIF('数据-汇总表'!C$19:C$33,A8,'数据-汇总表'!E$19:E$33)</f>
        <v>82985.51999999999</v>
      </c>
      <c r="L8" s="799">
        <v>4500</v>
      </c>
      <c r="M8" s="75">
        <f>ROUND(K8*L8/10000,0)</f>
        <v>37343</v>
      </c>
      <c r="N8" s="797">
        <v>0.6</v>
      </c>
      <c r="O8" s="75">
        <f t="shared" si="3"/>
        <v>22406</v>
      </c>
      <c r="P8" s="76">
        <f t="shared" si="4"/>
        <v>14937</v>
      </c>
      <c r="Q8" s="800">
        <v>0.2</v>
      </c>
      <c r="R8" s="77">
        <f ca="1">SUMIF('数据-汇总表'!C$19:C$33,A8,'数据-汇总表'!R$19:R$27)</f>
        <v>5790.7599999999993</v>
      </c>
      <c r="S8" s="54">
        <f>IF('数据-汇总表'!$I$17="按面积比例",SUMIF('数据-汇总表'!C$19:C$33,A8,'数据-汇总表'!K$19:K$33),SUMIF('数据-汇总表'!C$19:C$33,A8,'数据-汇总表'!N$19:N$33))</f>
        <v>3377.13</v>
      </c>
      <c r="T8" s="1436">
        <f t="shared" si="5"/>
        <v>1351</v>
      </c>
      <c r="U8" s="81">
        <v>4</v>
      </c>
      <c r="V8" s="74">
        <v>3.5000000000000003E-2</v>
      </c>
      <c r="W8" s="74">
        <v>0.1</v>
      </c>
      <c r="X8" s="1254"/>
      <c r="Y8" s="82">
        <v>1</v>
      </c>
      <c r="Z8" s="81"/>
      <c r="AA8" s="74"/>
      <c r="AB8" s="74"/>
      <c r="AC8" s="1254"/>
      <c r="AD8" s="82"/>
      <c r="AE8" s="1255">
        <f t="shared" ca="1" si="6"/>
        <v>31.54</v>
      </c>
      <c r="AF8" s="1796"/>
      <c r="AG8" s="144">
        <f t="shared" si="7"/>
        <v>0</v>
      </c>
      <c r="AH8" s="801"/>
      <c r="AI8" s="85">
        <v>365</v>
      </c>
      <c r="AJ8" s="86"/>
      <c r="AK8" s="87">
        <v>0.01</v>
      </c>
      <c r="AL8" s="88">
        <v>1E-3</v>
      </c>
      <c r="AM8" s="3154">
        <v>0.01</v>
      </c>
      <c r="AN8" s="2297" t="s">
        <v>4274</v>
      </c>
      <c r="AO8" s="55">
        <f t="shared" ca="1" si="8"/>
        <v>186057</v>
      </c>
      <c r="AP8" s="2298">
        <f t="shared" si="9"/>
        <v>0</v>
      </c>
      <c r="AQ8" s="55">
        <f t="shared" si="10"/>
        <v>811</v>
      </c>
      <c r="AR8" s="55">
        <f t="shared" si="11"/>
        <v>540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4.25">
      <c r="A9" s="2294" t="str">
        <f>'数据-汇总表'!C22</f>
        <v>住宅</v>
      </c>
      <c r="B9" s="2295" t="str">
        <f t="shared" si="1"/>
        <v>经营性</v>
      </c>
      <c r="C9" s="2296" t="s">
        <v>3045</v>
      </c>
      <c r="D9" s="1044">
        <f>SUMIF(项目基本情况!D$12:I$12,C9,项目基本情况!D$14:I$14)</f>
        <v>40</v>
      </c>
      <c r="E9" s="1041">
        <f>IF(B9="","",SUMIF(项目基本情况!D$12:I$12,C9,项目基本情况!D$13:I$13))</f>
        <v>55395</v>
      </c>
      <c r="F9" s="72">
        <f>SUMIF(项目基本情况!D$12:I$12,C9,项目基本情况!D$15:I$15)</f>
        <v>33.04</v>
      </c>
      <c r="G9" s="73">
        <f t="shared" si="2"/>
        <v>0.92600000000000005</v>
      </c>
      <c r="H9" s="74">
        <v>4.4999999999999998E-2</v>
      </c>
      <c r="I9" s="74">
        <v>5.5E-2</v>
      </c>
      <c r="J9" s="74">
        <v>8.5000000000000006E-2</v>
      </c>
      <c r="K9" s="1244">
        <f>SUMIF('数据-汇总表'!C$19:C$33,A9,'数据-汇总表'!E$19:E$33)</f>
        <v>84500</v>
      </c>
      <c r="L9" s="799">
        <v>4000</v>
      </c>
      <c r="M9" s="75">
        <f t="shared" si="0"/>
        <v>33800</v>
      </c>
      <c r="N9" s="797">
        <v>0</v>
      </c>
      <c r="O9" s="75">
        <f t="shared" si="3"/>
        <v>0</v>
      </c>
      <c r="P9" s="76">
        <f t="shared" si="4"/>
        <v>33800</v>
      </c>
      <c r="Q9" s="90">
        <v>0.15</v>
      </c>
      <c r="R9" s="77">
        <f ca="1">SUMIF('数据-汇总表'!C$19:C$33,A9,'数据-汇总表'!R$19:R$27)</f>
        <v>5896.44</v>
      </c>
      <c r="S9" s="54">
        <f>IF('数据-汇总表'!$I$17="按面积比例",SUMIF('数据-汇总表'!C$19:C$33,A9,'数据-汇总表'!K$19:K$33),SUMIF('数据-汇总表'!C$19:C$33,A9,'数据-汇总表'!N$19:N$33))</f>
        <v>3438.76</v>
      </c>
      <c r="T9" s="1436">
        <f t="shared" si="5"/>
        <v>1376</v>
      </c>
      <c r="U9" s="81"/>
      <c r="V9" s="74"/>
      <c r="W9" s="74"/>
      <c r="X9" s="1254"/>
      <c r="Y9" s="82"/>
      <c r="Z9" s="81"/>
      <c r="AA9" s="74"/>
      <c r="AB9" s="74"/>
      <c r="AC9" s="1254"/>
      <c r="AD9" s="82"/>
      <c r="AE9" s="1255">
        <f t="shared" ca="1" si="6"/>
        <v>0</v>
      </c>
      <c r="AF9" s="1796"/>
      <c r="AG9" s="144">
        <f t="shared" si="7"/>
        <v>0</v>
      </c>
      <c r="AH9" s="83"/>
      <c r="AI9" s="85">
        <v>365</v>
      </c>
      <c r="AJ9" s="86"/>
      <c r="AK9" s="87">
        <v>0.01</v>
      </c>
      <c r="AL9" s="88">
        <v>1E-3</v>
      </c>
      <c r="AM9" s="3154">
        <v>0.01</v>
      </c>
      <c r="AN9" s="2297"/>
      <c r="AO9" s="55" t="e">
        <f t="shared" ca="1" si="8"/>
        <v>#REF!</v>
      </c>
      <c r="AP9" s="2298">
        <f t="shared" si="9"/>
        <v>338000000</v>
      </c>
      <c r="AQ9" s="55">
        <f t="shared" si="10"/>
        <v>825</v>
      </c>
      <c r="AR9" s="55">
        <f t="shared" si="11"/>
        <v>550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4.25">
      <c r="A10" s="2294" t="str">
        <f>'数据-汇总表'!C23</f>
        <v>地下车位</v>
      </c>
      <c r="B10" s="2295" t="str">
        <f t="shared" si="1"/>
        <v>经营性</v>
      </c>
      <c r="C10" s="2296" t="s">
        <v>3053</v>
      </c>
      <c r="D10" s="1044">
        <f>SUMIF(项目基本情况!D$12:I$12,C10,项目基本情况!D$14:I$14)</f>
        <v>40</v>
      </c>
      <c r="E10" s="1041">
        <f>IF(B10="","",SUMIF(项目基本情况!D$12:I$12,C10,项目基本情况!D$13:I$13))</f>
        <v>55395</v>
      </c>
      <c r="F10" s="72">
        <f>SUMIF(项目基本情况!D$12:I$12,C10,项目基本情况!D$15:I$15)</f>
        <v>33.04</v>
      </c>
      <c r="G10" s="73">
        <f t="shared" si="2"/>
        <v>0.92600000000000005</v>
      </c>
      <c r="H10" s="3018">
        <v>4.4999999999999998E-2</v>
      </c>
      <c r="I10" s="3018">
        <v>0.05</v>
      </c>
      <c r="J10" s="74">
        <v>8.5000000000000006E-2</v>
      </c>
      <c r="K10" s="1244">
        <f>SUMIF('数据-汇总表'!C$19:C$33,A10,'数据-汇总表'!E$19:E$33)</f>
        <v>115386.06</v>
      </c>
      <c r="L10" s="799">
        <v>4000</v>
      </c>
      <c r="M10" s="75">
        <f t="shared" si="0"/>
        <v>46154</v>
      </c>
      <c r="N10" s="797">
        <v>0.6</v>
      </c>
      <c r="O10" s="75">
        <f t="shared" si="3"/>
        <v>27692</v>
      </c>
      <c r="P10" s="76">
        <f t="shared" si="4"/>
        <v>18462</v>
      </c>
      <c r="Q10" s="90">
        <v>0.05</v>
      </c>
      <c r="R10" s="77">
        <f ca="1">SUMIF('数据-汇总表'!C$19:C$33,A10,'数据-汇总表'!R$19:R$27)</f>
        <v>8051.68</v>
      </c>
      <c r="S10" s="54">
        <f>IF('数据-汇总表'!$I$17="按面积比例",SUMIF('数据-汇总表'!C$19:C$33,A10,'数据-汇总表'!K$19:K$33),SUMIF('数据-汇总表'!C$19:C$33,A10,'数据-汇总表'!N$19:N$33))</f>
        <v>4695.68</v>
      </c>
      <c r="T10" s="1436">
        <f t="shared" si="5"/>
        <v>1878</v>
      </c>
      <c r="U10" s="81">
        <v>1</v>
      </c>
      <c r="V10" s="3497">
        <v>0.03</v>
      </c>
      <c r="W10" s="74">
        <v>0.1</v>
      </c>
      <c r="X10" s="1254"/>
      <c r="Y10" s="82">
        <v>1</v>
      </c>
      <c r="Z10" s="81"/>
      <c r="AA10" s="74"/>
      <c r="AB10" s="74"/>
      <c r="AC10" s="1254"/>
      <c r="AD10" s="82"/>
      <c r="AE10" s="1255">
        <f t="shared" ca="1" si="6"/>
        <v>31.54</v>
      </c>
      <c r="AF10" s="1796"/>
      <c r="AG10" s="144">
        <f t="shared" si="7"/>
        <v>0</v>
      </c>
      <c r="AH10" s="83"/>
      <c r="AI10" s="85">
        <v>365</v>
      </c>
      <c r="AJ10" s="86"/>
      <c r="AK10" s="87">
        <v>0.01</v>
      </c>
      <c r="AL10" s="88">
        <v>1E-3</v>
      </c>
      <c r="AM10" s="3154">
        <v>0.01</v>
      </c>
      <c r="AN10" s="2297" t="s">
        <v>3085</v>
      </c>
      <c r="AO10" s="55">
        <f t="shared" ca="1" si="8"/>
        <v>52981</v>
      </c>
      <c r="AP10" s="2298">
        <f t="shared" si="9"/>
        <v>0</v>
      </c>
      <c r="AQ10" s="55">
        <f t="shared" si="10"/>
        <v>1127</v>
      </c>
      <c r="AR10" s="55">
        <f t="shared" si="11"/>
        <v>751</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4.25">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4">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4.25">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4">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4.25">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4">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25">
      <c r="A14" s="2299" t="s">
        <v>2010</v>
      </c>
      <c r="B14" s="2295" t="s">
        <v>2011</v>
      </c>
      <c r="C14" s="2300" t="s">
        <v>2010</v>
      </c>
      <c r="D14" s="1044"/>
      <c r="E14" s="1041"/>
      <c r="F14" s="72"/>
      <c r="G14" s="73"/>
      <c r="H14" s="1243"/>
      <c r="I14" s="1243"/>
      <c r="J14" s="1243"/>
      <c r="K14" s="1244">
        <f>SUMIF('数据-汇总表'!C$19:C$33,A14,'数据-汇总表'!E$19:E$33)</f>
        <v>14659.140000000007</v>
      </c>
      <c r="L14" s="91">
        <v>4000</v>
      </c>
      <c r="M14" s="75">
        <f t="shared" si="0"/>
        <v>5864</v>
      </c>
      <c r="N14" s="92">
        <v>0.6</v>
      </c>
      <c r="O14" s="75">
        <f t="shared" si="3"/>
        <v>3518</v>
      </c>
      <c r="P14" s="76">
        <f t="shared" si="4"/>
        <v>2346</v>
      </c>
      <c r="Q14" s="1247"/>
      <c r="R14" s="77"/>
      <c r="S14" s="54"/>
      <c r="T14" s="1436"/>
      <c r="U14" s="719"/>
      <c r="V14" s="1249"/>
      <c r="W14" s="1249"/>
      <c r="X14" s="1250"/>
      <c r="Y14" s="1251"/>
      <c r="Z14" s="1252"/>
      <c r="AA14" s="1253"/>
      <c r="AB14" s="1253"/>
      <c r="AC14" s="1254"/>
      <c r="AD14" s="1250"/>
      <c r="AE14" s="1255"/>
      <c r="AF14" s="55"/>
      <c r="AG14" s="144"/>
      <c r="AH14" s="1255"/>
      <c r="AI14" s="1807"/>
      <c r="AJ14" s="769"/>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7">
      <c r="A15" s="2299" t="s">
        <v>2012</v>
      </c>
      <c r="B15" s="2295" t="s">
        <v>2011</v>
      </c>
      <c r="C15" s="2300" t="s">
        <v>2013</v>
      </c>
      <c r="D15" s="1044"/>
      <c r="E15" s="1041"/>
      <c r="F15" s="72"/>
      <c r="G15" s="73"/>
      <c r="H15" s="1243"/>
      <c r="I15" s="1243"/>
      <c r="J15" s="1243"/>
      <c r="K15" s="1244">
        <f>SUMIF('数据-汇总表'!C$19:C$33,A15,'数据-汇总表'!E$19:E$33)</f>
        <v>0</v>
      </c>
      <c r="L15" s="1245"/>
      <c r="M15" s="75"/>
      <c r="N15" s="1246"/>
      <c r="O15" s="75"/>
      <c r="P15" s="76"/>
      <c r="Q15" s="1247"/>
      <c r="R15" s="77"/>
      <c r="S15" s="54"/>
      <c r="T15" s="1436"/>
      <c r="U15" s="719"/>
      <c r="V15" s="1249"/>
      <c r="W15" s="1249"/>
      <c r="X15" s="1250"/>
      <c r="Y15" s="1251"/>
      <c r="Z15" s="1252"/>
      <c r="AA15" s="1253"/>
      <c r="AB15" s="1253"/>
      <c r="AC15" s="1254"/>
      <c r="AD15" s="1250"/>
      <c r="AE15" s="1255"/>
      <c r="AF15" s="55"/>
      <c r="AG15" s="144"/>
      <c r="AH15" s="1255"/>
      <c r="AI15" s="1807"/>
      <c r="AJ15" s="769"/>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75" thickBot="1">
      <c r="A16" s="2301" t="s">
        <v>2014</v>
      </c>
      <c r="B16" s="97"/>
      <c r="C16" s="998"/>
      <c r="D16" s="2302"/>
      <c r="E16" s="97"/>
      <c r="F16" s="97"/>
      <c r="G16" s="98">
        <f>ROUND(SUMPRODUCT(G6:G13,K6:K13)/SUMPRODUCT((G6:G13&gt;0)*(K6:K13)),3)</f>
        <v>0.92900000000000005</v>
      </c>
      <c r="H16" s="99">
        <f>ROUND(SUMPRODUCT(H6:H13,K6:K13)/SUMPRODUCT((H6:H13&gt;0)*(K6:K13)),3)</f>
        <v>4.7E-2</v>
      </c>
      <c r="I16" s="100"/>
      <c r="J16" s="100"/>
      <c r="K16" s="101">
        <f>SUM(K6:K15)</f>
        <v>374875.08999999997</v>
      </c>
      <c r="L16" s="102">
        <f>ROUND(M16*10000/SUM(K6:K14),0)</f>
        <v>4317</v>
      </c>
      <c r="M16" s="102">
        <f>SUM(M6:M14)</f>
        <v>161833</v>
      </c>
      <c r="N16" s="103">
        <f>ROUND(SUMPRODUCT(M6:M14,N6:N14)/M16,3)</f>
        <v>0.47499999999999998</v>
      </c>
      <c r="O16" s="102">
        <f>SUM(O6:O14)</f>
        <v>76819</v>
      </c>
      <c r="P16" s="102">
        <f>SUM(P6:P14)</f>
        <v>85014</v>
      </c>
      <c r="Q16" s="104">
        <f>ROUND(SUMPRODUCT(Q6:Q13,K6:K13)/SUMPRODUCT((Q6:Q13&gt;0)*(K6:K13)),2)</f>
        <v>0.15</v>
      </c>
      <c r="R16" s="1248">
        <f ca="1">SUM(R6:R13)</f>
        <v>25136</v>
      </c>
      <c r="S16" s="105">
        <f>SUM(S6:S13)</f>
        <v>14659.140000000001</v>
      </c>
      <c r="T16" s="106">
        <f>IF(SUMIF(T6:T13,"&lt;9E307")=M14,SUMIF(T6:T13,"&lt;9E307"),"有误，请检查")</f>
        <v>5864</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3"/>
      <c r="D17" s="2261"/>
      <c r="E17" s="2261"/>
      <c r="F17" s="1573"/>
      <c r="G17" s="1573"/>
      <c r="H17" s="1573"/>
      <c r="I17" s="1573"/>
      <c r="J17" s="1573"/>
      <c r="K17" s="164"/>
      <c r="L17" s="164"/>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2015</v>
      </c>
      <c r="B18" s="2268"/>
      <c r="C18" s="2265"/>
      <c r="D18" s="2266"/>
      <c r="E18" s="2265"/>
      <c r="F18" s="2265"/>
      <c r="G18" s="2265"/>
      <c r="H18" s="2265"/>
      <c r="I18" s="2265"/>
      <c r="J18" s="2265"/>
      <c r="K18" s="164"/>
      <c r="L18" s="164"/>
      <c r="M18" s="1573"/>
      <c r="N18" s="1573"/>
      <c r="O18" s="1573"/>
      <c r="P18" s="1573"/>
      <c r="Q18" s="1573"/>
      <c r="R18" s="1573"/>
      <c r="S18" s="1573"/>
      <c r="T18" s="1573"/>
      <c r="U18" s="1573"/>
      <c r="V18" s="1573"/>
      <c r="W18" s="3006" t="s">
        <v>4255</v>
      </c>
      <c r="X18" s="1573"/>
      <c r="Y18" s="1573"/>
      <c r="Z18" s="1573"/>
      <c r="AA18" s="1573"/>
      <c r="AB18" s="1573"/>
      <c r="AC18" s="1573"/>
      <c r="AD18" s="1573"/>
      <c r="AE18" s="1573"/>
      <c r="AF18" s="1573"/>
      <c r="AG18" s="1573"/>
      <c r="AH18" s="1573"/>
      <c r="AI18" s="1573"/>
      <c r="AJ18" s="1573"/>
      <c r="AK18" s="1573"/>
      <c r="AL18" s="1573"/>
      <c r="AM18" s="1573"/>
    </row>
    <row r="19" spans="1:67" ht="14.25">
      <c r="A19" s="2304" t="s">
        <v>2016</v>
      </c>
      <c r="B19" s="112">
        <v>0</v>
      </c>
      <c r="C19" s="2265" t="s">
        <v>2017</v>
      </c>
      <c r="D19" s="2266"/>
      <c r="E19" s="2265"/>
      <c r="F19" s="2265"/>
      <c r="G19" s="2265"/>
      <c r="H19" s="2265"/>
      <c r="I19" s="2265"/>
      <c r="J19" s="2265"/>
      <c r="K19" s="2959" t="s">
        <v>3061</v>
      </c>
      <c r="L19" s="3249" t="s">
        <v>3062</v>
      </c>
      <c r="M19" s="3249"/>
      <c r="N19" s="3249"/>
      <c r="O19" s="3250" t="s">
        <v>3063</v>
      </c>
      <c r="P19" s="3250"/>
      <c r="Q19" s="1573"/>
      <c r="R19" s="1573"/>
      <c r="S19" s="1573"/>
      <c r="T19" s="1573"/>
      <c r="U19" s="1573">
        <v>1</v>
      </c>
      <c r="V19" s="1573">
        <v>1</v>
      </c>
      <c r="W19" s="1573">
        <v>5.5</v>
      </c>
      <c r="X19" s="1573">
        <v>11</v>
      </c>
      <c r="Y19" s="1573"/>
      <c r="Z19" s="1573"/>
      <c r="AA19" s="1573"/>
      <c r="AB19" s="1573"/>
      <c r="AC19" s="1573"/>
      <c r="AD19" s="1573"/>
      <c r="AE19" s="1573"/>
      <c r="AF19" s="1573"/>
      <c r="AG19" s="1573"/>
      <c r="AH19" s="1573"/>
      <c r="AI19" s="1573"/>
      <c r="AJ19" s="1573"/>
      <c r="AK19" s="1573"/>
      <c r="AL19" s="1573"/>
      <c r="AM19" s="1573"/>
    </row>
    <row r="20" spans="1:67" ht="14.25">
      <c r="A20" s="2305" t="s">
        <v>2018</v>
      </c>
      <c r="B20" s="3155">
        <v>4</v>
      </c>
      <c r="C20" s="2265" t="s">
        <v>2019</v>
      </c>
      <c r="D20" s="2266"/>
      <c r="E20" s="2265"/>
      <c r="F20" s="2265"/>
      <c r="G20" s="2265"/>
      <c r="H20" s="2265"/>
      <c r="I20" s="2265"/>
      <c r="J20" s="2265"/>
      <c r="K20" s="2960"/>
      <c r="L20" s="2961" t="s">
        <v>3064</v>
      </c>
      <c r="M20" s="2961" t="s">
        <v>3065</v>
      </c>
      <c r="N20" s="2961" t="s">
        <v>3066</v>
      </c>
      <c r="O20" s="3251"/>
      <c r="P20" s="3251"/>
      <c r="Q20" s="1573"/>
      <c r="R20" s="1573"/>
      <c r="S20" s="1573"/>
      <c r="T20" s="1573"/>
      <c r="U20" s="1573">
        <v>2</v>
      </c>
      <c r="V20" s="1573">
        <v>0.55000000000000004</v>
      </c>
      <c r="W20" s="1573">
        <f>V20*$W$19</f>
        <v>3.0250000000000004</v>
      </c>
      <c r="X20" s="1573">
        <f>V20*$X$19</f>
        <v>6.0500000000000007</v>
      </c>
      <c r="Y20" s="1573"/>
      <c r="Z20" s="1573"/>
      <c r="AA20" s="1573"/>
      <c r="AB20" s="1573"/>
      <c r="AC20" s="1573"/>
      <c r="AD20" s="1573"/>
      <c r="AE20" s="1573"/>
      <c r="AF20" s="1573"/>
      <c r="AG20" s="1573"/>
      <c r="AH20" s="1573"/>
      <c r="AI20" s="1573"/>
      <c r="AJ20" s="1573"/>
      <c r="AK20" s="1573"/>
      <c r="AL20" s="1573"/>
      <c r="AM20" s="1573"/>
    </row>
    <row r="21" spans="1:67" ht="14.25">
      <c r="A21" s="2306" t="s">
        <v>2020</v>
      </c>
      <c r="B21" s="3155">
        <v>2.5</v>
      </c>
      <c r="C21" s="2265"/>
      <c r="D21" s="2266"/>
      <c r="E21" s="2265"/>
      <c r="F21" s="2265"/>
      <c r="G21" s="2265"/>
      <c r="H21" s="2265"/>
      <c r="I21" s="2265"/>
      <c r="J21" s="2265"/>
      <c r="K21" s="2962" t="s">
        <v>3067</v>
      </c>
      <c r="L21" s="2962" t="s">
        <v>3068</v>
      </c>
      <c r="M21" s="2962" t="s">
        <v>3069</v>
      </c>
      <c r="N21" s="2962" t="s">
        <v>3070</v>
      </c>
      <c r="O21" s="3252"/>
      <c r="P21" s="3252"/>
      <c r="Q21" s="1573"/>
      <c r="R21" s="1573"/>
      <c r="S21" s="1573"/>
      <c r="T21" s="1573"/>
      <c r="U21" s="1573">
        <v>3</v>
      </c>
      <c r="V21" s="1573">
        <v>0.45</v>
      </c>
      <c r="W21" s="1573">
        <f t="shared" ref="W21:W23" si="12">V21*$W$19</f>
        <v>2.4750000000000001</v>
      </c>
      <c r="X21" s="1573">
        <f t="shared" ref="X21:X23" si="13">V21*$X$19</f>
        <v>4.95</v>
      </c>
      <c r="Y21" s="1573"/>
      <c r="Z21" s="1573"/>
      <c r="AA21" s="1573"/>
      <c r="AB21" s="1573"/>
      <c r="AC21" s="1573"/>
      <c r="AD21" s="1573"/>
      <c r="AE21" s="1573"/>
      <c r="AF21" s="1573"/>
      <c r="AG21" s="1573"/>
      <c r="AH21" s="1573"/>
      <c r="AI21" s="1573"/>
      <c r="AJ21" s="1573"/>
      <c r="AK21" s="1573"/>
      <c r="AL21" s="1573"/>
      <c r="AM21" s="1573"/>
    </row>
    <row r="22" spans="1:67" ht="14.25">
      <c r="A22" s="2305" t="s">
        <v>2021</v>
      </c>
      <c r="B22" s="113">
        <f>B19+B20</f>
        <v>4</v>
      </c>
      <c r="C22" s="2265"/>
      <c r="D22" s="2266"/>
      <c r="E22" s="2265"/>
      <c r="F22" s="2265"/>
      <c r="G22" s="2265"/>
      <c r="H22" s="2265"/>
      <c r="I22" s="2265"/>
      <c r="J22" s="2265"/>
      <c r="K22" s="164"/>
      <c r="L22" s="164"/>
      <c r="M22" s="1573"/>
      <c r="N22" s="1573"/>
      <c r="O22" s="1573"/>
      <c r="P22" s="1573"/>
      <c r="Q22" s="1573"/>
      <c r="R22" s="1573"/>
      <c r="S22" s="1573"/>
      <c r="T22" s="1573"/>
      <c r="U22" s="1573">
        <v>4</v>
      </c>
      <c r="V22" s="1573">
        <v>0.4</v>
      </c>
      <c r="W22" s="1573">
        <f t="shared" si="12"/>
        <v>2.2000000000000002</v>
      </c>
      <c r="X22" s="1573">
        <f t="shared" si="13"/>
        <v>4.4000000000000004</v>
      </c>
      <c r="Y22" s="1573"/>
      <c r="Z22" s="1573"/>
      <c r="AA22" s="1573"/>
      <c r="AB22" s="1573"/>
      <c r="AC22" s="1573"/>
      <c r="AD22" s="1573"/>
      <c r="AE22" s="1573"/>
      <c r="AF22" s="1573"/>
      <c r="AG22" s="1573"/>
      <c r="AH22" s="1573"/>
      <c r="AI22" s="1573"/>
      <c r="AJ22" s="1573"/>
      <c r="AK22" s="1573"/>
      <c r="AL22" s="1573"/>
      <c r="AM22" s="1573"/>
    </row>
    <row r="23" spans="1:67" ht="14.25">
      <c r="A23" s="2306" t="s">
        <v>2022</v>
      </c>
      <c r="B23" s="113">
        <f>B19+B21</f>
        <v>2.5</v>
      </c>
      <c r="C23" s="2265"/>
      <c r="D23" s="2266"/>
      <c r="E23" s="2265"/>
      <c r="F23" s="2265"/>
      <c r="G23" s="2265"/>
      <c r="H23" s="2265"/>
      <c r="I23" s="2265"/>
      <c r="J23" s="2265"/>
      <c r="K23" s="164"/>
      <c r="L23" s="164"/>
      <c r="M23" s="1573"/>
      <c r="N23" s="1573"/>
      <c r="O23" s="1573"/>
      <c r="P23" s="1573"/>
      <c r="Q23" s="1573"/>
      <c r="R23" s="1573"/>
      <c r="S23" s="1573"/>
      <c r="T23" s="1573"/>
      <c r="U23" s="1573">
        <v>5</v>
      </c>
      <c r="V23" s="1573">
        <v>0.4</v>
      </c>
      <c r="W23" s="1573">
        <f t="shared" si="12"/>
        <v>2.2000000000000002</v>
      </c>
      <c r="X23" s="1573">
        <f t="shared" si="13"/>
        <v>4.4000000000000004</v>
      </c>
      <c r="Y23" s="1573"/>
      <c r="Z23" s="1573"/>
      <c r="AA23" s="1573"/>
      <c r="AB23" s="1573"/>
      <c r="AC23" s="1573"/>
      <c r="AD23" s="1573"/>
      <c r="AE23" s="1573"/>
      <c r="AF23" s="1573"/>
      <c r="AG23" s="1573"/>
      <c r="AH23" s="1573"/>
      <c r="AI23" s="1573"/>
      <c r="AJ23" s="1573"/>
      <c r="AK23" s="1573"/>
      <c r="AL23" s="1573"/>
      <c r="AM23" s="1573"/>
    </row>
    <row r="24" spans="1:67" ht="15" thickBot="1">
      <c r="A24" s="2307" t="s">
        <v>2023</v>
      </c>
      <c r="B24" s="114">
        <f>B20-B21</f>
        <v>1.5</v>
      </c>
      <c r="C24" s="2265"/>
      <c r="D24" s="2266"/>
      <c r="E24" s="2265"/>
      <c r="F24" s="2265"/>
      <c r="G24" s="2265"/>
      <c r="H24" s="2265"/>
      <c r="I24" s="2265"/>
      <c r="J24" s="2265"/>
      <c r="K24" s="164"/>
      <c r="L24" s="164"/>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68"/>
      <c r="C25" s="2265"/>
      <c r="D25" s="2266"/>
      <c r="E25" s="2265"/>
      <c r="F25" s="2265"/>
      <c r="G25" s="2265"/>
      <c r="H25" s="2265"/>
      <c r="I25" s="2265"/>
      <c r="J25" s="2265"/>
      <c r="K25" s="164"/>
      <c r="L25" s="164"/>
      <c r="M25" s="1573"/>
      <c r="N25" s="1573"/>
      <c r="O25" s="1573"/>
      <c r="P25" s="1573"/>
      <c r="Q25" s="1573"/>
      <c r="R25" s="1573"/>
      <c r="S25" s="1573"/>
      <c r="T25" s="1573"/>
      <c r="U25" s="1573">
        <v>-1</v>
      </c>
      <c r="V25" s="1573">
        <v>0.55000000000000004</v>
      </c>
      <c r="W25" s="1573">
        <f>W19*V25</f>
        <v>3.0250000000000004</v>
      </c>
      <c r="X25" s="1573">
        <f>X19*V25</f>
        <v>6.0500000000000007</v>
      </c>
      <c r="Y25" s="1573"/>
      <c r="Z25" s="1573"/>
      <c r="AA25" s="1573"/>
      <c r="AB25" s="1573"/>
      <c r="AC25" s="1573"/>
      <c r="AD25" s="1573"/>
      <c r="AE25" s="1573"/>
      <c r="AF25" s="1573"/>
      <c r="AG25" s="1573"/>
      <c r="AH25" s="1573"/>
      <c r="AI25" s="1573"/>
      <c r="AJ25" s="1573"/>
      <c r="AK25" s="1573"/>
      <c r="AL25" s="1573"/>
      <c r="AM25" s="1573"/>
    </row>
    <row r="26" spans="1:67" ht="15" thickBot="1">
      <c r="A26" s="2264" t="s">
        <v>2024</v>
      </c>
      <c r="B26" s="2308" t="s">
        <v>2025</v>
      </c>
      <c r="C26" s="2309" t="s">
        <v>2026</v>
      </c>
      <c r="D26" s="2266"/>
      <c r="E26" s="2265"/>
      <c r="F26" s="2265"/>
      <c r="G26" s="2265"/>
      <c r="H26" s="2265"/>
      <c r="I26" s="2265"/>
      <c r="J26" s="2265"/>
      <c r="K26" s="164"/>
      <c r="L26" s="164"/>
      <c r="M26" s="1573"/>
      <c r="N26" s="1573"/>
      <c r="O26" s="1573"/>
      <c r="P26" s="1573"/>
      <c r="Q26" s="1573"/>
      <c r="R26" s="1573"/>
      <c r="S26" s="1573"/>
      <c r="T26" s="1573"/>
      <c r="U26" s="1573">
        <v>-2</v>
      </c>
      <c r="V26" s="1573">
        <v>0.4</v>
      </c>
      <c r="W26" s="1573">
        <f>W19*V26</f>
        <v>2.2000000000000002</v>
      </c>
      <c r="X26" s="1573">
        <f>X19*V26</f>
        <v>4.4000000000000004</v>
      </c>
      <c r="Y26" s="1573"/>
      <c r="Z26" s="1573"/>
      <c r="AA26" s="1573"/>
      <c r="AB26" s="1573"/>
      <c r="AC26" s="1573"/>
      <c r="AD26" s="1573"/>
      <c r="AE26" s="1573"/>
      <c r="AF26" s="1573"/>
      <c r="AG26" s="1573"/>
      <c r="AH26" s="1573"/>
      <c r="AI26" s="1573"/>
      <c r="AJ26" s="1573"/>
      <c r="AK26" s="1573"/>
      <c r="AL26" s="1573"/>
      <c r="AM26" s="1573"/>
    </row>
    <row r="27" spans="1:67" s="2312" customFormat="1" ht="27.75">
      <c r="A27" s="2310" t="s">
        <v>2027</v>
      </c>
      <c r="B27" s="115">
        <v>290</v>
      </c>
      <c r="C27" s="2963" t="s">
        <v>3071</v>
      </c>
      <c r="D27" s="2311"/>
      <c r="E27" s="1420"/>
      <c r="F27" s="1420"/>
      <c r="G27" s="2265"/>
      <c r="H27" s="2265"/>
      <c r="I27" s="2265"/>
      <c r="J27" s="2265"/>
      <c r="K27" s="164"/>
      <c r="L27" s="164"/>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7.75">
      <c r="A28" s="2313" t="s">
        <v>2028</v>
      </c>
      <c r="B28" s="118">
        <v>290</v>
      </c>
      <c r="C28" s="2314"/>
      <c r="D28" s="2311"/>
      <c r="E28" s="1420"/>
      <c r="F28" s="1420"/>
      <c r="G28" s="2265"/>
      <c r="H28" s="2265"/>
      <c r="I28" s="2265"/>
      <c r="J28" s="2265"/>
      <c r="K28" s="164"/>
      <c r="L28" s="164"/>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8.5" thickBot="1">
      <c r="A29" s="2315" t="s">
        <v>2029</v>
      </c>
      <c r="B29" s="120">
        <v>8506</v>
      </c>
      <c r="C29" s="1756" t="s">
        <v>2030</v>
      </c>
      <c r="D29" s="2311"/>
      <c r="E29" s="1420"/>
      <c r="F29" s="1420"/>
      <c r="G29" s="2265"/>
      <c r="H29" s="2265"/>
      <c r="I29" s="2265"/>
      <c r="J29" s="2265"/>
      <c r="K29" s="164"/>
      <c r="L29" s="164"/>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7">
      <c r="A30" s="2316" t="s">
        <v>2031</v>
      </c>
      <c r="B30" s="720">
        <v>200</v>
      </c>
      <c r="C30" s="2314"/>
      <c r="D30" s="2311"/>
      <c r="E30" s="1420"/>
      <c r="F30" s="1420"/>
      <c r="G30" s="2265"/>
      <c r="H30" s="2265"/>
      <c r="I30" s="2265"/>
      <c r="J30" s="2265"/>
      <c r="K30" s="164"/>
      <c r="L30" s="164"/>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7">
      <c r="A31" s="2313" t="s">
        <v>2032</v>
      </c>
      <c r="B31" s="119">
        <f>B30-B32</f>
        <v>200</v>
      </c>
      <c r="C31" s="1756"/>
      <c r="D31" s="2311"/>
      <c r="E31" s="1420"/>
      <c r="F31" s="1420"/>
      <c r="G31" s="2265"/>
      <c r="H31" s="2265"/>
      <c r="I31" s="2265"/>
      <c r="J31" s="2265"/>
      <c r="K31" s="164"/>
      <c r="L31" s="164"/>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7.75" thickBot="1">
      <c r="A32" s="2317" t="s">
        <v>2033</v>
      </c>
      <c r="B32" s="721"/>
      <c r="C32" s="2314"/>
      <c r="D32" s="2266"/>
      <c r="E32" s="2265"/>
      <c r="F32" s="2265"/>
      <c r="G32" s="2265"/>
      <c r="H32" s="2265"/>
      <c r="I32" s="2265"/>
      <c r="J32" s="2265"/>
      <c r="K32" s="164"/>
      <c r="L32" s="164"/>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25">
      <c r="A33" s="2310" t="s">
        <v>2034</v>
      </c>
      <c r="B33" s="722">
        <v>0.03</v>
      </c>
      <c r="C33" s="1755" t="s">
        <v>2035</v>
      </c>
      <c r="D33" s="2266"/>
      <c r="E33" s="2265"/>
      <c r="F33" s="2265"/>
      <c r="G33" s="2265"/>
      <c r="H33" s="2265"/>
      <c r="I33" s="2265"/>
      <c r="J33" s="2265"/>
      <c r="K33" s="164"/>
      <c r="L33" s="164"/>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25">
      <c r="A34" s="2313" t="s">
        <v>2036</v>
      </c>
      <c r="B34" s="3499">
        <v>0.05</v>
      </c>
      <c r="C34" s="1755" t="s">
        <v>2037</v>
      </c>
      <c r="D34" s="2266" t="s">
        <v>2038</v>
      </c>
      <c r="E34" s="728"/>
      <c r="F34" s="2265"/>
      <c r="G34" s="2265"/>
      <c r="H34" s="2265"/>
      <c r="I34" s="2265"/>
      <c r="J34" s="2265"/>
      <c r="K34" s="164"/>
      <c r="L34" s="164"/>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25">
      <c r="A35" s="2313" t="s">
        <v>2039</v>
      </c>
      <c r="B35" s="118">
        <v>200</v>
      </c>
      <c r="C35" s="1755" t="s">
        <v>2040</v>
      </c>
      <c r="D35" s="2311"/>
      <c r="E35" s="1420"/>
      <c r="F35" s="1420"/>
      <c r="G35" s="2265"/>
      <c r="H35" s="2265"/>
      <c r="I35" s="2265"/>
      <c r="J35" s="2265"/>
      <c r="K35" s="164"/>
      <c r="L35" s="164"/>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2041</v>
      </c>
      <c r="B36" s="121">
        <v>1.4999999999999999E-2</v>
      </c>
      <c r="C36" s="1755" t="s">
        <v>2042</v>
      </c>
      <c r="D36" s="2266"/>
      <c r="E36" s="2265"/>
      <c r="F36" s="2265"/>
      <c r="G36" s="2265"/>
      <c r="H36" s="2265"/>
      <c r="I36" s="2265"/>
      <c r="J36" s="2265"/>
      <c r="K36" s="164"/>
      <c r="L36" s="164"/>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6" t="s">
        <v>2043</v>
      </c>
      <c r="B37" s="3498">
        <v>0.03</v>
      </c>
      <c r="C37" s="1755" t="s">
        <v>2044</v>
      </c>
      <c r="D37" s="2266"/>
      <c r="E37" s="2265"/>
      <c r="F37" s="2265"/>
      <c r="G37" s="2265"/>
      <c r="H37" s="2265"/>
      <c r="I37" s="2265"/>
      <c r="J37" s="2265"/>
      <c r="K37" s="164"/>
      <c r="L37" s="164"/>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3" t="s">
        <v>2045</v>
      </c>
      <c r="B38" s="3499">
        <v>0.03</v>
      </c>
      <c r="C38" s="1755" t="s">
        <v>2044</v>
      </c>
      <c r="D38" s="2266"/>
      <c r="E38" s="2265"/>
      <c r="F38" s="2265"/>
      <c r="G38" s="2265"/>
      <c r="H38" s="2265"/>
      <c r="I38" s="2265"/>
      <c r="J38" s="2265"/>
      <c r="K38" s="164"/>
      <c r="L38" s="164"/>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7" t="s">
        <v>2046</v>
      </c>
      <c r="B39" s="358">
        <f ca="1">存贷款利率!I1</f>
        <v>1.4999999999999999E-2</v>
      </c>
      <c r="C39" s="1755"/>
      <c r="D39" s="2266"/>
      <c r="E39" s="2265"/>
      <c r="F39" s="2265"/>
      <c r="G39" s="2265"/>
      <c r="H39" s="2265"/>
      <c r="I39" s="2265"/>
      <c r="J39" s="2265"/>
      <c r="K39" s="164"/>
      <c r="L39" s="164"/>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7" t="s">
        <v>2047</v>
      </c>
      <c r="B40" s="1293">
        <f ca="1">存贷款利率!G1</f>
        <v>4.7500000000000001E-2</v>
      </c>
      <c r="C40" s="1755" t="s">
        <v>2048</v>
      </c>
      <c r="D40" s="1573"/>
      <c r="E40" s="2266"/>
      <c r="F40" s="2265"/>
      <c r="G40" s="2265"/>
      <c r="H40" s="2265"/>
      <c r="I40" s="2265"/>
      <c r="J40" s="2265"/>
      <c r="K40" s="164"/>
      <c r="L40" s="164"/>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0" t="s">
        <v>2049</v>
      </c>
      <c r="B41" s="122">
        <f>B42+B43</f>
        <v>5.6000000000000001E-2</v>
      </c>
      <c r="C41" s="1756"/>
      <c r="D41" s="1573"/>
      <c r="E41" s="2266"/>
      <c r="F41" s="2265"/>
      <c r="G41" s="2265"/>
      <c r="H41" s="2265"/>
      <c r="I41" s="2265"/>
      <c r="J41" s="2265"/>
      <c r="K41" s="164"/>
      <c r="L41" s="164"/>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8" t="s">
        <v>2050</v>
      </c>
      <c r="B42" s="123">
        <v>0.05</v>
      </c>
      <c r="C42" s="2319">
        <f>IF(B2&lt;DATE(2016,5,1),0,B42)</f>
        <v>0.05</v>
      </c>
      <c r="D42" s="2266"/>
      <c r="E42" s="2265"/>
      <c r="F42" s="2265"/>
      <c r="G42" s="2265"/>
      <c r="H42" s="2265"/>
      <c r="I42" s="2265"/>
      <c r="J42" s="2265"/>
      <c r="K42" s="164"/>
      <c r="L42" s="164"/>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8" t="s">
        <v>2051</v>
      </c>
      <c r="B43" s="124">
        <f>B42*(B44+B45+B46)+B47</f>
        <v>6.000000000000001E-3</v>
      </c>
      <c r="C43" s="1756"/>
      <c r="D43" s="2266"/>
      <c r="E43" s="2265"/>
      <c r="F43" s="2265"/>
      <c r="G43" s="2265"/>
      <c r="H43" s="2265"/>
      <c r="I43" s="2265"/>
      <c r="J43" s="2265"/>
      <c r="K43" s="164"/>
      <c r="L43" s="164"/>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0" t="s">
        <v>2052</v>
      </c>
      <c r="B44" s="125">
        <v>7.0000000000000007E-2</v>
      </c>
      <c r="C44" s="1755" t="s">
        <v>2053</v>
      </c>
      <c r="D44" s="2266"/>
      <c r="E44" s="2265"/>
      <c r="F44" s="2265"/>
      <c r="G44" s="2265"/>
      <c r="H44" s="2265"/>
      <c r="I44" s="2265"/>
      <c r="J44" s="2265"/>
      <c r="K44" s="164"/>
      <c r="L44" s="164"/>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0" t="s">
        <v>2054</v>
      </c>
      <c r="B45" s="123">
        <v>0.03</v>
      </c>
      <c r="C45" s="1756" t="s">
        <v>2055</v>
      </c>
      <c r="D45" s="2266"/>
      <c r="E45" s="2265"/>
      <c r="F45" s="2265"/>
      <c r="G45" s="2265"/>
      <c r="H45" s="2265"/>
      <c r="I45" s="2265"/>
      <c r="J45" s="2265"/>
      <c r="K45" s="164"/>
      <c r="L45" s="164"/>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0" t="s">
        <v>2056</v>
      </c>
      <c r="B46" s="123">
        <v>0.02</v>
      </c>
      <c r="C46" s="1756" t="s">
        <v>2057</v>
      </c>
      <c r="D46" s="2266"/>
      <c r="E46" s="2265"/>
      <c r="F46" s="2265"/>
      <c r="G46" s="2265"/>
      <c r="H46" s="2265"/>
      <c r="I46" s="2265"/>
      <c r="J46" s="2265"/>
      <c r="K46" s="164"/>
      <c r="L46" s="164"/>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1" t="s">
        <v>2058</v>
      </c>
      <c r="B47" s="126">
        <v>0</v>
      </c>
      <c r="C47" s="1756" t="s">
        <v>2059</v>
      </c>
      <c r="D47" s="2266"/>
      <c r="E47" s="2265"/>
      <c r="F47" s="2265"/>
      <c r="G47" s="2265"/>
      <c r="H47" s="2265"/>
      <c r="I47" s="2265"/>
      <c r="J47" s="2265"/>
      <c r="K47" s="164"/>
      <c r="L47" s="164"/>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2" t="s">
        <v>2060</v>
      </c>
      <c r="B48" s="127">
        <v>0.03</v>
      </c>
      <c r="C48" s="1763" t="s">
        <v>2061</v>
      </c>
      <c r="D48" s="2266"/>
      <c r="E48" s="2265"/>
      <c r="F48" s="2265"/>
      <c r="G48" s="2265"/>
      <c r="H48" s="2265"/>
      <c r="I48" s="2265"/>
      <c r="J48" s="2265"/>
      <c r="K48" s="164"/>
      <c r="L48" s="164"/>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7" t="s">
        <v>2062</v>
      </c>
      <c r="B49" s="123">
        <v>5.0000000000000001E-4</v>
      </c>
      <c r="C49" s="1763" t="s">
        <v>2063</v>
      </c>
      <c r="D49" s="2266"/>
      <c r="E49" s="2265"/>
      <c r="F49" s="2265"/>
      <c r="G49" s="2265"/>
      <c r="H49" s="2265"/>
      <c r="I49" s="2265"/>
      <c r="J49" s="2265"/>
      <c r="K49" s="164"/>
      <c r="L49" s="164"/>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3" t="s">
        <v>2064</v>
      </c>
      <c r="B50" s="128">
        <v>1.2E-2</v>
      </c>
      <c r="C50" s="1420"/>
      <c r="D50" s="2266"/>
      <c r="E50" s="2265"/>
      <c r="F50" s="2265"/>
      <c r="G50" s="2265"/>
      <c r="H50" s="2265"/>
      <c r="I50" s="2265"/>
      <c r="J50" s="2265"/>
      <c r="K50" s="164"/>
      <c r="L50" s="164"/>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5" t="s">
        <v>2065</v>
      </c>
      <c r="B51" s="129">
        <v>0.12</v>
      </c>
      <c r="C51" s="1420"/>
      <c r="D51" s="2266"/>
      <c r="E51" s="2265"/>
      <c r="F51" s="2265"/>
      <c r="G51" s="2265"/>
      <c r="H51" s="2265"/>
      <c r="I51" s="2265"/>
      <c r="J51" s="2265"/>
      <c r="K51" s="164"/>
      <c r="L51" s="164"/>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3" t="s">
        <v>2066</v>
      </c>
      <c r="B52" s="130">
        <f>SUMIF(A54:A63,B53,B54:B63)</f>
        <v>20</v>
      </c>
      <c r="C52" s="1420"/>
      <c r="D52" s="2266"/>
      <c r="E52" s="2265"/>
      <c r="F52" s="2265"/>
      <c r="G52" s="2265"/>
      <c r="H52" s="2265"/>
      <c r="I52" s="2265"/>
      <c r="J52" s="2265"/>
      <c r="K52" s="164"/>
      <c r="L52" s="164"/>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3" t="s">
        <v>2067</v>
      </c>
      <c r="B53" s="2324" t="s">
        <v>212</v>
      </c>
      <c r="C53" s="1420" t="s">
        <v>2068</v>
      </c>
      <c r="D53" s="2325" t="s">
        <v>2069</v>
      </c>
      <c r="E53" s="2265"/>
      <c r="F53" s="2265"/>
      <c r="G53" s="2265"/>
      <c r="H53" s="2265"/>
      <c r="I53" s="2265"/>
      <c r="J53" s="2265"/>
      <c r="K53" s="164"/>
      <c r="L53" s="164"/>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6" t="s">
        <v>2070</v>
      </c>
      <c r="B54" s="84">
        <v>20</v>
      </c>
      <c r="C54" s="1420">
        <v>30</v>
      </c>
      <c r="D54" s="2266"/>
      <c r="E54" s="2265"/>
      <c r="F54" s="2265"/>
      <c r="G54" s="2265"/>
      <c r="H54" s="2265"/>
      <c r="I54" s="2265"/>
      <c r="J54" s="2265"/>
      <c r="K54" s="164"/>
      <c r="L54" s="164"/>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6" t="s">
        <v>2071</v>
      </c>
      <c r="B55" s="84"/>
      <c r="C55" s="1420">
        <v>24</v>
      </c>
      <c r="D55" s="2266"/>
      <c r="E55" s="2265"/>
      <c r="F55" s="2265"/>
      <c r="G55" s="2265"/>
      <c r="H55" s="2265"/>
      <c r="I55" s="2327"/>
      <c r="J55" s="2265"/>
      <c r="K55" s="164"/>
      <c r="L55" s="164"/>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6" t="s">
        <v>2072</v>
      </c>
      <c r="B56" s="84"/>
      <c r="C56" s="1420">
        <v>18</v>
      </c>
      <c r="D56" s="2266"/>
      <c r="E56" s="2265"/>
      <c r="F56" s="2265"/>
      <c r="G56" s="2265"/>
      <c r="H56" s="2265"/>
      <c r="I56" s="2265"/>
      <c r="J56" s="2265"/>
      <c r="K56" s="164"/>
      <c r="L56" s="164"/>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6" t="s">
        <v>2073</v>
      </c>
      <c r="B57" s="84"/>
      <c r="C57" s="1420">
        <v>12</v>
      </c>
      <c r="D57" s="2266"/>
      <c r="E57" s="2265"/>
      <c r="F57" s="2265"/>
      <c r="G57" s="2265"/>
      <c r="H57" s="2265"/>
      <c r="I57" s="2265"/>
      <c r="J57" s="2265"/>
      <c r="K57" s="164"/>
      <c r="L57" s="164"/>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6" t="s">
        <v>2074</v>
      </c>
      <c r="B58" s="84"/>
      <c r="C58" s="1420">
        <v>3</v>
      </c>
      <c r="D58" s="2266"/>
      <c r="E58" s="2265"/>
      <c r="F58" s="2265"/>
      <c r="G58" s="2265"/>
      <c r="H58" s="2265"/>
      <c r="I58" s="2265"/>
      <c r="J58" s="2265"/>
      <c r="K58" s="164"/>
      <c r="L58" s="164"/>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6" t="s">
        <v>2075</v>
      </c>
      <c r="B59" s="84"/>
      <c r="C59" s="1420">
        <v>1.5</v>
      </c>
      <c r="D59" s="2266"/>
      <c r="E59" s="2265"/>
      <c r="F59" s="2265"/>
      <c r="G59" s="2265"/>
      <c r="H59" s="2265"/>
      <c r="I59" s="2265"/>
      <c r="J59" s="2265"/>
      <c r="K59" s="164"/>
      <c r="L59" s="164"/>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6" t="s">
        <v>2076</v>
      </c>
      <c r="B60" s="84"/>
      <c r="C60" s="2265"/>
      <c r="D60" s="2266"/>
      <c r="E60" s="2265"/>
      <c r="F60" s="2265"/>
      <c r="G60" s="2265"/>
      <c r="H60" s="2265"/>
      <c r="I60" s="2265"/>
      <c r="J60" s="2265"/>
      <c r="K60" s="164"/>
      <c r="L60" s="164"/>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6" t="s">
        <v>2077</v>
      </c>
      <c r="B61" s="84"/>
      <c r="C61" s="2265"/>
      <c r="D61" s="2266"/>
      <c r="E61" s="2265"/>
      <c r="F61" s="2265"/>
      <c r="G61" s="2265"/>
      <c r="H61" s="2265"/>
      <c r="I61" s="2265"/>
      <c r="J61" s="2265"/>
      <c r="K61" s="164"/>
      <c r="L61" s="164"/>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6" t="s">
        <v>2078</v>
      </c>
      <c r="B62" s="84"/>
      <c r="C62" s="2265"/>
      <c r="D62" s="2266"/>
      <c r="E62" s="2265"/>
      <c r="F62" s="2265"/>
      <c r="G62" s="2265"/>
      <c r="H62" s="2265"/>
      <c r="I62" s="2265"/>
      <c r="J62" s="2265"/>
      <c r="K62" s="164"/>
      <c r="L62" s="164"/>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8" t="s">
        <v>2079</v>
      </c>
      <c r="B63" s="131"/>
      <c r="C63" s="2265"/>
      <c r="D63" s="2266"/>
      <c r="E63" s="2265"/>
      <c r="F63" s="2265"/>
      <c r="G63" s="2265"/>
      <c r="H63" s="2265"/>
      <c r="I63" s="2265"/>
      <c r="J63" s="2265"/>
      <c r="K63" s="164"/>
      <c r="L63" s="164"/>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9"/>
      <c r="D64" s="2330"/>
      <c r="K64" s="794"/>
      <c r="L64" s="794"/>
    </row>
    <row r="65" spans="1:12" s="957" customFormat="1">
      <c r="A65" s="2329"/>
      <c r="D65" s="2330"/>
      <c r="K65" s="794"/>
      <c r="L65" s="794"/>
    </row>
    <row r="66" spans="1:12" s="957" customFormat="1">
      <c r="A66" s="2329"/>
      <c r="D66" s="2330"/>
      <c r="K66" s="794"/>
      <c r="L66" s="794"/>
    </row>
    <row r="67" spans="1:12" s="957" customFormat="1">
      <c r="A67" s="2329"/>
      <c r="D67" s="2330"/>
      <c r="K67" s="794"/>
      <c r="L67" s="794"/>
    </row>
    <row r="68" spans="1:12" s="957" customFormat="1">
      <c r="A68" s="2329"/>
      <c r="D68" s="2330"/>
      <c r="K68" s="794"/>
      <c r="L68" s="794"/>
    </row>
    <row r="69" spans="1:12" s="957" customFormat="1">
      <c r="A69" s="2329"/>
      <c r="D69" s="2330"/>
      <c r="K69" s="794"/>
      <c r="L69" s="794"/>
    </row>
    <row r="70" spans="1:12" s="957" customFormat="1">
      <c r="A70" s="2329"/>
      <c r="D70" s="2330"/>
      <c r="K70" s="794"/>
      <c r="L70" s="794"/>
    </row>
    <row r="71" spans="1:12" s="957" customFormat="1">
      <c r="A71" s="2329"/>
      <c r="D71" s="2330"/>
      <c r="K71" s="794"/>
      <c r="L71" s="794"/>
    </row>
    <row r="72" spans="1:12" s="957" customFormat="1">
      <c r="A72" s="2329"/>
      <c r="D72" s="2330"/>
      <c r="K72" s="794"/>
      <c r="L72" s="794"/>
    </row>
    <row r="73" spans="1:12" s="957" customFormat="1">
      <c r="A73" s="2329"/>
      <c r="D73" s="2330"/>
      <c r="K73" s="794"/>
      <c r="L73" s="794"/>
    </row>
    <row r="74" spans="1:12" s="957" customFormat="1">
      <c r="A74" s="2329"/>
      <c r="D74" s="2330"/>
      <c r="K74" s="794"/>
      <c r="L74" s="794"/>
    </row>
    <row r="75" spans="1:12" s="957" customFormat="1">
      <c r="A75" s="2329"/>
      <c r="D75" s="2330"/>
      <c r="K75" s="794"/>
      <c r="L75" s="794"/>
    </row>
    <row r="76" spans="1:12" s="957" customFormat="1">
      <c r="A76" s="2329"/>
      <c r="D76" s="2330"/>
      <c r="K76" s="794"/>
      <c r="L76" s="794"/>
    </row>
    <row r="77" spans="1:12" s="957" customFormat="1">
      <c r="A77" s="2329"/>
      <c r="D77" s="2330"/>
      <c r="K77" s="794"/>
      <c r="L77" s="794"/>
    </row>
    <row r="78" spans="1:12" s="957" customFormat="1">
      <c r="A78" s="2329"/>
      <c r="D78" s="2330"/>
      <c r="K78" s="794"/>
      <c r="L78" s="794"/>
    </row>
    <row r="79" spans="1:12" s="957" customFormat="1">
      <c r="A79" s="2329"/>
      <c r="D79" s="2330"/>
      <c r="K79" s="794"/>
      <c r="L79" s="794"/>
    </row>
    <row r="80" spans="1:12" s="957" customFormat="1">
      <c r="A80" s="2329"/>
      <c r="D80" s="2330"/>
      <c r="K80" s="794"/>
      <c r="L80" s="794"/>
    </row>
    <row r="81" spans="1:12" s="957" customFormat="1">
      <c r="A81" s="2329"/>
      <c r="D81" s="2330"/>
      <c r="K81" s="794"/>
      <c r="L81" s="794"/>
    </row>
    <row r="82" spans="1:12" s="957" customFormat="1">
      <c r="A82" s="2329"/>
      <c r="D82" s="2330"/>
      <c r="K82" s="794"/>
      <c r="L82" s="794"/>
    </row>
    <row r="83" spans="1:12" s="957" customFormat="1">
      <c r="A83" s="2329"/>
      <c r="D83" s="2330"/>
      <c r="K83" s="794"/>
      <c r="L83" s="794"/>
    </row>
    <row r="84" spans="1:12" s="957" customFormat="1">
      <c r="A84" s="2329"/>
      <c r="D84" s="2330"/>
      <c r="K84" s="794"/>
      <c r="L84" s="794"/>
    </row>
    <row r="85" spans="1:12" s="957" customFormat="1">
      <c r="A85" s="2329"/>
      <c r="D85" s="2330"/>
      <c r="K85" s="794"/>
      <c r="L85" s="794"/>
    </row>
    <row r="86" spans="1:12" s="957" customFormat="1">
      <c r="A86" s="2329"/>
      <c r="D86" s="2330"/>
      <c r="K86" s="794"/>
      <c r="L86" s="794"/>
    </row>
    <row r="87" spans="1:12" s="957" customFormat="1">
      <c r="A87" s="2329"/>
      <c r="D87" s="2330"/>
      <c r="K87" s="794"/>
      <c r="L87" s="794"/>
    </row>
    <row r="88" spans="1:12" s="957" customFormat="1">
      <c r="A88" s="2329"/>
      <c r="D88" s="2330"/>
      <c r="K88" s="794"/>
      <c r="L88" s="794"/>
    </row>
    <row r="89" spans="1:12" s="957" customFormat="1">
      <c r="A89" s="2329"/>
      <c r="D89" s="2330"/>
      <c r="K89" s="794"/>
      <c r="L89" s="794"/>
    </row>
    <row r="90" spans="1:12" s="957" customFormat="1">
      <c r="A90" s="2329"/>
      <c r="D90" s="2330"/>
      <c r="K90" s="794"/>
      <c r="L90" s="794"/>
    </row>
    <row r="91" spans="1:12" s="957" customFormat="1">
      <c r="A91" s="2329"/>
      <c r="D91" s="2330"/>
      <c r="K91" s="794"/>
      <c r="L91" s="794"/>
    </row>
    <row r="92" spans="1:12" s="957" customFormat="1">
      <c r="A92" s="2329"/>
      <c r="D92" s="2330"/>
      <c r="K92" s="794"/>
      <c r="L92" s="794"/>
    </row>
    <row r="93" spans="1:12" s="957" customFormat="1">
      <c r="A93" s="2329"/>
      <c r="D93" s="2330"/>
      <c r="K93" s="794"/>
      <c r="L93" s="794"/>
    </row>
    <row r="94" spans="1:12" s="957" customFormat="1">
      <c r="A94" s="2329"/>
      <c r="D94" s="2330"/>
      <c r="K94" s="794"/>
      <c r="L94" s="794"/>
    </row>
    <row r="95" spans="1:12" s="957" customFormat="1">
      <c r="A95" s="2329"/>
      <c r="D95" s="2330"/>
      <c r="K95" s="794"/>
      <c r="L95" s="794"/>
    </row>
    <row r="96" spans="1:12" s="957" customFormat="1">
      <c r="A96" s="2329"/>
      <c r="D96" s="2330"/>
      <c r="K96" s="794"/>
      <c r="L96" s="794"/>
    </row>
    <row r="97" spans="1:12" s="957" customFormat="1">
      <c r="A97" s="2329"/>
      <c r="D97" s="2330"/>
      <c r="K97" s="794"/>
      <c r="L97" s="794"/>
    </row>
    <row r="98" spans="1:12" s="957" customFormat="1">
      <c r="A98" s="2329"/>
      <c r="D98" s="2330"/>
      <c r="K98" s="794"/>
      <c r="L98" s="794"/>
    </row>
    <row r="99" spans="1:12" s="957" customFormat="1">
      <c r="A99" s="2329"/>
      <c r="D99" s="2330"/>
      <c r="K99" s="794"/>
      <c r="L99" s="794"/>
    </row>
    <row r="100" spans="1:12" s="957" customFormat="1">
      <c r="A100" s="2329"/>
      <c r="D100" s="2330"/>
      <c r="K100" s="794"/>
      <c r="L100" s="794"/>
    </row>
    <row r="101" spans="1:12" s="957" customFormat="1">
      <c r="A101" s="2329"/>
      <c r="D101" s="2330"/>
      <c r="K101" s="794"/>
      <c r="L101" s="794"/>
    </row>
    <row r="102" spans="1:12" s="957" customFormat="1">
      <c r="A102" s="2329"/>
      <c r="D102" s="2330"/>
      <c r="K102" s="794"/>
      <c r="L102" s="794"/>
    </row>
    <row r="103" spans="1:12" s="957" customFormat="1">
      <c r="A103" s="2329"/>
      <c r="D103" s="2330"/>
      <c r="K103" s="794"/>
      <c r="L103" s="794"/>
    </row>
    <row r="104" spans="1:12" s="957" customFormat="1">
      <c r="A104" s="2329"/>
      <c r="D104" s="2330"/>
      <c r="K104" s="794"/>
      <c r="L104" s="794"/>
    </row>
    <row r="105" spans="1:12" s="957" customFormat="1">
      <c r="A105" s="2329"/>
      <c r="D105" s="2330"/>
      <c r="K105" s="794"/>
      <c r="L105" s="794"/>
    </row>
    <row r="106" spans="1:12" s="957" customFormat="1">
      <c r="A106" s="2329"/>
      <c r="D106" s="2330"/>
      <c r="K106" s="794"/>
      <c r="L106" s="794"/>
    </row>
    <row r="107" spans="1:12" s="957" customFormat="1">
      <c r="A107" s="2329"/>
      <c r="D107" s="2330"/>
      <c r="K107" s="794"/>
      <c r="L107" s="794"/>
    </row>
    <row r="108" spans="1:12" s="957" customFormat="1">
      <c r="A108" s="2329"/>
      <c r="D108" s="2330"/>
      <c r="K108" s="794"/>
      <c r="L108" s="794"/>
    </row>
    <row r="109" spans="1:12" s="957" customFormat="1">
      <c r="A109" s="2329"/>
      <c r="D109" s="2330"/>
      <c r="K109" s="794"/>
      <c r="L109" s="794"/>
    </row>
    <row r="110" spans="1:12" s="957" customFormat="1">
      <c r="A110" s="2329"/>
      <c r="D110" s="2330"/>
      <c r="K110" s="794"/>
      <c r="L110" s="794"/>
    </row>
    <row r="111" spans="1:12" s="957" customFormat="1">
      <c r="A111" s="2329"/>
      <c r="D111" s="2330"/>
      <c r="K111" s="794"/>
      <c r="L111" s="794"/>
    </row>
    <row r="112" spans="1:12" s="957" customFormat="1">
      <c r="A112" s="2329"/>
      <c r="D112" s="2330"/>
      <c r="K112" s="794"/>
      <c r="L112" s="794"/>
    </row>
    <row r="113" spans="1:12" s="957" customFormat="1">
      <c r="A113" s="2329"/>
      <c r="D113" s="2330"/>
      <c r="K113" s="794"/>
      <c r="L113" s="794"/>
    </row>
    <row r="114" spans="1:12" s="957" customFormat="1">
      <c r="A114" s="2329"/>
      <c r="D114" s="2330"/>
      <c r="K114" s="794"/>
      <c r="L114" s="794"/>
    </row>
    <row r="115" spans="1:12" s="957" customFormat="1">
      <c r="A115" s="2329"/>
      <c r="D115" s="2330"/>
      <c r="K115" s="794"/>
      <c r="L115" s="794"/>
    </row>
    <row r="116" spans="1:12" s="957" customFormat="1">
      <c r="A116" s="2329"/>
      <c r="D116" s="2330"/>
      <c r="K116" s="794"/>
      <c r="L116" s="794"/>
    </row>
    <row r="117" spans="1:12" s="957" customFormat="1">
      <c r="A117" s="2329"/>
      <c r="D117" s="2330"/>
      <c r="K117" s="794"/>
      <c r="L117" s="794"/>
    </row>
    <row r="118" spans="1:12" s="957" customFormat="1">
      <c r="A118" s="2329"/>
      <c r="D118" s="2330"/>
      <c r="K118" s="794"/>
      <c r="L118" s="794"/>
    </row>
    <row r="119" spans="1:12" s="957" customFormat="1">
      <c r="A119" s="2329"/>
      <c r="D119" s="2330"/>
      <c r="K119" s="794"/>
      <c r="L119" s="794"/>
    </row>
    <row r="120" spans="1:12" s="957" customFormat="1">
      <c r="A120" s="2329"/>
      <c r="D120" s="2330"/>
      <c r="K120" s="794"/>
      <c r="L120" s="794"/>
    </row>
    <row r="121" spans="1:12" s="957" customFormat="1">
      <c r="A121" s="2329"/>
      <c r="D121" s="2330"/>
      <c r="K121" s="794"/>
      <c r="L121" s="794"/>
    </row>
    <row r="122" spans="1:12" s="957" customFormat="1">
      <c r="A122" s="2329"/>
      <c r="D122" s="2330"/>
      <c r="K122" s="794"/>
      <c r="L122" s="794"/>
    </row>
    <row r="123" spans="1:12" s="957" customFormat="1">
      <c r="A123" s="2329"/>
      <c r="D123" s="2330"/>
      <c r="K123" s="794"/>
      <c r="L123" s="794"/>
    </row>
    <row r="124" spans="1:12" s="957" customFormat="1">
      <c r="A124" s="2329"/>
      <c r="D124" s="2330"/>
      <c r="K124" s="794"/>
      <c r="L124" s="794"/>
    </row>
    <row r="125" spans="1:12" s="957" customFormat="1">
      <c r="A125" s="2329"/>
      <c r="D125" s="2330"/>
      <c r="K125" s="794"/>
      <c r="L125" s="794"/>
    </row>
    <row r="126" spans="1:12" s="957" customFormat="1">
      <c r="A126" s="2329"/>
      <c r="D126" s="2330"/>
      <c r="K126" s="794"/>
      <c r="L126" s="794"/>
    </row>
    <row r="127" spans="1:12" s="957" customFormat="1">
      <c r="A127" s="2329"/>
      <c r="D127" s="2330"/>
      <c r="K127" s="794"/>
      <c r="L127" s="794"/>
    </row>
    <row r="128" spans="1:12" s="957" customFormat="1">
      <c r="A128" s="2329"/>
      <c r="D128" s="2330"/>
      <c r="K128" s="794"/>
      <c r="L128" s="794"/>
    </row>
    <row r="129" spans="1:12" s="957" customFormat="1">
      <c r="A129" s="2329"/>
      <c r="D129" s="2330"/>
      <c r="K129" s="794"/>
      <c r="L129" s="794"/>
    </row>
    <row r="130" spans="1:12" s="957" customFormat="1">
      <c r="A130" s="2329"/>
      <c r="D130" s="2330"/>
      <c r="K130" s="794"/>
      <c r="L130" s="794"/>
    </row>
    <row r="131" spans="1:12" s="957" customFormat="1">
      <c r="A131" s="2329"/>
      <c r="D131" s="2330"/>
      <c r="K131" s="794"/>
      <c r="L131" s="794"/>
    </row>
    <row r="132" spans="1:12" s="957" customFormat="1">
      <c r="A132" s="2329"/>
      <c r="D132" s="2330"/>
      <c r="K132" s="794"/>
      <c r="L132" s="794"/>
    </row>
    <row r="133" spans="1:12" s="957"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mergeCells count="4">
    <mergeCell ref="L19:N19"/>
    <mergeCell ref="O19:P19"/>
    <mergeCell ref="O20:P20"/>
    <mergeCell ref="O21:P21"/>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0',20);"/>
    <hyperlink ref="O21:P21" r:id="rId2" display="javascript:top.main.DataEdit('50',20);"/>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8.875"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625" style="2384" customWidth="1"/>
    <col min="10" max="10" width="2.625" style="2383" customWidth="1"/>
    <col min="11" max="11" width="11.875" style="2383" customWidth="1"/>
    <col min="12" max="12" width="16.625" style="2384" customWidth="1"/>
    <col min="13" max="13" width="2.625" style="2383" customWidth="1"/>
    <col min="14" max="14" width="11.875" style="2383" customWidth="1"/>
    <col min="15" max="15" width="16.625" style="2384" customWidth="1"/>
    <col min="16" max="16" width="2.625" style="2383" customWidth="1"/>
    <col min="17" max="17" width="11.875" style="2383" customWidth="1"/>
    <col min="18" max="18" width="16.625" style="2385" customWidth="1"/>
    <col min="19" max="29" width="8.875" style="2356"/>
    <col min="30" max="16384" width="8.875" style="2357"/>
  </cols>
  <sheetData>
    <row r="1" spans="1:29" s="2350" customFormat="1" ht="19.5" thickBot="1">
      <c r="A1" s="3253" t="s">
        <v>2080</v>
      </c>
      <c r="B1" s="3254"/>
      <c r="C1" s="3254"/>
      <c r="D1" s="3254"/>
      <c r="E1" s="3254"/>
      <c r="F1" s="3254"/>
      <c r="G1" s="3254"/>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4"/>
      <c r="G2" s="2353" t="s">
        <v>2082</v>
      </c>
      <c r="H2" s="2356"/>
      <c r="I2" s="2356"/>
      <c r="J2" s="2356"/>
      <c r="K2" s="2356"/>
      <c r="L2" s="2356"/>
      <c r="M2" s="2356"/>
      <c r="N2" s="2356"/>
      <c r="O2" s="2356"/>
      <c r="P2" s="2356"/>
      <c r="Q2" s="2356"/>
      <c r="R2" s="2356"/>
    </row>
    <row r="3" spans="1:29" ht="27">
      <c r="A3" s="411" t="s">
        <v>2083</v>
      </c>
      <c r="B3" s="1261" t="s">
        <v>2084</v>
      </c>
      <c r="C3" s="2986" t="s">
        <v>3368</v>
      </c>
      <c r="D3" s="2358"/>
      <c r="E3" s="427" t="s">
        <v>2083</v>
      </c>
      <c r="F3" s="2359" t="s">
        <v>2085</v>
      </c>
      <c r="G3" s="2360"/>
      <c r="H3" s="2356"/>
      <c r="I3" s="2356"/>
      <c r="J3" s="2356"/>
      <c r="K3" s="2356"/>
      <c r="L3" s="2356"/>
      <c r="M3" s="2356"/>
      <c r="N3" s="2356"/>
      <c r="O3" s="2356"/>
      <c r="P3" s="2356"/>
      <c r="Q3" s="2356"/>
      <c r="R3" s="2356"/>
    </row>
    <row r="4" spans="1:29" ht="27.75">
      <c r="A4" s="427"/>
      <c r="B4" s="1787" t="s">
        <v>2086</v>
      </c>
      <c r="C4" s="2361" t="s">
        <v>3367</v>
      </c>
      <c r="D4" s="2358"/>
      <c r="E4" s="2362"/>
      <c r="F4" s="42" t="s">
        <v>2087</v>
      </c>
      <c r="G4" s="2363"/>
      <c r="H4" s="2356"/>
      <c r="I4" s="2356"/>
      <c r="J4" s="2356"/>
      <c r="K4" s="2356"/>
      <c r="L4" s="2356"/>
      <c r="M4" s="2356"/>
      <c r="N4" s="2356"/>
      <c r="O4" s="2356"/>
      <c r="P4" s="2356"/>
      <c r="Q4" s="2356"/>
      <c r="R4" s="2356"/>
    </row>
    <row r="5" spans="1:29" ht="27.75">
      <c r="A5" s="427"/>
      <c r="B5" s="1787" t="s">
        <v>2088</v>
      </c>
      <c r="C5" s="2361" t="s">
        <v>3366</v>
      </c>
      <c r="D5" s="2358"/>
      <c r="E5" s="2362"/>
      <c r="F5" s="1787" t="s">
        <v>2089</v>
      </c>
      <c r="G5" s="2363"/>
      <c r="H5" s="2356"/>
      <c r="I5" s="2356"/>
      <c r="J5" s="2356"/>
      <c r="K5" s="2356"/>
      <c r="L5" s="2356"/>
      <c r="M5" s="2356"/>
      <c r="N5" s="2356"/>
      <c r="O5" s="2356"/>
      <c r="P5" s="2356"/>
      <c r="Q5" s="2356"/>
      <c r="R5" s="2356"/>
    </row>
    <row r="6" spans="1:29" ht="40.5">
      <c r="A6" s="427"/>
      <c r="B6" s="1787" t="s">
        <v>2090</v>
      </c>
      <c r="C6" s="2985" t="s">
        <v>3369</v>
      </c>
      <c r="D6" s="2358"/>
      <c r="E6" s="2362"/>
      <c r="F6" s="1787" t="s">
        <v>2091</v>
      </c>
      <c r="G6" s="2363"/>
      <c r="H6" s="2356"/>
      <c r="I6" s="2356"/>
      <c r="J6" s="2356"/>
      <c r="K6" s="2356"/>
      <c r="L6" s="2356"/>
      <c r="M6" s="2356"/>
      <c r="N6" s="2356"/>
      <c r="O6" s="2356"/>
      <c r="P6" s="2356"/>
      <c r="Q6" s="2356"/>
      <c r="R6" s="2356"/>
    </row>
    <row r="7" spans="1:29" ht="15.75" thickBot="1">
      <c r="A7" s="427"/>
      <c r="B7" s="1787" t="s">
        <v>2089</v>
      </c>
      <c r="C7" s="2363"/>
      <c r="D7" s="2364"/>
      <c r="E7" s="2365"/>
      <c r="F7" s="2366" t="s">
        <v>2092</v>
      </c>
      <c r="G7" s="2367"/>
      <c r="H7" s="2356"/>
      <c r="I7" s="2356"/>
      <c r="J7" s="2356"/>
      <c r="K7" s="2356"/>
      <c r="L7" s="2356"/>
      <c r="M7" s="2356"/>
      <c r="N7" s="2356"/>
      <c r="O7" s="2356"/>
      <c r="P7" s="2356"/>
      <c r="Q7" s="2356"/>
      <c r="R7" s="2356"/>
    </row>
    <row r="8" spans="1:29" ht="15">
      <c r="A8" s="427"/>
      <c r="B8" s="1787" t="s">
        <v>2091</v>
      </c>
      <c r="C8" s="2363"/>
      <c r="D8" s="2364"/>
      <c r="E8" s="2364"/>
      <c r="F8" s="1126"/>
      <c r="G8" s="1126"/>
      <c r="H8" s="2356"/>
      <c r="I8" s="2356"/>
      <c r="J8" s="2356"/>
      <c r="K8" s="2356"/>
      <c r="L8" s="2356"/>
      <c r="M8" s="2356"/>
      <c r="N8" s="2356"/>
      <c r="O8" s="2356"/>
      <c r="P8" s="2356"/>
      <c r="Q8" s="2356"/>
      <c r="R8" s="2356"/>
    </row>
    <row r="9" spans="1:29" ht="15">
      <c r="A9" s="427"/>
      <c r="B9" s="1787" t="s">
        <v>2093</v>
      </c>
      <c r="C9" s="2361"/>
      <c r="D9" s="2358"/>
      <c r="E9" s="2364"/>
      <c r="F9" s="1126"/>
      <c r="G9" s="1126"/>
      <c r="H9" s="2356"/>
      <c r="I9" s="2356"/>
      <c r="J9" s="2356"/>
      <c r="K9" s="2356"/>
      <c r="L9" s="2356"/>
      <c r="M9" s="2356"/>
      <c r="N9" s="2356"/>
      <c r="O9" s="2356"/>
      <c r="P9" s="2356"/>
      <c r="Q9" s="2356"/>
      <c r="R9" s="2356"/>
    </row>
    <row r="10" spans="1:29" s="116" customFormat="1" ht="15.75" thickBot="1">
      <c r="A10" s="2368"/>
      <c r="B10" s="2369" t="s">
        <v>2094</v>
      </c>
      <c r="C10" s="2370"/>
      <c r="D10" s="2358"/>
      <c r="E10" s="2358"/>
      <c r="F10" s="1126"/>
      <c r="G10" s="1126"/>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6" customFormat="1" ht="15">
      <c r="A11" s="2374"/>
      <c r="B11" s="2364"/>
      <c r="C11" s="2358"/>
      <c r="D11" s="2358"/>
      <c r="E11" s="2358"/>
      <c r="F11" s="2364"/>
      <c r="G11" s="1144"/>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4"/>
      <c r="C12" s="2358"/>
      <c r="D12" s="2375"/>
      <c r="E12" s="2358"/>
      <c r="F12" s="2364"/>
      <c r="G12" s="1144"/>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2095</v>
      </c>
      <c r="B13" s="2375"/>
      <c r="C13" s="2375"/>
      <c r="D13" s="2382"/>
      <c r="E13" s="2375"/>
      <c r="F13" s="2375"/>
      <c r="G13" s="2375"/>
    </row>
    <row r="14" spans="1:29" ht="15.75" thickBot="1">
      <c r="A14" s="2386"/>
      <c r="B14" s="2387"/>
      <c r="C14" s="2388" t="s">
        <v>2096</v>
      </c>
      <c r="D14" s="2358"/>
      <c r="E14" s="2389"/>
      <c r="F14" s="2389"/>
      <c r="G14" s="2353" t="s">
        <v>2097</v>
      </c>
    </row>
    <row r="15" spans="1:29" ht="28.5">
      <c r="A15" s="68" t="s">
        <v>2098</v>
      </c>
      <c r="B15" s="1260" t="s">
        <v>2084</v>
      </c>
      <c r="C15" s="2390" t="str">
        <f>C3</f>
        <v>周边居住用地比例、居住小区规模和社区发展完善程度</v>
      </c>
      <c r="D15" s="2358"/>
      <c r="E15" s="2391" t="s">
        <v>2099</v>
      </c>
      <c r="F15" s="1260" t="s">
        <v>2100</v>
      </c>
      <c r="G15" s="132">
        <f>G3</f>
        <v>0</v>
      </c>
    </row>
    <row r="16" spans="1:29" ht="28.5">
      <c r="A16" s="641"/>
      <c r="B16" s="2392" t="s">
        <v>2086</v>
      </c>
      <c r="C16" s="2393" t="str">
        <f>C4</f>
        <v>XX商圈，周边商业氛围，人流量</v>
      </c>
      <c r="D16" s="2358"/>
      <c r="E16" s="2394"/>
      <c r="F16" s="2395" t="s">
        <v>2087</v>
      </c>
      <c r="G16" s="133">
        <f>G4</f>
        <v>0</v>
      </c>
    </row>
    <row r="17" spans="1:18" ht="28.5">
      <c r="A17" s="641"/>
      <c r="B17" s="2392" t="s">
        <v>2088</v>
      </c>
      <c r="C17" s="2393" t="str">
        <f>C5</f>
        <v>XX商圈，周边办公楼项目，入驻率</v>
      </c>
      <c r="D17" s="2364"/>
      <c r="E17" s="2394"/>
      <c r="F17" s="2395" t="s">
        <v>2101</v>
      </c>
      <c r="G17" s="1561"/>
    </row>
    <row r="18" spans="1:18" ht="42.75">
      <c r="A18" s="641"/>
      <c r="B18" s="2395" t="s">
        <v>2090</v>
      </c>
      <c r="C18" s="133" t="str">
        <f>C6</f>
        <v>周边道路状况、公共交通通达情况、停车便捷程度（地铁三号线观音桥</v>
      </c>
      <c r="D18" s="2364"/>
      <c r="E18" s="2394"/>
      <c r="F18" s="2395" t="s">
        <v>2092</v>
      </c>
      <c r="G18" s="133">
        <f>G7</f>
        <v>0</v>
      </c>
    </row>
    <row r="19" spans="1:18" ht="15">
      <c r="A19" s="641"/>
      <c r="B19" s="2395" t="s">
        <v>2102</v>
      </c>
      <c r="C19" s="1561"/>
      <c r="D19" s="2358"/>
      <c r="E19" s="2394"/>
      <c r="F19" s="1787" t="s">
        <v>2089</v>
      </c>
      <c r="G19" s="133">
        <f>G5</f>
        <v>0</v>
      </c>
    </row>
    <row r="20" spans="1:18" ht="15">
      <c r="A20" s="641"/>
      <c r="B20" s="2395" t="s">
        <v>2103</v>
      </c>
      <c r="C20" s="2393">
        <f>C9</f>
        <v>0</v>
      </c>
      <c r="D20" s="2364"/>
      <c r="E20" s="2394"/>
      <c r="F20" s="1787" t="s">
        <v>2104</v>
      </c>
      <c r="G20" s="133">
        <f>G6</f>
        <v>0</v>
      </c>
    </row>
    <row r="21" spans="1:18" ht="15">
      <c r="A21" s="641"/>
      <c r="B21" s="1787" t="s">
        <v>2089</v>
      </c>
      <c r="C21" s="133">
        <f>C7</f>
        <v>0</v>
      </c>
      <c r="D21" s="2358"/>
      <c r="E21" s="2394"/>
      <c r="F21" s="2395" t="s">
        <v>2105</v>
      </c>
      <c r="G21" s="2396"/>
    </row>
    <row r="22" spans="1:18" ht="13.5" customHeight="1">
      <c r="A22" s="641"/>
      <c r="B22" s="1787" t="s">
        <v>2091</v>
      </c>
      <c r="C22" s="133">
        <f>C8</f>
        <v>0</v>
      </c>
      <c r="D22" s="2358"/>
      <c r="E22" s="2394"/>
      <c r="F22" s="2395" t="s">
        <v>2094</v>
      </c>
      <c r="G22" s="1561"/>
    </row>
    <row r="23" spans="1:18" s="2356" customFormat="1" ht="15.75" thickBot="1">
      <c r="A23" s="641"/>
      <c r="B23" s="2395" t="s">
        <v>2105</v>
      </c>
      <c r="C23" s="2396"/>
      <c r="D23" s="2383"/>
      <c r="E23" s="2397"/>
      <c r="F23" s="2398" t="s">
        <v>2106</v>
      </c>
      <c r="G23" s="2399"/>
      <c r="H23" s="2383"/>
      <c r="I23" s="2384"/>
      <c r="J23" s="2383"/>
      <c r="K23" s="2383"/>
      <c r="L23" s="2384"/>
      <c r="M23" s="2383"/>
      <c r="N23" s="2383"/>
      <c r="O23" s="2384"/>
      <c r="P23" s="2383"/>
      <c r="Q23" s="2383"/>
      <c r="R23" s="2385"/>
    </row>
    <row r="24" spans="1:18" s="2356" customFormat="1" ht="15.75" thickBot="1">
      <c r="A24" s="2400"/>
      <c r="B24" s="2398" t="s">
        <v>2107</v>
      </c>
      <c r="C24" s="134">
        <f>C10</f>
        <v>0</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C8" sqref="C8"/>
    </sheetView>
  </sheetViews>
  <sheetFormatPr defaultColWidth="8.875" defaultRowHeight="13.5"/>
  <cols>
    <col min="1" max="1" width="3.5" style="1008" customWidth="1"/>
    <col min="2" max="9" width="10" style="1008" customWidth="1"/>
    <col min="10" max="16384" width="8.875" style="1008"/>
  </cols>
  <sheetData>
    <row r="36" spans="1:9">
      <c r="A36" s="1007" t="s">
        <v>818</v>
      </c>
      <c r="B36" s="1007" t="s">
        <v>819</v>
      </c>
    </row>
    <row r="37" spans="1:9" ht="27.75" customHeight="1">
      <c r="A37" s="1007"/>
      <c r="B37" s="3158" t="str">
        <f>项目基本情况!B1</f>
        <v>重庆市江北区观音桥组团I分区I29-3-/02地块“隆鑫中心”项目出让国有建设用地使用权及在建建筑物房地产抵押价值预评估</v>
      </c>
      <c r="C37" s="3158"/>
      <c r="D37" s="3158"/>
      <c r="E37" s="3158"/>
      <c r="F37" s="3158"/>
      <c r="G37" s="3158"/>
      <c r="H37" s="3158"/>
      <c r="I37" s="3158"/>
    </row>
    <row r="38" spans="1:9">
      <c r="A38" s="1009"/>
      <c r="B38" s="1009"/>
    </row>
    <row r="39" spans="1:9">
      <c r="A39" s="1007" t="s">
        <v>818</v>
      </c>
      <c r="B39" s="1007" t="s">
        <v>820</v>
      </c>
    </row>
    <row r="40" spans="1:9">
      <c r="A40" s="1007"/>
      <c r="B40" s="1934" t="str">
        <f>项目基本情况!B5</f>
        <v>中国东方资产管理股份有限公司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王鹏（注册号：1120050019)、郑燚（注册号：1120070131)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15" sqref="C15"/>
    </sheetView>
  </sheetViews>
  <sheetFormatPr defaultColWidth="8.875" defaultRowHeight="13.5"/>
  <cols>
    <col min="1" max="1" width="23.375" style="1730" customWidth="1"/>
    <col min="2" max="9" width="15.625" style="1730" customWidth="1"/>
    <col min="10" max="16384" width="8.875" style="1730"/>
  </cols>
  <sheetData>
    <row r="1" spans="1:10" ht="16.5">
      <c r="A1" s="1735" t="s">
        <v>1365</v>
      </c>
      <c r="B1" s="1735">
        <f>SUM(B14:B23)</f>
        <v>374875.08999999997</v>
      </c>
      <c r="C1" s="1734"/>
      <c r="D1" s="1734"/>
      <c r="E1" s="1734"/>
      <c r="F1" s="1734"/>
      <c r="G1" s="1732"/>
    </row>
    <row r="2" spans="1:10" ht="16.5">
      <c r="A2" s="1735" t="s">
        <v>1353</v>
      </c>
      <c r="B2" s="1735">
        <f>SUM(C14:C23)</f>
        <v>25136</v>
      </c>
      <c r="C2" s="1734"/>
      <c r="D2" s="1734"/>
      <c r="E2" s="1734"/>
      <c r="F2" s="1734"/>
      <c r="G2" s="1732"/>
    </row>
    <row r="3" spans="1:10" ht="16.5">
      <c r="A3" s="1735" t="s">
        <v>1362</v>
      </c>
      <c r="B3" s="1736">
        <f>项目基本情况!D3</f>
        <v>43332</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405914</v>
      </c>
      <c r="C5" s="1735">
        <f ca="1">ROUND(B5*10000/$B$1,0)</f>
        <v>10828</v>
      </c>
      <c r="D5" s="1735">
        <f ca="1">ROUND(B5*10000/$B$2,0)</f>
        <v>161487</v>
      </c>
      <c r="E5" s="1734"/>
      <c r="F5" s="1732"/>
      <c r="G5" s="1732"/>
    </row>
    <row r="6" spans="1:10" ht="16.5">
      <c r="A6" s="1735" t="s">
        <v>1356</v>
      </c>
      <c r="B6" s="1735">
        <f>SUM(G14:G23)</f>
        <v>0</v>
      </c>
      <c r="C6" s="1735">
        <f>ROUND(B6*10000/$B$1,0)</f>
        <v>0</v>
      </c>
      <c r="D6" s="1735">
        <f>ROUND(B6*10000/$B$2,0)</f>
        <v>0</v>
      </c>
      <c r="E6" s="1734"/>
      <c r="F6" s="1732"/>
      <c r="G6" s="1732"/>
    </row>
    <row r="7" spans="1:10" ht="16.5">
      <c r="A7" s="1735" t="s">
        <v>1364</v>
      </c>
      <c r="B7" s="1735">
        <f ca="1">SUM(H14:H23)</f>
        <v>400098</v>
      </c>
      <c r="C7" s="1735">
        <f ca="1">ROUND(B7*10000/$B$1,0)</f>
        <v>10673</v>
      </c>
      <c r="D7" s="1735">
        <f ca="1">ROUND(B7*10000/$B$2,0)</f>
        <v>159173</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374875.08999999997</v>
      </c>
      <c r="C14" s="1733">
        <f>结果表!C118</f>
        <v>25136</v>
      </c>
      <c r="D14" s="1733">
        <f ca="1">结果表!H118</f>
        <v>405914</v>
      </c>
      <c r="E14" s="1733">
        <f ca="1">ROUND(D14*10000/B14,0)</f>
        <v>10828</v>
      </c>
      <c r="F14" s="1733">
        <f ca="1">ROUND(D14*10000/C14,0)</f>
        <v>161487</v>
      </c>
      <c r="G14" s="1733" t="str">
        <f>结果表!D122</f>
        <v>——</v>
      </c>
      <c r="H14" s="1733">
        <f ca="1">结果表!D124</f>
        <v>400098</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F52" zoomScaleSheetLayoutView="100" workbookViewId="0">
      <selection activeCell="L77" sqref="L77"/>
    </sheetView>
  </sheetViews>
  <sheetFormatPr defaultColWidth="12.625" defaultRowHeight="21.75" customHeight="1"/>
  <cols>
    <col min="1" max="2" width="12.625" style="2412"/>
    <col min="3" max="4" width="12.625" style="2412" customWidth="1"/>
    <col min="5" max="9" width="12.625" style="2412"/>
    <col min="10" max="11" width="12.625" style="791" customWidth="1"/>
    <col min="12" max="12" width="12.625" style="791"/>
    <col min="13" max="13" width="14.125" style="791" bestFit="1" customWidth="1"/>
    <col min="14" max="26" width="12.625" style="791"/>
    <col min="27" max="35" width="12.625" style="2411"/>
    <col min="36" max="16384" width="12.625" style="2412"/>
  </cols>
  <sheetData>
    <row r="1" spans="1:12" ht="21.75" customHeight="1" thickBot="1">
      <c r="A1" s="2214" t="s">
        <v>2108</v>
      </c>
      <c r="B1" s="2406"/>
      <c r="C1" s="2407"/>
      <c r="D1" s="2406"/>
      <c r="E1" s="2406"/>
      <c r="F1" s="2408" t="s">
        <v>2109</v>
      </c>
      <c r="G1" s="2060" t="s">
        <v>2110</v>
      </c>
      <c r="H1" s="2409" t="str">
        <f>IF(G1="现房","——","估价对象范围")</f>
        <v>估价对象范围</v>
      </c>
      <c r="I1" s="2410" t="s">
        <v>3082</v>
      </c>
    </row>
    <row r="2" spans="1:12" ht="21.75" customHeight="1" thickBot="1">
      <c r="A2" s="3327" t="str">
        <f>项目基本情况!S2</f>
        <v>重庆市江北区观音桥组团I分区I29-3-/02地块“隆鑫中心”项目出让国有建设用地使用权及在建建筑物房地产</v>
      </c>
      <c r="B2" s="3328"/>
      <c r="C2" s="3328"/>
      <c r="D2" s="3328"/>
      <c r="E2" s="3328"/>
      <c r="F2" s="3328"/>
      <c r="G2" s="3328"/>
      <c r="H2" s="3328"/>
      <c r="I2" s="3329"/>
    </row>
    <row r="3" spans="1:12" ht="12.75">
      <c r="A3" s="3330" t="s">
        <v>2111</v>
      </c>
      <c r="B3" s="3331"/>
      <c r="C3" s="3331"/>
      <c r="D3" s="3331"/>
      <c r="E3" s="3331"/>
      <c r="F3" s="3331"/>
      <c r="G3" s="3331"/>
      <c r="H3" s="3331"/>
      <c r="I3" s="3331"/>
    </row>
    <row r="4" spans="1:12" ht="14.25">
      <c r="A4" s="2413" t="s">
        <v>2112</v>
      </c>
      <c r="B4" s="2414" t="s">
        <v>2113</v>
      </c>
      <c r="C4" s="2415" t="s">
        <v>3080</v>
      </c>
      <c r="D4" s="2415" t="s">
        <v>3081</v>
      </c>
      <c r="E4" s="3311" t="s">
        <v>2114</v>
      </c>
      <c r="F4" s="3324"/>
      <c r="G4" s="3324"/>
      <c r="H4" s="3324"/>
      <c r="I4" s="3312"/>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302" t="s">
        <v>2115</v>
      </c>
      <c r="B5" s="3224">
        <v>25</v>
      </c>
      <c r="C5" s="3332"/>
      <c r="D5" s="3320"/>
      <c r="E5" s="137" t="s">
        <v>2116</v>
      </c>
      <c r="F5" s="2417"/>
      <c r="G5" s="2417"/>
      <c r="H5" s="2417"/>
      <c r="I5" s="1823"/>
    </row>
    <row r="6" spans="1:12" ht="12.75">
      <c r="A6" s="3302"/>
      <c r="B6" s="3224"/>
      <c r="C6" s="3334"/>
      <c r="D6" s="3320"/>
      <c r="E6" s="137" t="s">
        <v>2117</v>
      </c>
      <c r="F6" s="2417"/>
      <c r="G6" s="2417"/>
      <c r="H6" s="2417"/>
      <c r="I6" s="1823"/>
    </row>
    <row r="7" spans="1:12" ht="12.75">
      <c r="A7" s="3302"/>
      <c r="B7" s="3224"/>
      <c r="C7" s="3333"/>
      <c r="D7" s="3320"/>
      <c r="E7" s="137" t="s">
        <v>2118</v>
      </c>
      <c r="F7" s="2417"/>
      <c r="G7" s="2417"/>
      <c r="H7" s="2417"/>
      <c r="I7" s="1823"/>
    </row>
    <row r="8" spans="1:12" ht="12.75">
      <c r="A8" s="3302" t="s">
        <v>2119</v>
      </c>
      <c r="B8" s="3224">
        <v>15</v>
      </c>
      <c r="C8" s="3332"/>
      <c r="D8" s="3320"/>
      <c r="E8" s="137" t="s">
        <v>2120</v>
      </c>
      <c r="F8" s="2417"/>
      <c r="G8" s="2417"/>
      <c r="H8" s="2417"/>
      <c r="I8" s="1823"/>
    </row>
    <row r="9" spans="1:12" ht="12.75">
      <c r="A9" s="3302"/>
      <c r="B9" s="3224"/>
      <c r="C9" s="3333"/>
      <c r="D9" s="3320"/>
      <c r="E9" s="137" t="s">
        <v>2121</v>
      </c>
      <c r="F9" s="2417"/>
      <c r="G9" s="2417"/>
      <c r="H9" s="2417"/>
      <c r="I9" s="1823"/>
    </row>
    <row r="10" spans="1:12" ht="12.75">
      <c r="A10" s="3302" t="s">
        <v>2122</v>
      </c>
      <c r="B10" s="3224">
        <v>15</v>
      </c>
      <c r="C10" s="3332"/>
      <c r="D10" s="3320"/>
      <c r="E10" s="137" t="s">
        <v>2123</v>
      </c>
      <c r="F10" s="2417"/>
      <c r="G10" s="2417"/>
      <c r="H10" s="2417"/>
      <c r="I10" s="1823"/>
    </row>
    <row r="11" spans="1:12" ht="12.75">
      <c r="A11" s="3302"/>
      <c r="B11" s="3224"/>
      <c r="C11" s="3333"/>
      <c r="D11" s="3320"/>
      <c r="E11" s="137" t="s">
        <v>2124</v>
      </c>
      <c r="F11" s="2417"/>
      <c r="G11" s="2417"/>
      <c r="H11" s="2417"/>
      <c r="I11" s="1823"/>
    </row>
    <row r="12" spans="1:12" ht="12.75">
      <c r="A12" s="3302" t="s">
        <v>2125</v>
      </c>
      <c r="B12" s="3224">
        <v>15</v>
      </c>
      <c r="C12" s="3332"/>
      <c r="D12" s="3320"/>
      <c r="E12" s="137" t="s">
        <v>2126</v>
      </c>
      <c r="F12" s="2417"/>
      <c r="G12" s="2417"/>
      <c r="H12" s="2417"/>
      <c r="I12" s="1823"/>
    </row>
    <row r="13" spans="1:12" ht="12.75">
      <c r="A13" s="3302"/>
      <c r="B13" s="3224"/>
      <c r="C13" s="3333"/>
      <c r="D13" s="3320"/>
      <c r="E13" s="137" t="s">
        <v>2127</v>
      </c>
      <c r="F13" s="2417"/>
      <c r="G13" s="2417"/>
      <c r="H13" s="2417"/>
      <c r="I13" s="1823"/>
    </row>
    <row r="14" spans="1:12" ht="12.75">
      <c r="A14" s="3302" t="s">
        <v>2128</v>
      </c>
      <c r="B14" s="3224">
        <v>30</v>
      </c>
      <c r="C14" s="3332">
        <v>5</v>
      </c>
      <c r="D14" s="3320">
        <v>5</v>
      </c>
      <c r="E14" s="137" t="s">
        <v>2129</v>
      </c>
      <c r="F14" s="2417"/>
      <c r="G14" s="2417"/>
      <c r="H14" s="2417"/>
      <c r="I14" s="1823"/>
    </row>
    <row r="15" spans="1:12" ht="12.75">
      <c r="A15" s="3302"/>
      <c r="B15" s="3224"/>
      <c r="C15" s="3334"/>
      <c r="D15" s="3320"/>
      <c r="E15" s="137" t="s">
        <v>2130</v>
      </c>
      <c r="F15" s="2417"/>
      <c r="G15" s="2417"/>
      <c r="H15" s="2417"/>
      <c r="I15" s="1823"/>
    </row>
    <row r="16" spans="1:12" ht="12.75">
      <c r="A16" s="3302"/>
      <c r="B16" s="3224"/>
      <c r="C16" s="3333"/>
      <c r="D16" s="3320"/>
      <c r="E16" s="137" t="s">
        <v>2131</v>
      </c>
      <c r="F16" s="2417"/>
      <c r="G16" s="2417"/>
      <c r="H16" s="2417"/>
      <c r="I16" s="1823"/>
    </row>
    <row r="17" spans="1:35" ht="15">
      <c r="A17" s="2418" t="s">
        <v>2132</v>
      </c>
      <c r="B17" s="64"/>
      <c r="C17" s="138">
        <f>SUM(C5:C16)</f>
        <v>5</v>
      </c>
      <c r="D17" s="138">
        <f>SUM(D5:D16)</f>
        <v>5</v>
      </c>
      <c r="E17" s="135"/>
      <c r="F17" s="135"/>
      <c r="G17" s="135"/>
      <c r="H17" s="135"/>
      <c r="I17" s="135"/>
      <c r="K17" s="2416"/>
      <c r="L17" s="2419" t="s">
        <v>2133</v>
      </c>
      <c r="M17" s="2419" t="s">
        <v>2134</v>
      </c>
    </row>
    <row r="18" spans="1:35" ht="15.75" thickBot="1">
      <c r="A18" s="2420" t="s">
        <v>2135</v>
      </c>
      <c r="B18" s="2421"/>
      <c r="C18" s="139">
        <f>ROUND(C17/SUM(C17:D17),2)</f>
        <v>0.5</v>
      </c>
      <c r="D18" s="139">
        <f>1-C18</f>
        <v>0.5</v>
      </c>
      <c r="E18" s="135"/>
      <c r="F18" s="135"/>
      <c r="G18" s="135"/>
      <c r="H18" s="135"/>
      <c r="I18" s="135"/>
      <c r="K18" s="2416" t="s">
        <v>2136</v>
      </c>
      <c r="L18" s="2416">
        <f>IF(C1="",'数据-汇总表'!E3,SUMIF(项目类型,C1,'数据-汇总表'!E17:E26)+SUMIF(项目类型,C1,'数据-汇总表'!I17:I26))</f>
        <v>374875.08999999997</v>
      </c>
      <c r="M18" s="2416">
        <f>IF(C1="",'数据-汇总表'!E3,SUMIF(项目类型,C1,'数据-汇总表'!E17:E26))</f>
        <v>374875.08999999997</v>
      </c>
    </row>
    <row r="19" spans="1:35" ht="15">
      <c r="A19" s="2422" t="s">
        <v>2137</v>
      </c>
      <c r="B19" s="2423" t="s">
        <v>2138</v>
      </c>
      <c r="C19" s="140">
        <f ca="1">SUMIF(INDIRECT("'"&amp;C4&amp;"'"&amp;"!A:A"),结果表!B19,INDIRECT("'"&amp;C4&amp;"'"&amp;"!B:B"))</f>
        <v>383261</v>
      </c>
      <c r="D19" s="141">
        <f ca="1">SUMIF(INDIRECT("'"&amp;D4&amp;"'"&amp;"!A:A"),结果表!B19,INDIRECT("'"&amp;D4&amp;"'"&amp;"!B:B"))</f>
        <v>428566</v>
      </c>
      <c r="E19" s="2422" t="s">
        <v>2139</v>
      </c>
      <c r="F19" s="2423" t="s">
        <v>2138</v>
      </c>
      <c r="G19" s="142">
        <f ca="1">ROUND(C19*$C$18+D19*$D$18,0)</f>
        <v>405914</v>
      </c>
      <c r="H19" s="2424" t="s">
        <v>2140</v>
      </c>
      <c r="I19" s="135"/>
      <c r="K19" s="2416" t="s">
        <v>2141</v>
      </c>
      <c r="L19" s="2416">
        <f>IF(C1="",'数据-汇总表'!D3,SUMIF(项目类型,C1,'数据-汇总表'!D17:D26)+SUMIF(项目类型,C1,'数据-汇总表'!H17:H27))</f>
        <v>25136</v>
      </c>
      <c r="M19" s="2416">
        <f>IF(C1="",'数据-汇总表'!D3,SUMIF(项目类型,C1,'数据-汇总表'!D17:D26))</f>
        <v>25136</v>
      </c>
    </row>
    <row r="20" spans="1:35" ht="15">
      <c r="A20" s="2425"/>
      <c r="B20" s="1240" t="s">
        <v>2142</v>
      </c>
      <c r="C20" s="143">
        <f ca="1">SUMIF(INDIRECT("'"&amp;C4&amp;"'"&amp;"!A:A"),结果表!B20,INDIRECT("'"&amp;C4&amp;"'"&amp;"!B:B"))</f>
        <v>10224</v>
      </c>
      <c r="D20" s="144">
        <f ca="1">SUMIF(INDIRECT("'"&amp;D4&amp;"'"&amp;"!A:A"),结果表!B20,INDIRECT("'"&amp;D4&amp;"'"&amp;"!B:B"))</f>
        <v>11432</v>
      </c>
      <c r="E20" s="2425"/>
      <c r="F20" s="1240" t="s">
        <v>2142</v>
      </c>
      <c r="G20" s="145">
        <f ca="1">ROUND(C20*$C$18+D20*$D$18,0)</f>
        <v>10828</v>
      </c>
      <c r="H20" s="973" t="s">
        <v>2143</v>
      </c>
      <c r="I20" s="135"/>
    </row>
    <row r="21" spans="1:35" ht="15" customHeight="1" thickBot="1">
      <c r="A21" s="993"/>
      <c r="B21" s="2426" t="s">
        <v>2144</v>
      </c>
      <c r="C21" s="785">
        <f ca="1">ROUND(C19*10000/L19,0)</f>
        <v>152475</v>
      </c>
      <c r="D21" s="786">
        <f ca="1">ROUND(D19*10000/L19,0)</f>
        <v>170499</v>
      </c>
      <c r="E21" s="993"/>
      <c r="F21" s="2426" t="s">
        <v>2144</v>
      </c>
      <c r="G21" s="146">
        <f ca="1">ROUND(G19*10000/L19,0)</f>
        <v>161487</v>
      </c>
      <c r="H21" s="2427" t="s">
        <v>2143</v>
      </c>
      <c r="I21" s="135"/>
    </row>
    <row r="22" spans="1:35" ht="15" thickBot="1">
      <c r="A22" s="2269" t="s">
        <v>2145</v>
      </c>
      <c r="B22" s="2428"/>
      <c r="C22" s="2429"/>
      <c r="D22" s="787">
        <f ca="1">IF(C19&lt;D19,D19/C19-1,C19/D19-1)</f>
        <v>0.11820926209554328</v>
      </c>
      <c r="E22" s="135"/>
      <c r="F22" s="135"/>
      <c r="G22" s="135"/>
      <c r="H22" s="135"/>
      <c r="I22" s="135"/>
    </row>
    <row r="23" spans="1:35" ht="13.5" thickBot="1">
      <c r="A23" s="2406"/>
      <c r="B23" s="2406"/>
      <c r="C23" s="2406"/>
      <c r="D23" s="2406"/>
      <c r="E23" s="135"/>
      <c r="F23" s="135"/>
      <c r="G23" s="135"/>
      <c r="H23" s="135"/>
      <c r="I23" s="135"/>
    </row>
    <row r="24" spans="1:35" ht="14.25">
      <c r="A24" s="3341" t="s">
        <v>2146</v>
      </c>
      <c r="B24" s="2423" t="s">
        <v>2138</v>
      </c>
      <c r="C24" s="142">
        <f>IF(B30=0,0,D30)</f>
        <v>0</v>
      </c>
      <c r="D24" s="2430"/>
      <c r="E24" s="135"/>
      <c r="F24" s="135"/>
      <c r="G24" s="135"/>
      <c r="H24" s="135"/>
      <c r="I24" s="135"/>
    </row>
    <row r="25" spans="1:35" ht="14.25">
      <c r="A25" s="3342"/>
      <c r="B25" s="1240" t="s">
        <v>2142</v>
      </c>
      <c r="C25" s="147">
        <f>IF(B30=0,0,C30)</f>
        <v>0</v>
      </c>
      <c r="D25" s="2431"/>
      <c r="E25" s="135"/>
      <c r="F25" s="135"/>
      <c r="G25" s="135"/>
      <c r="H25" s="135"/>
      <c r="I25" s="135"/>
    </row>
    <row r="26" spans="1:35" ht="13.5" customHeight="1">
      <c r="A26" s="2432" t="s">
        <v>2147</v>
      </c>
      <c r="B26" s="148" t="s">
        <v>2148</v>
      </c>
      <c r="C26" s="148" t="s">
        <v>2149</v>
      </c>
      <c r="D26" s="149" t="s">
        <v>2150</v>
      </c>
      <c r="E26" s="135"/>
      <c r="F26" s="135"/>
      <c r="G26" s="135"/>
      <c r="H26" s="135"/>
      <c r="I26" s="135"/>
    </row>
    <row r="27" spans="1:35" ht="14.25">
      <c r="A27" s="3502" t="s">
        <v>4495</v>
      </c>
      <c r="B27" s="148">
        <v>0</v>
      </c>
      <c r="C27" s="148">
        <v>0</v>
      </c>
      <c r="D27" s="149">
        <v>375</v>
      </c>
      <c r="E27" s="135"/>
      <c r="F27" s="135"/>
      <c r="G27" s="135"/>
      <c r="H27" s="135"/>
      <c r="I27" s="135"/>
    </row>
    <row r="28" spans="1:35" ht="14.25">
      <c r="A28" s="2432"/>
      <c r="B28" s="148"/>
      <c r="C28" s="148"/>
      <c r="D28" s="149"/>
      <c r="E28" s="135"/>
      <c r="F28" s="135"/>
      <c r="G28" s="135"/>
      <c r="H28" s="135"/>
      <c r="I28" s="135"/>
    </row>
    <row r="29" spans="1:35" ht="14.25">
      <c r="A29" s="2432"/>
      <c r="B29" s="148"/>
      <c r="C29" s="148"/>
      <c r="D29" s="149"/>
      <c r="E29" s="135"/>
      <c r="F29" s="135"/>
      <c r="G29" s="135"/>
      <c r="H29" s="135"/>
      <c r="I29" s="135"/>
    </row>
    <row r="30" spans="1:35" ht="14.25">
      <c r="A30" s="148" t="s">
        <v>2151</v>
      </c>
      <c r="B30" s="148"/>
      <c r="C30" s="148"/>
      <c r="D30" s="148"/>
      <c r="E30" s="2915" t="s">
        <v>3023</v>
      </c>
      <c r="F30" s="135"/>
      <c r="G30" s="135"/>
      <c r="H30" s="135"/>
      <c r="I30" s="135"/>
    </row>
    <row r="31" spans="1:35" s="2434" customFormat="1" ht="15" thickBot="1">
      <c r="A31" s="2433"/>
      <c r="B31" s="2433"/>
      <c r="C31" s="2433"/>
      <c r="D31" s="2433"/>
      <c r="E31" s="135"/>
      <c r="F31" s="135"/>
      <c r="G31" s="135"/>
      <c r="H31" s="135"/>
      <c r="I31" s="135"/>
      <c r="J31" s="791"/>
      <c r="K31" s="791"/>
      <c r="L31" s="791"/>
      <c r="M31" s="791"/>
      <c r="N31" s="791"/>
      <c r="O31" s="791"/>
      <c r="P31" s="791"/>
      <c r="Q31" s="791"/>
      <c r="R31" s="791"/>
      <c r="S31" s="791"/>
      <c r="T31" s="791"/>
      <c r="U31" s="791"/>
      <c r="V31" s="791"/>
      <c r="W31" s="791"/>
      <c r="X31" s="791"/>
      <c r="Y31" s="791"/>
      <c r="Z31" s="791"/>
      <c r="AA31" s="2411"/>
      <c r="AB31" s="2411"/>
      <c r="AC31" s="2411"/>
      <c r="AD31" s="2411"/>
      <c r="AE31" s="2411"/>
      <c r="AF31" s="2411"/>
      <c r="AG31" s="2411"/>
      <c r="AH31" s="2411"/>
      <c r="AI31" s="2411"/>
    </row>
    <row r="32" spans="1:35" ht="15.75" thickBot="1">
      <c r="A32" s="2435" t="s">
        <v>2152</v>
      </c>
      <c r="B32" s="2436"/>
      <c r="C32" s="150">
        <f ca="1">IF(D32="总价",G19-C24,G20-C25)</f>
        <v>405914</v>
      </c>
      <c r="D32" s="2437" t="s">
        <v>2153</v>
      </c>
      <c r="E32" s="135"/>
      <c r="F32" s="135"/>
      <c r="G32" s="135"/>
      <c r="H32" s="135"/>
      <c r="I32" s="135"/>
    </row>
    <row r="33" spans="1:15" ht="15">
      <c r="A33" s="950" t="s">
        <v>2154</v>
      </c>
      <c r="B33" s="2438"/>
      <c r="C33" s="2439" t="s">
        <v>3079</v>
      </c>
      <c r="D33" s="2440" t="s">
        <v>3080</v>
      </c>
      <c r="E33" s="2441" t="s">
        <v>2155</v>
      </c>
      <c r="F33" s="2442" t="str">
        <f>IF(D32="楼面单价","取值（单价）","取值（总价）")</f>
        <v>取值（总价）</v>
      </c>
      <c r="G33" s="135"/>
      <c r="H33" s="135"/>
      <c r="I33" s="135"/>
    </row>
    <row r="34" spans="1:15" ht="15">
      <c r="A34" s="2443"/>
      <c r="B34" s="2444" t="s">
        <v>2156</v>
      </c>
      <c r="C34" s="154">
        <f ca="1">IF(C33="自定义",F34,C32-C35)</f>
        <v>284546</v>
      </c>
      <c r="D34" s="1048">
        <f ca="1">IF(C33="自定义",ROUND(C34/C32,3),IF(C33="收益比率",SUMIF(INDIRECT("'"&amp;D33&amp;"'"&amp;"!b:b"),"土地收益比率",INDIRECT("'"&amp;D33&amp;"'"&amp;"!c:c")),SUMIF(INDIRECT("'"&amp;D33&amp;"'"&amp;"!b:b"),"土地成本比率",INDIRECT("'"&amp;D33&amp;"'"&amp;"!c:c"))))</f>
        <v>0.70100000000000007</v>
      </c>
      <c r="E34" s="2445" t="s">
        <v>2157</v>
      </c>
      <c r="F34" s="1728"/>
      <c r="G34" s="135"/>
      <c r="H34" s="135"/>
      <c r="I34" s="135"/>
    </row>
    <row r="35" spans="1:15" ht="15.75" thickBot="1">
      <c r="A35" s="2446"/>
      <c r="B35" s="2447" t="s">
        <v>2158</v>
      </c>
      <c r="C35" s="1434">
        <f ca="1">IF(C33="自定义",F35,ROUND(C32*D35,0))</f>
        <v>121368</v>
      </c>
      <c r="D35" s="1435">
        <f ca="1">IF(C33="自定义",ROUND(C35/C32,3),IF(C33="收益比率",SUMIF(INDIRECT("'"&amp;D33&amp;"'"&amp;"!b:b"),"建筑物收益比率",INDIRECT("'"&amp;D33&amp;"'"&amp;"!c:c")),SUMIF(INDIRECT("'"&amp;D33&amp;"'"&amp;"!b:b"),"建筑物成本比率",INDIRECT("'"&amp;D33&amp;"'"&amp;"!c:c"))))</f>
        <v>0.29899999999999999</v>
      </c>
      <c r="E35" s="2448" t="s">
        <v>2159</v>
      </c>
      <c r="F35" s="160"/>
      <c r="G35" s="135"/>
      <c r="H35" s="135"/>
      <c r="I35" s="135"/>
    </row>
    <row r="36" spans="1:15" ht="15.75" thickBot="1">
      <c r="A36" s="3321" t="s">
        <v>2160</v>
      </c>
      <c r="B36" s="2449" t="s">
        <v>2161</v>
      </c>
      <c r="C36" s="151"/>
      <c r="D36" s="2450"/>
      <c r="E36" s="2451"/>
      <c r="F36" s="2452"/>
      <c r="G36" s="135"/>
      <c r="H36" s="135"/>
      <c r="I36" s="135"/>
    </row>
    <row r="37" spans="1:15" ht="15.75" thickBot="1">
      <c r="A37" s="3322"/>
      <c r="B37" s="2255" t="s">
        <v>2162</v>
      </c>
      <c r="C37" s="153">
        <v>896</v>
      </c>
      <c r="D37" s="1385"/>
      <c r="E37" s="1385"/>
      <c r="F37" s="2452"/>
      <c r="G37" s="135"/>
      <c r="H37" s="135"/>
      <c r="I37" s="135"/>
    </row>
    <row r="38" spans="1:15" ht="15.75" thickBot="1">
      <c r="A38" s="3323"/>
      <c r="B38" s="2453" t="s">
        <v>2163</v>
      </c>
      <c r="C38" s="723">
        <f>E40+E41+D27</f>
        <v>4920</v>
      </c>
      <c r="D38" s="2454" t="s">
        <v>2164</v>
      </c>
      <c r="E38" s="1385"/>
      <c r="F38" s="2452"/>
      <c r="G38" s="135"/>
      <c r="H38" s="135"/>
      <c r="I38" s="135"/>
    </row>
    <row r="39" spans="1:15" ht="15">
      <c r="A39" s="2425" t="s">
        <v>2165</v>
      </c>
      <c r="B39" s="2455" t="s">
        <v>2166</v>
      </c>
      <c r="C39" s="2456" t="s">
        <v>2167</v>
      </c>
      <c r="D39" s="2456" t="s">
        <v>2168</v>
      </c>
      <c r="E39" s="2457" t="s">
        <v>2169</v>
      </c>
      <c r="F39" s="2452"/>
      <c r="G39" s="135"/>
      <c r="H39" s="135"/>
      <c r="I39" s="135"/>
    </row>
    <row r="40" spans="1:15" ht="14.25">
      <c r="A40" s="2458" t="s">
        <v>2170</v>
      </c>
      <c r="B40" s="155">
        <f>'土地比较法-商业'!E57</f>
        <v>17319.87</v>
      </c>
      <c r="C40" s="156">
        <f>'土地比较法-商业'!B57</f>
        <v>4061</v>
      </c>
      <c r="D40" s="3020">
        <f>'数据-取费表'!B48+'数据-取费表'!B49</f>
        <v>3.0499999999999999E-2</v>
      </c>
      <c r="E40" s="157">
        <f>ROUND(B40*C40*0.4/10000*(1+D40),0)</f>
        <v>2899</v>
      </c>
      <c r="F40" s="2452"/>
      <c r="G40" s="135"/>
      <c r="H40" s="135"/>
      <c r="I40" s="135"/>
    </row>
    <row r="41" spans="1:15" ht="14.25">
      <c r="A41" s="2458" t="s">
        <v>2171</v>
      </c>
      <c r="B41" s="155">
        <f>'土地比较法-商业'!E58</f>
        <v>15298.45</v>
      </c>
      <c r="C41" s="156">
        <f>'土地比较法-商业'!B58</f>
        <v>2610</v>
      </c>
      <c r="D41" s="3020">
        <f>'数据-取费表'!B48+'数据-取费表'!B49</f>
        <v>3.0499999999999999E-2</v>
      </c>
      <c r="E41" s="157">
        <f>ROUND(B41*C41*0.4/10000*(1+D41),0)</f>
        <v>1646</v>
      </c>
      <c r="F41" s="2452"/>
      <c r="G41" s="135"/>
      <c r="H41" s="135"/>
      <c r="I41" s="135"/>
    </row>
    <row r="42" spans="1:15" ht="15" thickBot="1">
      <c r="A42" s="2459"/>
      <c r="B42" s="158"/>
      <c r="C42" s="159"/>
      <c r="D42" s="159"/>
      <c r="E42" s="160"/>
      <c r="F42" s="2452"/>
      <c r="G42" s="135"/>
      <c r="H42" s="135"/>
      <c r="I42" s="135"/>
    </row>
    <row r="43" spans="1:15" ht="12.75">
      <c r="A43" s="2154"/>
      <c r="B43" s="2154"/>
      <c r="C43" s="2154"/>
      <c r="D43" s="2154"/>
      <c r="E43" s="2154"/>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338" t="s">
        <v>2174</v>
      </c>
      <c r="B45" s="3339"/>
      <c r="C45" s="3340"/>
      <c r="D45" s="161">
        <f ca="1">ROUND(H101*F45,0)</f>
        <v>202957</v>
      </c>
      <c r="E45" s="162" t="s">
        <v>2175</v>
      </c>
      <c r="F45" s="3150">
        <v>0.5</v>
      </c>
      <c r="G45" s="163" t="s">
        <v>2176</v>
      </c>
      <c r="H45" s="135"/>
      <c r="I45" s="135"/>
      <c r="J45" s="3257" t="s">
        <v>2177</v>
      </c>
      <c r="K45" s="3257"/>
      <c r="L45" s="3257"/>
      <c r="M45" s="3257"/>
      <c r="N45" s="3257"/>
      <c r="O45" s="3257"/>
    </row>
    <row r="46" spans="1:15" ht="14.25" customHeight="1">
      <c r="A46" s="3335" t="s">
        <v>2178</v>
      </c>
      <c r="B46" s="3336"/>
      <c r="C46" s="3336"/>
      <c r="D46" s="3336"/>
      <c r="E46" s="3336"/>
      <c r="F46" s="3336"/>
      <c r="G46" s="3337"/>
      <c r="H46" s="2468"/>
      <c r="I46" s="164"/>
      <c r="J46" s="1801">
        <v>1</v>
      </c>
      <c r="K46" s="3257" t="s">
        <v>2179</v>
      </c>
      <c r="L46" s="3257"/>
      <c r="M46" s="3258"/>
      <c r="N46" s="3258"/>
      <c r="O46" s="3258"/>
    </row>
    <row r="47" spans="1:15" ht="12" customHeight="1">
      <c r="A47" s="165" t="s">
        <v>2180</v>
      </c>
      <c r="B47" s="166"/>
      <c r="C47" s="167"/>
      <c r="D47" s="168" t="s">
        <v>2181</v>
      </c>
      <c r="E47" s="24" t="s">
        <v>2182</v>
      </c>
      <c r="F47" s="169" t="s">
        <v>2183</v>
      </c>
      <c r="G47" s="170" t="s">
        <v>2184</v>
      </c>
      <c r="H47" s="2468"/>
      <c r="I47" s="164"/>
      <c r="J47" s="1801">
        <v>2</v>
      </c>
      <c r="K47" s="3257" t="s">
        <v>2185</v>
      </c>
      <c r="L47" s="3257"/>
      <c r="M47" s="3259">
        <f>'数据-取费表'!B2</f>
        <v>43332</v>
      </c>
      <c r="N47" s="3259"/>
      <c r="O47" s="3259"/>
    </row>
    <row r="48" spans="1:15" ht="25.5">
      <c r="A48" s="3325" t="s">
        <v>2186</v>
      </c>
      <c r="B48" s="3326"/>
      <c r="C48" s="3326"/>
      <c r="D48" s="137">
        <f ca="1">IF(H48="情况1",0,IF(H48="情况2",D52,IF(H48="情况3",D53,IF(H48="情况4",D54))))</f>
        <v>10824</v>
      </c>
      <c r="E48" s="1790" t="str">
        <f>IF(H48="情况4","(销售额-原购置价)×税（费）率","销售额×税（费）率")</f>
        <v>销售额×税（费）率</v>
      </c>
      <c r="F48" s="171">
        <f>IF(H48="情况1","免征",'数据-取费表'!B41)</f>
        <v>5.6000000000000001E-2</v>
      </c>
      <c r="G48" s="2469" t="s">
        <v>2187</v>
      </c>
      <c r="H48" s="2470" t="s">
        <v>4483</v>
      </c>
      <c r="I48" s="2468"/>
      <c r="J48" s="1801">
        <v>3</v>
      </c>
      <c r="K48" s="3257" t="s">
        <v>2188</v>
      </c>
      <c r="L48" s="3257"/>
      <c r="M48" s="3260">
        <f ca="1">ROUND(H101*F45,0)</f>
        <v>202957</v>
      </c>
      <c r="N48" s="3260"/>
      <c r="O48" s="3260"/>
    </row>
    <row r="49" spans="1:35" ht="25.5" customHeight="1">
      <c r="A49" s="172" t="s">
        <v>2189</v>
      </c>
      <c r="B49" s="3305" t="s">
        <v>2190</v>
      </c>
      <c r="C49" s="3305"/>
      <c r="D49" s="173">
        <v>0</v>
      </c>
      <c r="E49" s="23" t="s">
        <v>2191</v>
      </c>
      <c r="F49" s="28" t="s">
        <v>34</v>
      </c>
      <c r="G49" s="3286"/>
      <c r="H49" s="135"/>
      <c r="I49" s="2471"/>
      <c r="J49" s="1801">
        <v>4</v>
      </c>
      <c r="K49" s="3257" t="str">
        <f>IF(项目基本情况!E8="房地产抵押价值","房地产抵押价值","抵押担保权已注销时的房地产抵押价值")</f>
        <v>抵押担保权已注销时的房地产抵押价值</v>
      </c>
      <c r="L49" s="3257"/>
      <c r="M49" s="3260">
        <f ca="1">ROUND(M48-H103,0)</f>
        <v>197141</v>
      </c>
      <c r="N49" s="3260"/>
      <c r="O49" s="3260"/>
    </row>
    <row r="50" spans="1:35" ht="25.5" customHeight="1">
      <c r="A50" s="174"/>
      <c r="B50" s="3305" t="s">
        <v>2192</v>
      </c>
      <c r="C50" s="3305"/>
      <c r="D50" s="175"/>
      <c r="E50" s="31"/>
      <c r="F50" s="176"/>
      <c r="G50" s="3287"/>
      <c r="H50" s="135"/>
      <c r="I50" s="2471"/>
      <c r="J50" s="3257" t="s">
        <v>2193</v>
      </c>
      <c r="K50" s="3257"/>
      <c r="L50" s="3257"/>
      <c r="M50" s="3257"/>
      <c r="N50" s="3257"/>
      <c r="O50" s="3257"/>
    </row>
    <row r="51" spans="1:35" ht="12" customHeight="1">
      <c r="A51" s="177"/>
      <c r="B51" s="3305" t="s">
        <v>2194</v>
      </c>
      <c r="C51" s="3305"/>
      <c r="D51" s="178"/>
      <c r="E51" s="30"/>
      <c r="F51" s="176"/>
      <c r="G51" s="3288"/>
      <c r="H51" s="135"/>
      <c r="I51" s="2471"/>
      <c r="J51" s="2472" t="s">
        <v>2195</v>
      </c>
      <c r="K51" s="3257" t="s">
        <v>2196</v>
      </c>
      <c r="L51" s="3257"/>
      <c r="M51" s="2472" t="s">
        <v>2197</v>
      </c>
      <c r="N51" s="2472" t="s">
        <v>2198</v>
      </c>
      <c r="O51" s="2472" t="s">
        <v>2199</v>
      </c>
    </row>
    <row r="52" spans="1:35" ht="24" customHeight="1">
      <c r="A52" s="179" t="s">
        <v>2200</v>
      </c>
      <c r="B52" s="3305" t="s">
        <v>2201</v>
      </c>
      <c r="C52" s="3305"/>
      <c r="D52" s="178">
        <f ca="1">ROUND(D45*'数据-取费表'!B41/(1+'数据-取费表'!C42),0)</f>
        <v>10824</v>
      </c>
      <c r="E52" s="11" t="s">
        <v>2202</v>
      </c>
      <c r="F52" s="180">
        <f>'数据-取费表'!B41</f>
        <v>5.6000000000000001E-2</v>
      </c>
      <c r="G52" s="2473"/>
      <c r="H52" s="135"/>
      <c r="I52" s="2471"/>
      <c r="J52" s="1801">
        <v>1</v>
      </c>
      <c r="K52" s="3280" t="s">
        <v>2203</v>
      </c>
      <c r="L52" s="3280"/>
      <c r="M52" s="1743">
        <f ca="1">D48</f>
        <v>10824</v>
      </c>
      <c r="N52" s="1801" t="str">
        <f>E48</f>
        <v>销售额×税（费）率</v>
      </c>
      <c r="O52" s="1744">
        <f>F48</f>
        <v>5.6000000000000001E-2</v>
      </c>
    </row>
    <row r="53" spans="1:35" ht="12" customHeight="1">
      <c r="A53" s="179" t="s">
        <v>2204</v>
      </c>
      <c r="B53" s="3306" t="s">
        <v>2205</v>
      </c>
      <c r="C53" s="3307"/>
      <c r="D53" s="178">
        <f ca="1">ROUND(D45*'数据-取费表'!B41/(1+'数据-取费表'!C42),0)</f>
        <v>10824</v>
      </c>
      <c r="E53" s="11" t="s">
        <v>2202</v>
      </c>
      <c r="F53" s="180">
        <f>'数据-取费表'!B41</f>
        <v>5.6000000000000001E-2</v>
      </c>
      <c r="G53" s="2473"/>
      <c r="H53" s="135"/>
      <c r="I53" s="2471"/>
      <c r="J53" s="1801">
        <v>2</v>
      </c>
      <c r="K53" s="3280" t="s">
        <v>2206</v>
      </c>
      <c r="L53" s="3280"/>
      <c r="M53" s="1743">
        <f t="shared" ref="M53:O54" ca="1" si="0">D55</f>
        <v>101</v>
      </c>
      <c r="N53" s="1801" t="str">
        <f t="shared" si="0"/>
        <v>销售额×税（费）率</v>
      </c>
      <c r="O53" s="1744">
        <f t="shared" si="0"/>
        <v>5.0000000000000001E-4</v>
      </c>
    </row>
    <row r="54" spans="1:35" ht="12" customHeight="1">
      <c r="A54" s="179" t="s">
        <v>2207</v>
      </c>
      <c r="B54" s="3306" t="s">
        <v>2208</v>
      </c>
      <c r="C54" s="3307"/>
      <c r="D54" s="178">
        <f ca="1">C68</f>
        <v>10824</v>
      </c>
      <c r="E54" s="30" t="s">
        <v>2209</v>
      </c>
      <c r="F54" s="180">
        <f>'数据-取费表'!B41</f>
        <v>5.6000000000000001E-2</v>
      </c>
      <c r="G54" s="2473"/>
      <c r="H54" s="2474"/>
      <c r="I54" s="2471"/>
      <c r="J54" s="1801">
        <v>3</v>
      </c>
      <c r="K54" s="3280" t="s">
        <v>2210</v>
      </c>
      <c r="L54" s="3280"/>
      <c r="M54" s="1743">
        <f t="shared" ca="1" si="0"/>
        <v>0</v>
      </c>
      <c r="N54" s="1801" t="str">
        <f t="shared" si="0"/>
        <v>增值额×税（费）率</v>
      </c>
      <c r="O54" s="1745" t="str">
        <f t="shared" si="0"/>
        <v>——</v>
      </c>
    </row>
    <row r="55" spans="1:35" ht="24" customHeight="1">
      <c r="A55" s="3344" t="s">
        <v>2211</v>
      </c>
      <c r="B55" s="3326"/>
      <c r="C55" s="3326"/>
      <c r="D55" s="181">
        <f ca="1">IF(H55="个人住宅",0,ROUND(D45*I55,0))</f>
        <v>101</v>
      </c>
      <c r="E55" s="11" t="s">
        <v>2212</v>
      </c>
      <c r="F55" s="180">
        <f>IF(H55="正常",I55,"免征")</f>
        <v>5.0000000000000001E-4</v>
      </c>
      <c r="G55" s="2473"/>
      <c r="H55" s="2470" t="s">
        <v>2213</v>
      </c>
      <c r="I55" s="182">
        <f>'数据-取费表'!B49</f>
        <v>5.0000000000000001E-4</v>
      </c>
      <c r="J55" s="1801" t="str">
        <f>IF(H59="非个人房产","",4)</f>
        <v/>
      </c>
      <c r="K55" s="3280" t="str">
        <f>IF(H59="非个人房产","——","个人所得税")</f>
        <v>——</v>
      </c>
      <c r="L55" s="3280"/>
      <c r="M55" s="1746" t="str">
        <f>D59</f>
        <v>——</v>
      </c>
      <c r="N55" s="1799" t="str">
        <f>E59</f>
        <v>——</v>
      </c>
      <c r="O55" s="1747" t="str">
        <f>F59</f>
        <v>——</v>
      </c>
    </row>
    <row r="56" spans="1:35" ht="24.75">
      <c r="A56" s="3344" t="s">
        <v>2214</v>
      </c>
      <c r="B56" s="3326"/>
      <c r="C56" s="3326"/>
      <c r="D56" s="181">
        <f ca="1">IF(H56="个人住宅",D57,D58)</f>
        <v>0</v>
      </c>
      <c r="E56" s="11" t="s">
        <v>2215</v>
      </c>
      <c r="F56" s="180" t="str">
        <f>IF(H56="正常",F58,"免征")</f>
        <v>——</v>
      </c>
      <c r="G56" s="2475" t="s">
        <v>2216</v>
      </c>
      <c r="H56" s="2476" t="s">
        <v>3189</v>
      </c>
      <c r="I56" s="2477"/>
      <c r="J56" s="1801" t="str">
        <f>IF(项目基本情况!K6="上海银行",IF(J55="",4,J55+1),"")</f>
        <v/>
      </c>
      <c r="K56" s="3263" t="str">
        <f>IF(项目基本情况!K6="上海银行","其他处置费用","")</f>
        <v/>
      </c>
      <c r="L56" s="3264"/>
      <c r="M56" s="1743" t="str">
        <f>IF(项目基本情况!K6="上海银行",M69,"")</f>
        <v/>
      </c>
      <c r="N56" s="3266" t="str">
        <f>IF(项目基本情况!K6="上海银行","包含处置中涉及的律师、诉讼、拍卖、评估等费用","")</f>
        <v/>
      </c>
      <c r="O56" s="3267"/>
    </row>
    <row r="57" spans="1:35" ht="12.75">
      <c r="A57" s="179" t="s">
        <v>2189</v>
      </c>
      <c r="B57" s="3311" t="s">
        <v>2217</v>
      </c>
      <c r="C57" s="3312"/>
      <c r="D57" s="183">
        <v>0</v>
      </c>
      <c r="E57" s="23" t="s">
        <v>2191</v>
      </c>
      <c r="F57" s="152"/>
      <c r="G57" s="2473"/>
      <c r="H57" s="2477"/>
      <c r="I57" s="2477"/>
      <c r="J57" s="3280">
        <f>IF(AND(J55="",J56=""),4,IF(项目基本情况!K6="上海银行",结果表!J56+1,结果表!J55+1))</f>
        <v>4</v>
      </c>
      <c r="K57" s="3280" t="s">
        <v>2218</v>
      </c>
      <c r="L57" s="2478" t="s">
        <v>2219</v>
      </c>
      <c r="M57" s="1748"/>
      <c r="N57" s="1749">
        <f ca="1">SUMIF(M52:M56,"&lt;9e307")</f>
        <v>10925</v>
      </c>
      <c r="O57" s="2479"/>
      <c r="P57" s="1742">
        <f ca="1">N57/M49</f>
        <v>5.5417188712647295E-2</v>
      </c>
    </row>
    <row r="58" spans="1:35" ht="24.75">
      <c r="A58" s="179" t="s">
        <v>2200</v>
      </c>
      <c r="B58" s="3311" t="s">
        <v>2220</v>
      </c>
      <c r="C58" s="3324"/>
      <c r="D58" s="181">
        <f ca="1">IF(H58="转让取得",C81,C97)</f>
        <v>0</v>
      </c>
      <c r="E58" s="11" t="s">
        <v>2215</v>
      </c>
      <c r="F58" s="24" t="s">
        <v>34</v>
      </c>
      <c r="G58" s="2473"/>
      <c r="H58" s="2476" t="s">
        <v>2221</v>
      </c>
      <c r="I58" s="2477"/>
      <c r="J58" s="3280"/>
      <c r="K58" s="3280"/>
      <c r="L58" s="2478" t="s">
        <v>2222</v>
      </c>
      <c r="M58" s="1750"/>
      <c r="N58" s="2480" t="str">
        <f ca="1">NUMBERSTRING(INT(N57*10000),2)&amp;"元整"</f>
        <v>壹亿零玖佰贰拾伍万元整</v>
      </c>
      <c r="O58" s="2481"/>
    </row>
    <row r="59" spans="1:35" ht="24.75" thickBot="1">
      <c r="A59" s="3284" t="s">
        <v>2223</v>
      </c>
      <c r="B59" s="3285"/>
      <c r="C59" s="3285"/>
      <c r="D59" s="184" t="str">
        <f>IF(H59="非个人房产","——",IF(H59="个人住宅",0,ROUND(D45*I59,0)))</f>
        <v>——</v>
      </c>
      <c r="E59" s="185" t="str">
        <f>IF(H59="非个人房产","——","销售额×税（费）率")</f>
        <v>——</v>
      </c>
      <c r="F59" s="186" t="str">
        <f>IF(H59="非个人房产","——",IF(H59="个人住宅","免征",I59))</f>
        <v>——</v>
      </c>
      <c r="G59" s="2482" t="s">
        <v>2216</v>
      </c>
      <c r="H59" s="2476" t="s">
        <v>2224</v>
      </c>
      <c r="I59" s="187">
        <v>0.01</v>
      </c>
      <c r="J59" s="3282">
        <f>J57+1</f>
        <v>5</v>
      </c>
      <c r="K59" s="3280" t="s">
        <v>2225</v>
      </c>
      <c r="L59" s="1801" t="s">
        <v>2219</v>
      </c>
      <c r="M59" s="1751"/>
      <c r="N59" s="1752">
        <f ca="1">M49-N57</f>
        <v>186216</v>
      </c>
      <c r="O59" s="2483"/>
    </row>
    <row r="60" spans="1:35" ht="12" customHeight="1">
      <c r="A60" s="2484"/>
      <c r="B60" s="2406"/>
      <c r="C60" s="2406"/>
      <c r="D60" s="2406"/>
      <c r="E60" s="2155"/>
      <c r="F60" s="2477"/>
      <c r="G60" s="2477"/>
      <c r="H60" s="2485"/>
      <c r="I60" s="135"/>
      <c r="J60" s="3283"/>
      <c r="K60" s="3280"/>
      <c r="L60" s="2478" t="s">
        <v>2222</v>
      </c>
      <c r="M60" s="1750"/>
      <c r="N60" s="2480" t="str">
        <f ca="1">NUMBERSTRING(INT(N59*10000),2)&amp;"元整"</f>
        <v>壹拾捌亿陆仟贰佰壹拾陆万元整</v>
      </c>
      <c r="O60" s="2481"/>
    </row>
    <row r="61" spans="1:35" ht="13.5" thickBot="1">
      <c r="A61" s="3343" t="s">
        <v>2226</v>
      </c>
      <c r="B61" s="3343"/>
      <c r="C61" s="3343"/>
      <c r="D61" s="3343"/>
      <c r="E61" s="3343"/>
      <c r="F61" s="2477"/>
      <c r="G61" s="2477"/>
      <c r="H61" s="2485"/>
      <c r="I61" s="135"/>
      <c r="J61" s="1801">
        <f>J59+1</f>
        <v>6</v>
      </c>
      <c r="K61" s="3280" t="s">
        <v>2227</v>
      </c>
      <c r="L61" s="3280"/>
      <c r="M61" s="1753"/>
      <c r="N61" s="1754">
        <f ca="1">ROUND(N59*10000/'数据-汇总表'!E3,0)</f>
        <v>4967</v>
      </c>
      <c r="O61" s="2486"/>
    </row>
    <row r="62" spans="1:35" ht="12.75">
      <c r="A62" s="3300" t="s">
        <v>2228</v>
      </c>
      <c r="B62" s="3301"/>
      <c r="C62" s="1793"/>
      <c r="D62" s="1793" t="s">
        <v>2229</v>
      </c>
      <c r="E62" s="188" t="s">
        <v>2230</v>
      </c>
      <c r="F62" s="2477"/>
      <c r="G62" s="2477"/>
      <c r="H62" s="2485"/>
      <c r="I62" s="135"/>
    </row>
    <row r="63" spans="1:35" ht="12.75">
      <c r="A63" s="199" t="s">
        <v>775</v>
      </c>
      <c r="B63" s="189" t="s">
        <v>2231</v>
      </c>
      <c r="C63" s="190">
        <f ca="1">ROUND((C64+C65)/(1+'数据-取费表'!C42),0)</f>
        <v>193292</v>
      </c>
      <c r="D63" s="191"/>
      <c r="E63" s="192"/>
      <c r="F63" s="2477"/>
      <c r="G63" s="2477"/>
      <c r="H63" s="2485"/>
      <c r="I63" s="135"/>
      <c r="J63" s="3265" t="s">
        <v>2232</v>
      </c>
      <c r="K63" s="2487" t="s">
        <v>2233</v>
      </c>
      <c r="L63" s="1741">
        <f ca="1">IF(M49&gt;10000,M49*0.5%,IF(AND(M49&gt;1000,M49&lt;=10000),M49*1%,IF(AND(M49&gt;100,M49&lt;=1000),M49*3%,IF(AND(M49&gt;10,M49&lt;=100),M49*5%,M49*8%))))</f>
        <v>985.70500000000004</v>
      </c>
      <c r="M63" s="24">
        <f ca="1">ROUND(L63,1)</f>
        <v>985.7</v>
      </c>
      <c r="Z63" s="2411"/>
      <c r="AI63" s="2412"/>
    </row>
    <row r="64" spans="1:35" ht="14.25" customHeight="1">
      <c r="A64" s="193" t="s">
        <v>770</v>
      </c>
      <c r="B64" s="194" t="s">
        <v>2234</v>
      </c>
      <c r="C64" s="195">
        <f ca="1">D45</f>
        <v>202957</v>
      </c>
      <c r="D64" s="196" t="s">
        <v>32</v>
      </c>
      <c r="E64" s="197"/>
      <c r="F64" s="2477"/>
      <c r="G64" s="2477"/>
      <c r="H64" s="2485"/>
      <c r="I64" s="135"/>
      <c r="J64" s="3265"/>
      <c r="K64" s="2487" t="s">
        <v>2235</v>
      </c>
      <c r="L64" s="1741">
        <f ca="1">IF(M49&gt;2000,M49*0.5%,IF(AND(M49&gt;1000,M49&lt;=2000),M49*0.6%,IF(AND(M49&gt;500,M49&lt;=1000),M49*0.7%,IF(AND(M49&gt;200,M49&lt;=500),M49*0.8%,IF(AND(M49&gt;100,M49&lt;=200),M49*0.9%,IF(AND(M49&gt;50,M49&lt;=100),M49*1%,IF(AND(M49&gt;20,M49&lt;=50),M49*1.5%,IF(AND(M49&gt;10,M49&lt;=20),M49*2%,IF(AND(M49&gt;1,M49&lt;=10),M49*2.5%)))))))))</f>
        <v>985.70500000000004</v>
      </c>
      <c r="M64" s="24">
        <f t="shared" ref="M64:M65" ca="1" si="1">ROUND(L64,1)</f>
        <v>985.7</v>
      </c>
      <c r="N64" s="135" t="s">
        <v>2236</v>
      </c>
      <c r="Z64" s="2411"/>
      <c r="AI64" s="2412"/>
    </row>
    <row r="65" spans="1:35" ht="14.25" customHeight="1">
      <c r="A65" s="193" t="s">
        <v>771</v>
      </c>
      <c r="B65" s="194" t="s">
        <v>2237</v>
      </c>
      <c r="C65" s="198"/>
      <c r="D65" s="196"/>
      <c r="E65" s="197"/>
      <c r="F65" s="2477"/>
      <c r="G65" s="2477"/>
      <c r="H65" s="2485"/>
      <c r="I65" s="135"/>
      <c r="J65" s="3265"/>
      <c r="K65" s="2487" t="s">
        <v>2238</v>
      </c>
      <c r="L65" s="1741">
        <f ca="1">IF(M49&gt;1000,M49*0.1%,IF(AND(M49&gt;500,M49&lt;=1000),M49*0.5%,IF(AND(M49&gt;50,M49&lt;=500),M49*1%,IF(AND(M49&gt;1,M49&lt;=50),M49*1.5%))))</f>
        <v>197.14099999999999</v>
      </c>
      <c r="M65" s="24">
        <f t="shared" ca="1" si="1"/>
        <v>197.1</v>
      </c>
      <c r="N65" s="135" t="s">
        <v>2236</v>
      </c>
      <c r="Z65" s="2411"/>
      <c r="AI65" s="2412"/>
    </row>
    <row r="66" spans="1:35" ht="14.25" customHeight="1">
      <c r="A66" s="199" t="s">
        <v>772</v>
      </c>
      <c r="B66" s="200" t="s">
        <v>2239</v>
      </c>
      <c r="C66" s="201"/>
      <c r="D66" s="202" t="s">
        <v>32</v>
      </c>
      <c r="E66" s="1765" t="s">
        <v>1371</v>
      </c>
      <c r="F66" s="2477"/>
      <c r="G66" s="2477"/>
      <c r="H66" s="2485"/>
      <c r="I66" s="135"/>
      <c r="J66" s="3265"/>
      <c r="K66" s="2487" t="s">
        <v>2240</v>
      </c>
      <c r="L66" s="1741">
        <f ca="1">M49*0.5%</f>
        <v>985.70500000000004</v>
      </c>
      <c r="M66" s="24">
        <f ca="1">IF(L66&gt;0.5,0.5,ROUND(L66,0))</f>
        <v>0.5</v>
      </c>
      <c r="N66" s="135" t="s">
        <v>2241</v>
      </c>
      <c r="Z66" s="2411"/>
      <c r="AI66" s="2412"/>
    </row>
    <row r="67" spans="1:35" ht="14.25" customHeight="1">
      <c r="A67" s="199" t="s">
        <v>773</v>
      </c>
      <c r="B67" s="200" t="s">
        <v>2242</v>
      </c>
      <c r="C67" s="203">
        <f ca="1">C63-C66</f>
        <v>193292</v>
      </c>
      <c r="D67" s="196" t="s">
        <v>32</v>
      </c>
      <c r="E67" s="197"/>
      <c r="F67" s="2477"/>
      <c r="G67" s="2477"/>
      <c r="H67" s="2485"/>
      <c r="I67" s="135"/>
      <c r="J67" s="3265"/>
      <c r="K67" s="2487" t="s">
        <v>2243</v>
      </c>
      <c r="L67" s="1741">
        <f ca="1">IF(M49&gt;=10000,(8.25+(M49-10000)*0.01%),IF(AND(M49&gt;=8000,M49&lt;10000),(7.85+(M49-8000)*0.02%),IF(AND(M49&gt;=5000,M49&lt;8000),(6.65+(M49-5000)*0.04%),IF(AND(M49&gt;=2000,M49&lt;5000),(4.25+(PM49-2000)*0.08%),IF(AND(M49&gt;=1000,M49&lt;2000),(2.75+(M49-1000)*0.15%),IF(AND(M49&gt;=100,M49&lt;1000),(0.5+(M49-100)*0.25%),IF(AND(M49&gt;0,M49&lt;100),M49*0.5%)))))))</f>
        <v>26.964100000000002</v>
      </c>
      <c r="M67" s="24">
        <f ca="1">ROUND(L67*0.9,1)</f>
        <v>24.3</v>
      </c>
      <c r="Z67" s="2411"/>
      <c r="AI67" s="2412"/>
    </row>
    <row r="68" spans="1:35" ht="14.25" customHeight="1" thickBot="1">
      <c r="A68" s="204" t="s">
        <v>774</v>
      </c>
      <c r="B68" s="205" t="s">
        <v>2244</v>
      </c>
      <c r="C68" s="206">
        <f ca="1">IF(C67&lt;=0,0,ROUND(C67*D68,0))</f>
        <v>10824</v>
      </c>
      <c r="D68" s="207">
        <f>'数据-取费表'!B41</f>
        <v>5.6000000000000001E-2</v>
      </c>
      <c r="E68" s="208"/>
      <c r="F68" s="2477"/>
      <c r="G68" s="2477"/>
      <c r="H68" s="2485"/>
      <c r="I68" s="135"/>
      <c r="J68" s="3265"/>
      <c r="K68" s="2487" t="s">
        <v>2245</v>
      </c>
      <c r="L68" s="1741">
        <f ca="1">IF(M49&gt;10000,M49*0.5%,IF(AND(M49&gt;5000,M49&lt;=10000),M49*1%,IF(AND(M49&gt;1000,M49&lt;=5000),M49*2%,IF(AND(M49&gt;200,M49&lt;=1000),M49*3%,M49*5%))))</f>
        <v>985.70500000000004</v>
      </c>
      <c r="M68" s="24">
        <f ca="1">ROUND(L68,1)</f>
        <v>985.7</v>
      </c>
      <c r="Z68" s="2411"/>
      <c r="AI68" s="2412"/>
    </row>
    <row r="69" spans="1:35" s="2434" customFormat="1" ht="16.5" customHeight="1">
      <c r="A69" s="2488"/>
      <c r="B69" s="2489"/>
      <c r="C69" s="2490"/>
      <c r="D69" s="2491"/>
      <c r="E69" s="2492"/>
      <c r="F69" s="2155"/>
      <c r="G69" s="2155"/>
      <c r="H69" s="2154"/>
      <c r="I69" s="2406"/>
      <c r="J69" s="3265"/>
      <c r="K69" s="2487" t="s">
        <v>2246</v>
      </c>
      <c r="L69" s="2493"/>
      <c r="M69" s="24">
        <f ca="1">ROUND(SUM(M63:M68),0)</f>
        <v>3179</v>
      </c>
      <c r="N69" s="1742">
        <f ca="1">M69/M49</f>
        <v>1.6125514225858648E-2</v>
      </c>
      <c r="O69" s="791"/>
      <c r="P69" s="791"/>
      <c r="Q69" s="791"/>
      <c r="R69" s="791"/>
      <c r="S69" s="791"/>
      <c r="T69" s="791"/>
      <c r="U69" s="791"/>
      <c r="V69" s="791"/>
      <c r="W69" s="791"/>
      <c r="X69" s="791"/>
      <c r="Y69" s="791"/>
      <c r="Z69" s="2411"/>
      <c r="AA69" s="2411"/>
      <c r="AB69" s="2411"/>
      <c r="AC69" s="2411"/>
      <c r="AD69" s="2411"/>
      <c r="AE69" s="2411"/>
      <c r="AF69" s="2411"/>
      <c r="AG69" s="2411"/>
      <c r="AH69" s="2411"/>
    </row>
    <row r="70" spans="1:35" s="2495" customFormat="1" ht="15" thickBot="1">
      <c r="A70" s="3309" t="s">
        <v>2247</v>
      </c>
      <c r="B70" s="3310"/>
      <c r="C70" s="3310"/>
      <c r="D70" s="3310"/>
      <c r="E70" s="3310"/>
      <c r="F70" s="3310"/>
      <c r="G70" s="3310"/>
      <c r="H70" s="3310"/>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300" t="s">
        <v>2228</v>
      </c>
      <c r="B71" s="3301"/>
      <c r="C71" s="1793"/>
      <c r="D71" s="1793" t="s">
        <v>2229</v>
      </c>
      <c r="E71" s="209" t="s">
        <v>2230</v>
      </c>
      <c r="F71" s="210"/>
      <c r="G71" s="210"/>
      <c r="H71" s="211"/>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9" t="s">
        <v>775</v>
      </c>
      <c r="B72" s="200" t="s">
        <v>2248</v>
      </c>
      <c r="C72" s="203">
        <f ca="1">ROUND(D45/(1+'数据-取费表'!C42),0)</f>
        <v>193292</v>
      </c>
      <c r="D72" s="196" t="s">
        <v>32</v>
      </c>
      <c r="E72" s="1792"/>
      <c r="F72" s="1786"/>
      <c r="G72" s="1786"/>
      <c r="H72" s="212"/>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9" t="s">
        <v>772</v>
      </c>
      <c r="B73" s="169" t="s">
        <v>2249</v>
      </c>
      <c r="C73" s="203">
        <f ca="1">C74+C78</f>
        <v>1160</v>
      </c>
      <c r="D73" s="196" t="s">
        <v>32</v>
      </c>
      <c r="E73" s="1792"/>
      <c r="F73" s="1786"/>
      <c r="G73" s="1786"/>
      <c r="H73" s="212"/>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3" t="s">
        <v>770</v>
      </c>
      <c r="B74" s="194" t="s">
        <v>2250</v>
      </c>
      <c r="C74" s="196">
        <f>ROUND(IF(G77="2016年5月1日后购买",C75/(1+'数据-取费表'!C42)+C76+C77,C75+C76+C77),0)</f>
        <v>0</v>
      </c>
      <c r="D74" s="196" t="s">
        <v>32</v>
      </c>
      <c r="E74" s="1792"/>
      <c r="F74" s="1786"/>
      <c r="G74" s="1786"/>
      <c r="H74" s="212"/>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3" t="s">
        <v>776</v>
      </c>
      <c r="B75" s="194" t="s">
        <v>2251</v>
      </c>
      <c r="C75" s="214"/>
      <c r="D75" s="196" t="s">
        <v>32</v>
      </c>
      <c r="E75" s="215" t="s">
        <v>2252</v>
      </c>
      <c r="F75" s="2499" t="s">
        <v>2253</v>
      </c>
      <c r="G75" s="215" t="s">
        <v>2254</v>
      </c>
      <c r="H75" s="216"/>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3" t="s">
        <v>777</v>
      </c>
      <c r="B76" s="217" t="s">
        <v>2255</v>
      </c>
      <c r="C76" s="196">
        <f>IF(F75="购房发票",ROUND(C75*H75*D76,0),0)</f>
        <v>0</v>
      </c>
      <c r="D76" s="218">
        <v>0.05</v>
      </c>
      <c r="E76" s="3306" t="s">
        <v>2256</v>
      </c>
      <c r="F76" s="3305"/>
      <c r="G76" s="3305"/>
      <c r="H76" s="3308"/>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3" t="s">
        <v>778</v>
      </c>
      <c r="B77" s="194" t="s">
        <v>2257</v>
      </c>
      <c r="C77" s="196">
        <f>ROUND(IF(G77="个人住宅",0,IF(G77="2016年5月1日前购买",C75*D77,C75*D77/(1+'数据-取费表'!C42))),0)</f>
        <v>0</v>
      </c>
      <c r="D77" s="219">
        <f>'数据-取费表'!B48+'数据-取费表'!B49</f>
        <v>3.0499999999999999E-2</v>
      </c>
      <c r="E77" s="15" t="s">
        <v>2258</v>
      </c>
      <c r="F77" s="220"/>
      <c r="G77" s="2501" t="s">
        <v>2259</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3" t="s">
        <v>771</v>
      </c>
      <c r="B78" s="194" t="s">
        <v>2260</v>
      </c>
      <c r="C78" s="221">
        <f ca="1">ROUND(D45*D78/(1+'数据-取费表'!C42),0)</f>
        <v>1160</v>
      </c>
      <c r="D78" s="222">
        <f>'数据-取费表'!B43</f>
        <v>6.000000000000001E-3</v>
      </c>
      <c r="E78" s="3297" t="s">
        <v>2261</v>
      </c>
      <c r="F78" s="3298"/>
      <c r="G78" s="3298"/>
      <c r="H78" s="3299"/>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0" t="s">
        <v>2262</v>
      </c>
      <c r="C79" s="203">
        <f ca="1">C72-C73</f>
        <v>192132</v>
      </c>
      <c r="D79" s="196" t="s">
        <v>32</v>
      </c>
      <c r="E79" s="1792"/>
      <c r="F79" s="1786"/>
      <c r="G79" s="1786"/>
      <c r="H79" s="212"/>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0" t="s">
        <v>2263</v>
      </c>
      <c r="C80" s="223">
        <f ca="1">IF(C79&lt;=0,0,C79/C73)</f>
        <v>165.63103448275862</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2"/>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5" t="s">
        <v>2264</v>
      </c>
      <c r="C81" s="224">
        <f ca="1">ROUND(IF(C79&lt;=0,0,IF(C80&gt;=200%,C79*60%-C73*35%,IF(C80&gt;=100%,C79*50%-C73*15%,IF(C80&gt;=50%,C79*40%-C73*5%,IF(C80&lt;50%,C79*30%,0))))),0)</f>
        <v>114873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9"/>
      <c r="B82" s="730"/>
      <c r="C82" s="7"/>
      <c r="D82" s="7"/>
      <c r="E82" s="730"/>
      <c r="F82" s="730"/>
      <c r="G82" s="730"/>
      <c r="H82" s="731"/>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309" t="s">
        <v>2265</v>
      </c>
      <c r="B83" s="3310"/>
      <c r="C83" s="3310"/>
      <c r="D83" s="3310"/>
      <c r="E83" s="3310"/>
      <c r="F83" s="3310"/>
      <c r="G83" s="3310"/>
      <c r="H83" s="3310"/>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300" t="s">
        <v>2228</v>
      </c>
      <c r="B84" s="3301"/>
      <c r="C84" s="1793"/>
      <c r="D84" s="1793" t="s">
        <v>2229</v>
      </c>
      <c r="E84" s="209" t="s">
        <v>2230</v>
      </c>
      <c r="F84" s="210"/>
      <c r="G84" s="210"/>
      <c r="H84" s="229"/>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9" t="s">
        <v>775</v>
      </c>
      <c r="B85" s="200" t="s">
        <v>2248</v>
      </c>
      <c r="C85" s="203">
        <f ca="1">ROUND(D45/(1+'数据-取费表'!C42),0)</f>
        <v>193292</v>
      </c>
      <c r="D85" s="196" t="s">
        <v>32</v>
      </c>
      <c r="E85" s="1792"/>
      <c r="F85" s="1786"/>
      <c r="G85" s="1786"/>
      <c r="H85" s="230"/>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9" t="s">
        <v>772</v>
      </c>
      <c r="B86" s="169" t="s">
        <v>2249</v>
      </c>
      <c r="C86" s="203">
        <f ca="1">IF(H88="仅含出让金",C87+C90+C91+C92+C93+C94,C87+C91+C92+C93+C94)</f>
        <v>270758</v>
      </c>
      <c r="D86" s="231"/>
      <c r="E86" s="1792"/>
      <c r="F86" s="1786"/>
      <c r="G86" s="1786"/>
      <c r="H86" s="230"/>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3" t="s">
        <v>770</v>
      </c>
      <c r="B87" s="194" t="s">
        <v>2266</v>
      </c>
      <c r="C87" s="221">
        <f>C88+C89</f>
        <v>152815</v>
      </c>
      <c r="D87" s="222"/>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3" t="s">
        <v>776</v>
      </c>
      <c r="B88" s="194" t="s">
        <v>2267</v>
      </c>
      <c r="C88" s="232">
        <f>136000+5820+6472</f>
        <v>148292</v>
      </c>
      <c r="D88" s="222"/>
      <c r="E88" s="233" t="s">
        <v>2268</v>
      </c>
      <c r="F88" s="1789"/>
      <c r="G88" s="234" t="s">
        <v>2269</v>
      </c>
      <c r="H88" s="2505" t="s">
        <v>4275</v>
      </c>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3" t="s">
        <v>777</v>
      </c>
      <c r="B89" s="194" t="s">
        <v>2257</v>
      </c>
      <c r="C89" s="221">
        <f>ROUND(C88*D89,0)</f>
        <v>4523</v>
      </c>
      <c r="D89" s="222">
        <f>'数据-取费表'!B48+'数据-取费表'!B49</f>
        <v>3.0499999999999999E-2</v>
      </c>
      <c r="E89" s="233" t="s">
        <v>2270</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3" t="s">
        <v>771</v>
      </c>
      <c r="B90" s="194" t="s">
        <v>2271</v>
      </c>
      <c r="C90" s="232"/>
      <c r="D90" s="222"/>
      <c r="E90" s="233"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3" t="s">
        <v>2272</v>
      </c>
      <c r="B91" s="194" t="s">
        <v>2273</v>
      </c>
      <c r="C91" s="221">
        <f>IF(H91="——",成本法!C33,I91)</f>
        <v>54568</v>
      </c>
      <c r="D91" s="222"/>
      <c r="E91" s="3297" t="s">
        <v>2274</v>
      </c>
      <c r="F91" s="3298"/>
      <c r="G91" s="3298"/>
      <c r="H91" s="2506" t="s">
        <v>2275</v>
      </c>
      <c r="I91" s="2507">
        <f>ROUND(成本测算!J13+成本测算!J107+成本测算!J206+成本测算!J2100,0)</f>
        <v>54568</v>
      </c>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3" t="s">
        <v>2276</v>
      </c>
      <c r="B92" s="194" t="s">
        <v>2277</v>
      </c>
      <c r="C92" s="221">
        <f>ROUND((C87+C90+C91)*D92,0)</f>
        <v>20738</v>
      </c>
      <c r="D92" s="222">
        <v>0.1</v>
      </c>
      <c r="E92" s="3297" t="s">
        <v>2278</v>
      </c>
      <c r="F92" s="3298"/>
      <c r="G92" s="3298"/>
      <c r="H92" s="3299"/>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3" t="s">
        <v>2279</v>
      </c>
      <c r="B93" s="194" t="s">
        <v>2260</v>
      </c>
      <c r="C93" s="221">
        <f ca="1">ROUND(D45*D93/(1+'数据-取费表'!C42),0)</f>
        <v>1160</v>
      </c>
      <c r="D93" s="222">
        <f>'数据-取费表'!B43</f>
        <v>6.000000000000001E-3</v>
      </c>
      <c r="E93" s="3297" t="s">
        <v>2261</v>
      </c>
      <c r="F93" s="3298"/>
      <c r="G93" s="3298"/>
      <c r="H93" s="3299"/>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3" t="s">
        <v>2280</v>
      </c>
      <c r="B94" s="194" t="s">
        <v>2281</v>
      </c>
      <c r="C94" s="232">
        <f>ROUND((C87+C90+C91)*D94,0)</f>
        <v>41477</v>
      </c>
      <c r="D94" s="222">
        <v>0.2</v>
      </c>
      <c r="E94" s="3345" t="s">
        <v>2282</v>
      </c>
      <c r="F94" s="3346"/>
      <c r="G94" s="3346"/>
      <c r="H94" s="3347"/>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0" t="s">
        <v>2262</v>
      </c>
      <c r="C95" s="203">
        <f ca="1">ROUND(C85-C86,0)</f>
        <v>-77466</v>
      </c>
      <c r="D95" s="196" t="s">
        <v>32</v>
      </c>
      <c r="E95" s="1792"/>
      <c r="F95" s="1786"/>
      <c r="G95" s="1786"/>
      <c r="H95" s="230"/>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0" t="s">
        <v>2263</v>
      </c>
      <c r="C96" s="223">
        <f ca="1">IF(C95&lt;=0,0,C95/C86)</f>
        <v>0</v>
      </c>
      <c r="D96" s="196"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0"/>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5" t="s">
        <v>2264</v>
      </c>
      <c r="C97" s="224">
        <f ca="1">ROUND(IF(C95&lt;=0,0,IF(C96&gt;=200%,C95*60%-C86*35%,IF(C96&gt;=100%,C95*50%-C86*15%,IF(C96&gt;=50%,C95*40%-C86*5%,IF(C96&lt;50%,C95*30%,0))))),0)</f>
        <v>0</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7"/>
      <c r="G97" s="227"/>
      <c r="H97" s="235"/>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5"/>
    </row>
    <row r="99" spans="1:35" ht="21.75" customHeight="1" thickBot="1">
      <c r="A99" s="2462" t="s">
        <v>2283</v>
      </c>
      <c r="B99" s="2406"/>
      <c r="C99" s="2406"/>
      <c r="D99" s="2406"/>
      <c r="E99" s="2155"/>
      <c r="F99" s="2155"/>
      <c r="G99" s="2155"/>
      <c r="H99" s="2154"/>
      <c r="I99" s="135"/>
    </row>
    <row r="100" spans="1:35" ht="18.75" customHeight="1">
      <c r="A100" s="3245" t="s">
        <v>2284</v>
      </c>
      <c r="B100" s="3246"/>
      <c r="C100" s="3246"/>
      <c r="D100" s="3281"/>
      <c r="E100" s="3246" t="s">
        <v>2285</v>
      </c>
      <c r="F100" s="3246"/>
      <c r="G100" s="3246"/>
      <c r="H100" s="3281"/>
      <c r="I100" s="135"/>
    </row>
    <row r="101" spans="1:35" ht="18.75" customHeight="1">
      <c r="A101" s="3289" t="s">
        <v>2286</v>
      </c>
      <c r="B101" s="3290"/>
      <c r="C101" s="732" t="str">
        <f>C4</f>
        <v>成本法</v>
      </c>
      <c r="D101" s="733" t="str">
        <f>D4</f>
        <v>假设开发法</v>
      </c>
      <c r="E101" s="3261" t="s">
        <v>2287</v>
      </c>
      <c r="F101" s="3262"/>
      <c r="G101" s="2508" t="s">
        <v>2288</v>
      </c>
      <c r="H101" s="1038">
        <f ca="1">H118</f>
        <v>405914</v>
      </c>
      <c r="I101" s="135"/>
    </row>
    <row r="102" spans="1:35" ht="18.75" customHeight="1">
      <c r="A102" s="3291" t="s">
        <v>2289</v>
      </c>
      <c r="B102" s="2508" t="s">
        <v>2288</v>
      </c>
      <c r="C102" s="732">
        <f ca="1">C19</f>
        <v>383261</v>
      </c>
      <c r="D102" s="733">
        <f ca="1">D19</f>
        <v>428566</v>
      </c>
      <c r="E102" s="3261"/>
      <c r="F102" s="3262"/>
      <c r="G102" s="2508" t="s">
        <v>2290</v>
      </c>
      <c r="H102" s="367">
        <f ca="1">I118</f>
        <v>10828</v>
      </c>
      <c r="I102" s="135"/>
    </row>
    <row r="103" spans="1:35" ht="42.75" customHeight="1">
      <c r="A103" s="3291"/>
      <c r="B103" s="2508" t="s">
        <v>2290</v>
      </c>
      <c r="C103" s="734">
        <f ca="1">C20</f>
        <v>10224</v>
      </c>
      <c r="D103" s="735">
        <f ca="1">D20</f>
        <v>11432</v>
      </c>
      <c r="E103" s="3255" t="s">
        <v>4273</v>
      </c>
      <c r="F103" s="3256"/>
      <c r="G103" s="2509" t="s">
        <v>2291</v>
      </c>
      <c r="H103" s="1038">
        <f>IF(D36="正常操作",H104+H105+H106,H105+H106)</f>
        <v>5816</v>
      </c>
      <c r="I103" s="135"/>
    </row>
    <row r="104" spans="1:35" ht="18.75" customHeight="1">
      <c r="A104" s="3291" t="s">
        <v>2292</v>
      </c>
      <c r="B104" s="2510" t="s">
        <v>2288</v>
      </c>
      <c r="C104" s="736">
        <f ca="1">H118</f>
        <v>405914</v>
      </c>
      <c r="D104" s="737"/>
      <c r="E104" s="2255" t="s">
        <v>2293</v>
      </c>
      <c r="F104" s="2247"/>
      <c r="G104" s="2509" t="s">
        <v>2291</v>
      </c>
      <c r="H104" s="1039">
        <f>IF(D36="同一抵押权人同一抵押物续贷",C36&amp;"（未扣减，详见特别提示）",C36)</f>
        <v>0</v>
      </c>
      <c r="I104" s="135"/>
    </row>
    <row r="105" spans="1:35" ht="18.75" customHeight="1" thickBot="1">
      <c r="A105" s="3303"/>
      <c r="B105" s="2511" t="s">
        <v>2290</v>
      </c>
      <c r="C105" s="738">
        <f ca="1">I118</f>
        <v>10828</v>
      </c>
      <c r="D105" s="739"/>
      <c r="E105" s="2255" t="s">
        <v>2294</v>
      </c>
      <c r="F105" s="2247"/>
      <c r="G105" s="2509" t="s">
        <v>2291</v>
      </c>
      <c r="H105" s="1039">
        <f>C37</f>
        <v>896</v>
      </c>
      <c r="I105" s="135"/>
    </row>
    <row r="106" spans="1:35" ht="18.75" customHeight="1">
      <c r="A106" s="2406" t="s">
        <v>2295</v>
      </c>
      <c r="B106" s="2406"/>
      <c r="C106" s="2406"/>
      <c r="D106" s="2406"/>
      <c r="E106" s="2512" t="s">
        <v>2296</v>
      </c>
      <c r="F106" s="2247"/>
      <c r="G106" s="2509" t="s">
        <v>2291</v>
      </c>
      <c r="H106" s="1039">
        <f>C38</f>
        <v>4920</v>
      </c>
      <c r="I106" s="135"/>
    </row>
    <row r="107" spans="1:35" ht="18.75" customHeight="1">
      <c r="A107" s="135"/>
      <c r="B107" s="135"/>
      <c r="C107" s="135"/>
      <c r="D107" s="135"/>
      <c r="E107" s="3292" t="str">
        <f>IF(项目基本情况!E8="已注销","——","3.房地产抵押价值")</f>
        <v>——</v>
      </c>
      <c r="F107" s="3262"/>
      <c r="G107" s="2508" t="s">
        <v>2288</v>
      </c>
      <c r="H107" s="1038" t="str">
        <f>IF(E107="——","——",H101-H103)</f>
        <v>——</v>
      </c>
      <c r="I107" s="135"/>
    </row>
    <row r="108" spans="1:35" ht="18.75" customHeight="1">
      <c r="A108" s="135"/>
      <c r="B108" s="135"/>
      <c r="C108" s="135"/>
      <c r="D108" s="135"/>
      <c r="E108" s="3292"/>
      <c r="F108" s="3262"/>
      <c r="G108" s="2508" t="s">
        <v>2290</v>
      </c>
      <c r="H108" s="367" t="e">
        <f>ROUND(H107*10000/'数据-汇总表'!E3,0)</f>
        <v>#VALUE!</v>
      </c>
      <c r="I108" s="135"/>
    </row>
    <row r="109" spans="1:35" ht="18.75" customHeight="1">
      <c r="A109" s="135"/>
      <c r="B109" s="135"/>
      <c r="C109" s="135"/>
      <c r="D109" s="135"/>
      <c r="E109" s="3292" t="str">
        <f>IF(项目基本情况!E8="已注销及未注销","4.抵押担保权已注销时的房地产抵押价值",IF(项目基本情况!E8="已注销","3.抵押担保权已注销时的房地产抵押价值","——"))</f>
        <v>3.抵押担保权已注销时的房地产抵押价值</v>
      </c>
      <c r="F109" s="3262"/>
      <c r="G109" s="2508" t="s">
        <v>2288</v>
      </c>
      <c r="H109" s="344">
        <f ca="1">IF(E109="——","——",H101-H105-H106)</f>
        <v>400098</v>
      </c>
      <c r="I109" s="135"/>
    </row>
    <row r="110" spans="1:35" ht="18.75" customHeight="1">
      <c r="A110" s="135"/>
      <c r="B110" s="135"/>
      <c r="C110" s="135"/>
      <c r="D110" s="135"/>
      <c r="E110" s="3292"/>
      <c r="F110" s="3262"/>
      <c r="G110" s="2508" t="s">
        <v>2290</v>
      </c>
      <c r="H110" s="367">
        <f ca="1">IF(H109="——","——",ROUND(H109*10000/'数据-汇总表'!E3,0))</f>
        <v>10673</v>
      </c>
      <c r="I110" s="135"/>
    </row>
    <row r="111" spans="1:35" ht="18.75" customHeight="1">
      <c r="A111" s="135"/>
      <c r="B111" s="135"/>
      <c r="C111" s="135"/>
      <c r="D111" s="135"/>
      <c r="E111" s="3293" t="str">
        <f>IF(项目基本情况!E9="抵押净值",IF(OR(项目基本情况!E8="已注销",项目基本情况!E8="房地产抵押价值"),"4.抵押净值","5.抵押净值"),"——")</f>
        <v>——</v>
      </c>
      <c r="F111" s="3294"/>
      <c r="G111" s="2508" t="s">
        <v>2288</v>
      </c>
      <c r="H111" s="1038" t="str">
        <f>IF(E111="——","——",N59)</f>
        <v>——</v>
      </c>
      <c r="I111" s="135"/>
    </row>
    <row r="112" spans="1:35" ht="18.75" customHeight="1" thickBot="1">
      <c r="A112" s="135"/>
      <c r="B112" s="135"/>
      <c r="C112" s="135"/>
      <c r="D112" s="135"/>
      <c r="E112" s="3295"/>
      <c r="F112" s="3296"/>
      <c r="G112" s="2513" t="s">
        <v>2290</v>
      </c>
      <c r="H112" s="786" t="str">
        <f>IF(E111="——","——",N61)</f>
        <v>——</v>
      </c>
      <c r="I112" s="135"/>
    </row>
    <row r="113" spans="1:11" ht="18.75" customHeight="1">
      <c r="A113" s="135"/>
      <c r="B113" s="135"/>
      <c r="C113" s="135"/>
      <c r="D113" s="135"/>
      <c r="E113" s="3304" t="s">
        <v>2295</v>
      </c>
      <c r="F113" s="3304"/>
      <c r="G113" s="3304"/>
      <c r="H113" s="3304"/>
      <c r="I113" s="135"/>
    </row>
    <row r="114" spans="1:11" ht="3.75" customHeight="1">
      <c r="A114" s="2406"/>
      <c r="B114" s="2406"/>
      <c r="C114" s="2406"/>
      <c r="D114" s="2406"/>
      <c r="E114" s="2484"/>
      <c r="F114" s="2484"/>
      <c r="G114" s="2484"/>
      <c r="H114" s="2484"/>
      <c r="I114" s="2406"/>
    </row>
    <row r="115" spans="1:11" ht="18.75" customHeight="1">
      <c r="A115" s="3317" t="s">
        <v>2297</v>
      </c>
      <c r="B115" s="3318"/>
      <c r="C115" s="3318"/>
      <c r="D115" s="3318"/>
      <c r="E115" s="3318"/>
      <c r="F115" s="3318"/>
      <c r="G115" s="3318"/>
      <c r="H115" s="3318"/>
      <c r="I115" s="3319"/>
    </row>
    <row r="116" spans="1:11" ht="27" customHeight="1">
      <c r="A116" s="3224" t="s">
        <v>2298</v>
      </c>
      <c r="B116" s="3271" t="s">
        <v>2299</v>
      </c>
      <c r="C116" s="3271" t="s">
        <v>2300</v>
      </c>
      <c r="D116" s="3277" t="s">
        <v>2301</v>
      </c>
      <c r="E116" s="3278"/>
      <c r="F116" s="3313" t="s">
        <v>2302</v>
      </c>
      <c r="G116" s="3313"/>
      <c r="H116" s="3224" t="s">
        <v>2303</v>
      </c>
      <c r="I116" s="3224"/>
    </row>
    <row r="117" spans="1:11" ht="18.75" customHeight="1">
      <c r="A117" s="3224"/>
      <c r="B117" s="3272"/>
      <c r="C117" s="3272"/>
      <c r="D117" s="1787" t="s">
        <v>2304</v>
      </c>
      <c r="E117" s="1787" t="s">
        <v>2305</v>
      </c>
      <c r="F117" s="1787" t="s">
        <v>2304</v>
      </c>
      <c r="G117" s="1787" t="s">
        <v>2306</v>
      </c>
      <c r="H117" s="1787" t="s">
        <v>2304</v>
      </c>
      <c r="I117" s="1787" t="s">
        <v>2306</v>
      </c>
    </row>
    <row r="118" spans="1:11" ht="24.75" customHeight="1">
      <c r="A118" s="2514" t="str">
        <f>项目基本情况!S2</f>
        <v>重庆市江北区观音桥组团I分区I29-3-/02地块“隆鑫中心”项目出让国有建设用地使用权及在建建筑物房地产</v>
      </c>
      <c r="B118" s="1787">
        <f>M18</f>
        <v>374875.08999999997</v>
      </c>
      <c r="C118" s="1787">
        <f>M19</f>
        <v>25136</v>
      </c>
      <c r="D118" s="1787">
        <f ca="1">ROUND(IF(D32="总价",C34,E118*B118/10000),0)</f>
        <v>284546</v>
      </c>
      <c r="E118" s="1787">
        <f ca="1">ROUND(IF(C33="自定义",IF(D32="楼面单价",C34,D118*10000/B118),I118-G118),0)</f>
        <v>7590</v>
      </c>
      <c r="F118" s="1787">
        <f ca="1">ROUND(IF(D32="总价",C35,G118*B118/10000),0)</f>
        <v>121368</v>
      </c>
      <c r="G118" s="1787">
        <f ca="1">ROUND(IF(D32="楼面单价",C35,F118*10000/B118),0)</f>
        <v>3238</v>
      </c>
      <c r="H118" s="1787">
        <f ca="1">ROUND(IF(D32="总价",C32,I118*B118/10000),0)</f>
        <v>405914</v>
      </c>
      <c r="I118" s="1787">
        <f ca="1">ROUND(IF(D32="楼面单价",C32,H118*10000/B118),0)</f>
        <v>10828</v>
      </c>
    </row>
    <row r="119" spans="1:11" ht="18.75" customHeight="1">
      <c r="A119" s="3224" t="s">
        <v>2307</v>
      </c>
      <c r="B119" s="3224"/>
      <c r="C119" s="3224"/>
      <c r="D119" s="3273" t="str">
        <f ca="1">NUMBERSTRING(INT(D118*10000),2)&amp;"元整"</f>
        <v>贰拾捌亿肆仟伍佰肆拾陆万元整</v>
      </c>
      <c r="E119" s="3274"/>
      <c r="F119" s="3273" t="str">
        <f ca="1">NUMBERSTRING(INT(F118*10000),2)&amp;"元整"</f>
        <v>壹拾贰亿壹仟叁佰陆拾捌万元整</v>
      </c>
      <c r="G119" s="3274"/>
      <c r="H119" s="3273" t="str">
        <f ca="1">NUMBERSTRING(INT(H118*10000),2)&amp;"元整"</f>
        <v>肆拾亿伍仟玖佰壹拾肆万元整</v>
      </c>
      <c r="I119" s="3274"/>
    </row>
    <row r="120" spans="1:11" ht="18.75" customHeight="1">
      <c r="A120" s="3268" t="str">
        <f>IF(项目基本情况!B9="房地产市场价值","",MID(E103,3,LEN(E103)-2))</f>
        <v>估价师知悉的除抵押担保权以外的法定优先受偿款</v>
      </c>
      <c r="B120" s="3269"/>
      <c r="C120" s="3270"/>
      <c r="D120" s="3268">
        <f>H103</f>
        <v>5816</v>
      </c>
      <c r="E120" s="3269"/>
      <c r="F120" s="3269"/>
      <c r="G120" s="3269"/>
      <c r="H120" s="3269"/>
      <c r="I120" s="3270"/>
      <c r="K120" s="2411" t="str">
        <f>IF(D120=0,"故，本次评估不存在"&amp;A120,"故，本次评估"&amp;A120&amp;"为人民币"&amp;D120&amp;"万元整。")</f>
        <v>故，本次评估估价师知悉的除抵押担保权以外的法定优先受偿款为人民币5816万元整。</v>
      </c>
    </row>
    <row r="121" spans="1:11" ht="18.75" customHeight="1">
      <c r="A121" s="3314" t="s">
        <v>2307</v>
      </c>
      <c r="B121" s="3315"/>
      <c r="C121" s="3316"/>
      <c r="D121" s="3273" t="str">
        <f>IF(D120=0,"零元整",NUMBERSTRING(INT(D120*10000),2)&amp;"元整")</f>
        <v>伍仟捌佰壹拾陆万元整</v>
      </c>
      <c r="E121" s="3275"/>
      <c r="F121" s="3275"/>
      <c r="G121" s="3275"/>
      <c r="H121" s="3275"/>
      <c r="I121" s="3274"/>
    </row>
    <row r="122" spans="1:11" ht="18.75" customHeight="1">
      <c r="A122" s="3279" t="str">
        <f>IF(项目基本情况!B9="房地产市场价值","",MID(E107,3,LEN(E107)-2))</f>
        <v/>
      </c>
      <c r="B122" s="3279"/>
      <c r="C122" s="3279"/>
      <c r="D122" s="3268" t="str">
        <f>H107</f>
        <v>——</v>
      </c>
      <c r="E122" s="3269"/>
      <c r="F122" s="3269"/>
      <c r="G122" s="3269"/>
      <c r="H122" s="3269"/>
      <c r="I122" s="3270"/>
    </row>
    <row r="123" spans="1:11" ht="18.75" customHeight="1">
      <c r="A123" s="3224" t="s">
        <v>2307</v>
      </c>
      <c r="B123" s="3224"/>
      <c r="C123" s="3224"/>
      <c r="D123" s="3273" t="e">
        <f>NUMBERSTRING(INT(D122*10000),2)&amp;"元整"</f>
        <v>#VALUE!</v>
      </c>
      <c r="E123" s="3275"/>
      <c r="F123" s="3275"/>
      <c r="G123" s="3275"/>
      <c r="H123" s="3275"/>
      <c r="I123" s="3274"/>
    </row>
    <row r="124" spans="1:11" ht="18.75" customHeight="1">
      <c r="A124" s="3279" t="str">
        <f>IF(项目基本情况!B9="房地产市场价值","",MID(E109,3,LEN(E109)-2))</f>
        <v>抵押担保权已注销时的房地产抵押价值</v>
      </c>
      <c r="B124" s="3279"/>
      <c r="C124" s="3279"/>
      <c r="D124" s="3268">
        <f ca="1">H109</f>
        <v>400098</v>
      </c>
      <c r="E124" s="3269"/>
      <c r="F124" s="3269"/>
      <c r="G124" s="3269"/>
      <c r="H124" s="3269"/>
      <c r="I124" s="3270"/>
    </row>
    <row r="125" spans="1:11" ht="18.75" customHeight="1">
      <c r="A125" s="3224" t="s">
        <v>2307</v>
      </c>
      <c r="B125" s="3224"/>
      <c r="C125" s="3224"/>
      <c r="D125" s="3273" t="str">
        <f ca="1">NUMBERSTRING(INT(D124*10000),2)&amp;"元整"</f>
        <v>肆拾亿零玖拾捌万元整</v>
      </c>
      <c r="E125" s="3275"/>
      <c r="F125" s="3275"/>
      <c r="G125" s="3275"/>
      <c r="H125" s="3275"/>
      <c r="I125" s="3274"/>
    </row>
    <row r="126" spans="1:11" ht="18.75" customHeight="1">
      <c r="A126" s="3279" t="str">
        <f>IF(项目基本情况!B9="房地产市场价值","",MID(E111,3,LEN(E111)-2))</f>
        <v/>
      </c>
      <c r="B126" s="3279"/>
      <c r="C126" s="3279"/>
      <c r="D126" s="3268" t="str">
        <f>H111</f>
        <v>——</v>
      </c>
      <c r="E126" s="3269"/>
      <c r="F126" s="3269"/>
      <c r="G126" s="3269"/>
      <c r="H126" s="3269"/>
      <c r="I126" s="3270"/>
    </row>
    <row r="127" spans="1:11" ht="18.75" customHeight="1">
      <c r="A127" s="3224" t="s">
        <v>2307</v>
      </c>
      <c r="B127" s="3224"/>
      <c r="C127" s="3224"/>
      <c r="D127" s="3273" t="e">
        <f>NUMBERSTRING(INT(D126*10000),2)&amp;"元整"</f>
        <v>#VALUE!</v>
      </c>
      <c r="E127" s="3275"/>
      <c r="F127" s="3275"/>
      <c r="G127" s="3275"/>
      <c r="H127" s="3275"/>
      <c r="I127" s="3274"/>
    </row>
    <row r="128" spans="1:11" ht="21.75" customHeight="1">
      <c r="A128" s="3276" t="s">
        <v>2308</v>
      </c>
      <c r="B128" s="3276"/>
      <c r="C128" s="3276"/>
      <c r="D128" s="3276"/>
      <c r="E128" s="3276"/>
      <c r="F128" s="3276"/>
      <c r="G128" s="3276"/>
      <c r="H128" s="3276"/>
      <c r="I128" s="3276"/>
    </row>
    <row r="129" spans="1:35" ht="21.75" customHeight="1">
      <c r="A129" s="2515" t="s">
        <v>2309</v>
      </c>
      <c r="B129" s="2516"/>
      <c r="C129" s="2517" t="s">
        <v>2310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1"/>
    </row>
    <row r="135" spans="1:35" ht="21.75" customHeight="1">
      <c r="A135" s="791"/>
      <c r="B135" s="791"/>
      <c r="C135" s="791"/>
      <c r="D135" s="791"/>
      <c r="E135" s="791"/>
      <c r="F135" s="2531" t="s">
        <v>2311</v>
      </c>
      <c r="G135" s="2532"/>
      <c r="H135" s="2532"/>
      <c r="I135" s="2533" t="s">
        <v>2312</v>
      </c>
    </row>
    <row r="136" spans="1:35" ht="21.75" customHeight="1">
      <c r="A136" s="791"/>
      <c r="B136" s="2534" t="s">
        <v>2313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2"/>
      <c r="C138" s="2532"/>
      <c r="D138" s="2532"/>
      <c r="E138" s="2532"/>
      <c r="F138" s="2532"/>
      <c r="G138" s="2532"/>
      <c r="H138" s="2532"/>
      <c r="I138" s="2533" t="s">
        <v>2314</v>
      </c>
    </row>
    <row r="139" spans="1:35" ht="21.75" customHeight="1">
      <c r="A139" s="791"/>
      <c r="B139" s="2534" t="s">
        <v>2315</v>
      </c>
      <c r="C139" s="791"/>
      <c r="D139" s="791"/>
      <c r="E139" s="791"/>
      <c r="F139" s="791"/>
      <c r="G139" s="791"/>
      <c r="H139" s="791"/>
      <c r="I139" s="791"/>
    </row>
    <row r="140" spans="1:35" ht="21.75" customHeight="1">
      <c r="A140" s="791"/>
      <c r="B140" s="2534"/>
      <c r="C140" s="791"/>
      <c r="D140" s="791"/>
      <c r="E140" s="791"/>
      <c r="F140" s="791"/>
      <c r="G140" s="791"/>
      <c r="H140" s="791"/>
      <c r="I140" s="791"/>
    </row>
    <row r="141" spans="1:35" ht="21.75" customHeight="1">
      <c r="A141" s="791"/>
      <c r="B141" s="2532"/>
      <c r="C141" s="2532"/>
      <c r="D141" s="2532"/>
      <c r="E141" s="2532"/>
      <c r="F141" s="2532"/>
      <c r="G141" s="2532"/>
      <c r="H141" s="2532"/>
      <c r="I141" s="2533" t="s">
        <v>2314</v>
      </c>
    </row>
    <row r="142" spans="1:35" ht="21.75" customHeight="1">
      <c r="A142" s="791"/>
      <c r="B142" s="2534"/>
      <c r="C142" s="2535"/>
      <c r="D142" s="2536"/>
      <c r="E142" s="2536"/>
      <c r="F142" s="2329"/>
      <c r="G142" s="791"/>
      <c r="H142" s="791"/>
      <c r="I142" s="791"/>
    </row>
    <row r="143" spans="1:35" s="136" customFormat="1" ht="21.75" customHeight="1">
      <c r="A143" s="791"/>
      <c r="B143" s="2534"/>
      <c r="C143" s="2535"/>
      <c r="D143" s="2536"/>
      <c r="E143" s="2536"/>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1"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1"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1"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1"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1"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1"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1"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1"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1"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1"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1"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1"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1"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1"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1"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1"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1"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1"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1"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1"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1"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1"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1"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1"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1"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1"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1"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1"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1"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1"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1"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1"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1"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1"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1"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1"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1"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1"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1"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1"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1"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1"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1"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1"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1"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1"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1"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1"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1"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1"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1"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1"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1"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1"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1"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1"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1"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1"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1"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1"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1"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1"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1"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1"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1"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1"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1"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1"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1"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1"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1"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1"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1"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1"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1"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1"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1"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1"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1"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1"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1"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1"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1"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1"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1"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1"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1"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1"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1"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1"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1"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1"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1"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1"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1"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1"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1"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1"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1"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1"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1"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1"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1"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1"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"100%,80%,60%,64%,50%"</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outlinePr summaryBelow="0"/>
    <pageSetUpPr fitToPage="1"/>
  </sheetPr>
  <dimension ref="A1:AR364"/>
  <sheetViews>
    <sheetView showGridLines="0" zoomScaleSheetLayoutView="100" workbookViewId="0">
      <pane xSplit="2" ySplit="3" topLeftCell="C4" activePane="bottomRight" state="frozenSplit"/>
      <selection pane="topRight"/>
      <selection pane="bottomLeft"/>
      <selection pane="bottomRight" activeCell="J4" sqref="J4"/>
    </sheetView>
  </sheetViews>
  <sheetFormatPr defaultColWidth="8.875" defaultRowHeight="12" outlineLevelRow="2"/>
  <cols>
    <col min="1" max="1" width="8.125" style="3139" customWidth="1"/>
    <col min="2" max="2" width="25.5" style="3140" customWidth="1"/>
    <col min="3" max="3" width="12.875" style="3141" customWidth="1"/>
    <col min="4" max="4" width="4.875" style="3141" customWidth="1"/>
    <col min="5" max="5" width="8.625" style="3141" hidden="1" customWidth="1"/>
    <col min="6" max="6" width="7.375" style="3034" hidden="1" customWidth="1"/>
    <col min="7" max="7" width="8.875" style="3035" customWidth="1"/>
    <col min="8" max="8" width="7.625" style="3035" customWidth="1"/>
    <col min="9" max="9" width="12.125" style="3035" customWidth="1"/>
    <col min="10" max="10" width="13.375" style="3142" customWidth="1"/>
    <col min="11" max="41" width="9" style="3036" customWidth="1"/>
    <col min="42" max="43" width="8.875" style="3036"/>
    <col min="44" max="44" width="9" style="3036" hidden="1" customWidth="1"/>
    <col min="45" max="256" width="8.875" style="3036"/>
    <col min="257" max="257" width="8.125" style="3036" customWidth="1"/>
    <col min="258" max="258" width="25.5" style="3036" customWidth="1"/>
    <col min="259" max="259" width="12.875" style="3036" customWidth="1"/>
    <col min="260" max="260" width="4.875" style="3036" customWidth="1"/>
    <col min="261" max="262" width="0" style="3036" hidden="1" customWidth="1"/>
    <col min="263" max="263" width="8.875" style="3036" customWidth="1"/>
    <col min="264" max="264" width="7.625" style="3036" customWidth="1"/>
    <col min="265" max="265" width="12.125" style="3036" customWidth="1"/>
    <col min="266" max="266" width="13.375" style="3036" customWidth="1"/>
    <col min="267" max="297" width="9" style="3036" customWidth="1"/>
    <col min="298" max="299" width="8.875" style="3036"/>
    <col min="300" max="300" width="0" style="3036" hidden="1" customWidth="1"/>
    <col min="301" max="512" width="8.875" style="3036"/>
    <col min="513" max="513" width="8.125" style="3036" customWidth="1"/>
    <col min="514" max="514" width="25.5" style="3036" customWidth="1"/>
    <col min="515" max="515" width="12.875" style="3036" customWidth="1"/>
    <col min="516" max="516" width="4.875" style="3036" customWidth="1"/>
    <col min="517" max="518" width="0" style="3036" hidden="1" customWidth="1"/>
    <col min="519" max="519" width="8.875" style="3036" customWidth="1"/>
    <col min="520" max="520" width="7.625" style="3036" customWidth="1"/>
    <col min="521" max="521" width="12.125" style="3036" customWidth="1"/>
    <col min="522" max="522" width="13.375" style="3036" customWidth="1"/>
    <col min="523" max="553" width="9" style="3036" customWidth="1"/>
    <col min="554" max="555" width="8.875" style="3036"/>
    <col min="556" max="556" width="0" style="3036" hidden="1" customWidth="1"/>
    <col min="557" max="768" width="8.875" style="3036"/>
    <col min="769" max="769" width="8.125" style="3036" customWidth="1"/>
    <col min="770" max="770" width="25.5" style="3036" customWidth="1"/>
    <col min="771" max="771" width="12.875" style="3036" customWidth="1"/>
    <col min="772" max="772" width="4.875" style="3036" customWidth="1"/>
    <col min="773" max="774" width="0" style="3036" hidden="1" customWidth="1"/>
    <col min="775" max="775" width="8.875" style="3036" customWidth="1"/>
    <col min="776" max="776" width="7.625" style="3036" customWidth="1"/>
    <col min="777" max="777" width="12.125" style="3036" customWidth="1"/>
    <col min="778" max="778" width="13.375" style="3036" customWidth="1"/>
    <col min="779" max="809" width="9" style="3036" customWidth="1"/>
    <col min="810" max="811" width="8.875" style="3036"/>
    <col min="812" max="812" width="0" style="3036" hidden="1" customWidth="1"/>
    <col min="813" max="1024" width="8.875" style="3036"/>
    <col min="1025" max="1025" width="8.125" style="3036" customWidth="1"/>
    <col min="1026" max="1026" width="25.5" style="3036" customWidth="1"/>
    <col min="1027" max="1027" width="12.875" style="3036" customWidth="1"/>
    <col min="1028" max="1028" width="4.875" style="3036" customWidth="1"/>
    <col min="1029" max="1030" width="0" style="3036" hidden="1" customWidth="1"/>
    <col min="1031" max="1031" width="8.875" style="3036" customWidth="1"/>
    <col min="1032" max="1032" width="7.625" style="3036" customWidth="1"/>
    <col min="1033" max="1033" width="12.125" style="3036" customWidth="1"/>
    <col min="1034" max="1034" width="13.375" style="3036" customWidth="1"/>
    <col min="1035" max="1065" width="9" style="3036" customWidth="1"/>
    <col min="1066" max="1067" width="8.875" style="3036"/>
    <col min="1068" max="1068" width="0" style="3036" hidden="1" customWidth="1"/>
    <col min="1069" max="1280" width="8.875" style="3036"/>
    <col min="1281" max="1281" width="8.125" style="3036" customWidth="1"/>
    <col min="1282" max="1282" width="25.5" style="3036" customWidth="1"/>
    <col min="1283" max="1283" width="12.875" style="3036" customWidth="1"/>
    <col min="1284" max="1284" width="4.875" style="3036" customWidth="1"/>
    <col min="1285" max="1286" width="0" style="3036" hidden="1" customWidth="1"/>
    <col min="1287" max="1287" width="8.875" style="3036" customWidth="1"/>
    <col min="1288" max="1288" width="7.625" style="3036" customWidth="1"/>
    <col min="1289" max="1289" width="12.125" style="3036" customWidth="1"/>
    <col min="1290" max="1290" width="13.375" style="3036" customWidth="1"/>
    <col min="1291" max="1321" width="9" style="3036" customWidth="1"/>
    <col min="1322" max="1323" width="8.875" style="3036"/>
    <col min="1324" max="1324" width="0" style="3036" hidden="1" customWidth="1"/>
    <col min="1325" max="1536" width="8.875" style="3036"/>
    <col min="1537" max="1537" width="8.125" style="3036" customWidth="1"/>
    <col min="1538" max="1538" width="25.5" style="3036" customWidth="1"/>
    <col min="1539" max="1539" width="12.875" style="3036" customWidth="1"/>
    <col min="1540" max="1540" width="4.875" style="3036" customWidth="1"/>
    <col min="1541" max="1542" width="0" style="3036" hidden="1" customWidth="1"/>
    <col min="1543" max="1543" width="8.875" style="3036" customWidth="1"/>
    <col min="1544" max="1544" width="7.625" style="3036" customWidth="1"/>
    <col min="1545" max="1545" width="12.125" style="3036" customWidth="1"/>
    <col min="1546" max="1546" width="13.375" style="3036" customWidth="1"/>
    <col min="1547" max="1577" width="9" style="3036" customWidth="1"/>
    <col min="1578" max="1579" width="8.875" style="3036"/>
    <col min="1580" max="1580" width="0" style="3036" hidden="1" customWidth="1"/>
    <col min="1581" max="1792" width="8.875" style="3036"/>
    <col min="1793" max="1793" width="8.125" style="3036" customWidth="1"/>
    <col min="1794" max="1794" width="25.5" style="3036" customWidth="1"/>
    <col min="1795" max="1795" width="12.875" style="3036" customWidth="1"/>
    <col min="1796" max="1796" width="4.875" style="3036" customWidth="1"/>
    <col min="1797" max="1798" width="0" style="3036" hidden="1" customWidth="1"/>
    <col min="1799" max="1799" width="8.875" style="3036" customWidth="1"/>
    <col min="1800" max="1800" width="7.625" style="3036" customWidth="1"/>
    <col min="1801" max="1801" width="12.125" style="3036" customWidth="1"/>
    <col min="1802" max="1802" width="13.375" style="3036" customWidth="1"/>
    <col min="1803" max="1833" width="9" style="3036" customWidth="1"/>
    <col min="1834" max="1835" width="8.875" style="3036"/>
    <col min="1836" max="1836" width="0" style="3036" hidden="1" customWidth="1"/>
    <col min="1837" max="2048" width="8.875" style="3036"/>
    <col min="2049" max="2049" width="8.125" style="3036" customWidth="1"/>
    <col min="2050" max="2050" width="25.5" style="3036" customWidth="1"/>
    <col min="2051" max="2051" width="12.875" style="3036" customWidth="1"/>
    <col min="2052" max="2052" width="4.875" style="3036" customWidth="1"/>
    <col min="2053" max="2054" width="0" style="3036" hidden="1" customWidth="1"/>
    <col min="2055" max="2055" width="8.875" style="3036" customWidth="1"/>
    <col min="2056" max="2056" width="7.625" style="3036" customWidth="1"/>
    <col min="2057" max="2057" width="12.125" style="3036" customWidth="1"/>
    <col min="2058" max="2058" width="13.375" style="3036" customWidth="1"/>
    <col min="2059" max="2089" width="9" style="3036" customWidth="1"/>
    <col min="2090" max="2091" width="8.875" style="3036"/>
    <col min="2092" max="2092" width="0" style="3036" hidden="1" customWidth="1"/>
    <col min="2093" max="2304" width="8.875" style="3036"/>
    <col min="2305" max="2305" width="8.125" style="3036" customWidth="1"/>
    <col min="2306" max="2306" width="25.5" style="3036" customWidth="1"/>
    <col min="2307" max="2307" width="12.875" style="3036" customWidth="1"/>
    <col min="2308" max="2308" width="4.875" style="3036" customWidth="1"/>
    <col min="2309" max="2310" width="0" style="3036" hidden="1" customWidth="1"/>
    <col min="2311" max="2311" width="8.875" style="3036" customWidth="1"/>
    <col min="2312" max="2312" width="7.625" style="3036" customWidth="1"/>
    <col min="2313" max="2313" width="12.125" style="3036" customWidth="1"/>
    <col min="2314" max="2314" width="13.375" style="3036" customWidth="1"/>
    <col min="2315" max="2345" width="9" style="3036" customWidth="1"/>
    <col min="2346" max="2347" width="8.875" style="3036"/>
    <col min="2348" max="2348" width="0" style="3036" hidden="1" customWidth="1"/>
    <col min="2349" max="2560" width="8.875" style="3036"/>
    <col min="2561" max="2561" width="8.125" style="3036" customWidth="1"/>
    <col min="2562" max="2562" width="25.5" style="3036" customWidth="1"/>
    <col min="2563" max="2563" width="12.875" style="3036" customWidth="1"/>
    <col min="2564" max="2564" width="4.875" style="3036" customWidth="1"/>
    <col min="2565" max="2566" width="0" style="3036" hidden="1" customWidth="1"/>
    <col min="2567" max="2567" width="8.875" style="3036" customWidth="1"/>
    <col min="2568" max="2568" width="7.625" style="3036" customWidth="1"/>
    <col min="2569" max="2569" width="12.125" style="3036" customWidth="1"/>
    <col min="2570" max="2570" width="13.375" style="3036" customWidth="1"/>
    <col min="2571" max="2601" width="9" style="3036" customWidth="1"/>
    <col min="2602" max="2603" width="8.875" style="3036"/>
    <col min="2604" max="2604" width="0" style="3036" hidden="1" customWidth="1"/>
    <col min="2605" max="2816" width="8.875" style="3036"/>
    <col min="2817" max="2817" width="8.125" style="3036" customWidth="1"/>
    <col min="2818" max="2818" width="25.5" style="3036" customWidth="1"/>
    <col min="2819" max="2819" width="12.875" style="3036" customWidth="1"/>
    <col min="2820" max="2820" width="4.875" style="3036" customWidth="1"/>
    <col min="2821" max="2822" width="0" style="3036" hidden="1" customWidth="1"/>
    <col min="2823" max="2823" width="8.875" style="3036" customWidth="1"/>
    <col min="2824" max="2824" width="7.625" style="3036" customWidth="1"/>
    <col min="2825" max="2825" width="12.125" style="3036" customWidth="1"/>
    <col min="2826" max="2826" width="13.375" style="3036" customWidth="1"/>
    <col min="2827" max="2857" width="9" style="3036" customWidth="1"/>
    <col min="2858" max="2859" width="8.875" style="3036"/>
    <col min="2860" max="2860" width="0" style="3036" hidden="1" customWidth="1"/>
    <col min="2861" max="3072" width="8.875" style="3036"/>
    <col min="3073" max="3073" width="8.125" style="3036" customWidth="1"/>
    <col min="3074" max="3074" width="25.5" style="3036" customWidth="1"/>
    <col min="3075" max="3075" width="12.875" style="3036" customWidth="1"/>
    <col min="3076" max="3076" width="4.875" style="3036" customWidth="1"/>
    <col min="3077" max="3078" width="0" style="3036" hidden="1" customWidth="1"/>
    <col min="3079" max="3079" width="8.875" style="3036" customWidth="1"/>
    <col min="3080" max="3080" width="7.625" style="3036" customWidth="1"/>
    <col min="3081" max="3081" width="12.125" style="3036" customWidth="1"/>
    <col min="3082" max="3082" width="13.375" style="3036" customWidth="1"/>
    <col min="3083" max="3113" width="9" style="3036" customWidth="1"/>
    <col min="3114" max="3115" width="8.875" style="3036"/>
    <col min="3116" max="3116" width="0" style="3036" hidden="1" customWidth="1"/>
    <col min="3117" max="3328" width="8.875" style="3036"/>
    <col min="3329" max="3329" width="8.125" style="3036" customWidth="1"/>
    <col min="3330" max="3330" width="25.5" style="3036" customWidth="1"/>
    <col min="3331" max="3331" width="12.875" style="3036" customWidth="1"/>
    <col min="3332" max="3332" width="4.875" style="3036" customWidth="1"/>
    <col min="3333" max="3334" width="0" style="3036" hidden="1" customWidth="1"/>
    <col min="3335" max="3335" width="8.875" style="3036" customWidth="1"/>
    <col min="3336" max="3336" width="7.625" style="3036" customWidth="1"/>
    <col min="3337" max="3337" width="12.125" style="3036" customWidth="1"/>
    <col min="3338" max="3338" width="13.375" style="3036" customWidth="1"/>
    <col min="3339" max="3369" width="9" style="3036" customWidth="1"/>
    <col min="3370" max="3371" width="8.875" style="3036"/>
    <col min="3372" max="3372" width="0" style="3036" hidden="1" customWidth="1"/>
    <col min="3373" max="3584" width="8.875" style="3036"/>
    <col min="3585" max="3585" width="8.125" style="3036" customWidth="1"/>
    <col min="3586" max="3586" width="25.5" style="3036" customWidth="1"/>
    <col min="3587" max="3587" width="12.875" style="3036" customWidth="1"/>
    <col min="3588" max="3588" width="4.875" style="3036" customWidth="1"/>
    <col min="3589" max="3590" width="0" style="3036" hidden="1" customWidth="1"/>
    <col min="3591" max="3591" width="8.875" style="3036" customWidth="1"/>
    <col min="3592" max="3592" width="7.625" style="3036" customWidth="1"/>
    <col min="3593" max="3593" width="12.125" style="3036" customWidth="1"/>
    <col min="3594" max="3594" width="13.375" style="3036" customWidth="1"/>
    <col min="3595" max="3625" width="9" style="3036" customWidth="1"/>
    <col min="3626" max="3627" width="8.875" style="3036"/>
    <col min="3628" max="3628" width="0" style="3036" hidden="1" customWidth="1"/>
    <col min="3629" max="3840" width="8.875" style="3036"/>
    <col min="3841" max="3841" width="8.125" style="3036" customWidth="1"/>
    <col min="3842" max="3842" width="25.5" style="3036" customWidth="1"/>
    <col min="3843" max="3843" width="12.875" style="3036" customWidth="1"/>
    <col min="3844" max="3844" width="4.875" style="3036" customWidth="1"/>
    <col min="3845" max="3846" width="0" style="3036" hidden="1" customWidth="1"/>
    <col min="3847" max="3847" width="8.875" style="3036" customWidth="1"/>
    <col min="3848" max="3848" width="7.625" style="3036" customWidth="1"/>
    <col min="3849" max="3849" width="12.125" style="3036" customWidth="1"/>
    <col min="3850" max="3850" width="13.375" style="3036" customWidth="1"/>
    <col min="3851" max="3881" width="9" style="3036" customWidth="1"/>
    <col min="3882" max="3883" width="8.875" style="3036"/>
    <col min="3884" max="3884" width="0" style="3036" hidden="1" customWidth="1"/>
    <col min="3885" max="4096" width="8.875" style="3036"/>
    <col min="4097" max="4097" width="8.125" style="3036" customWidth="1"/>
    <col min="4098" max="4098" width="25.5" style="3036" customWidth="1"/>
    <col min="4099" max="4099" width="12.875" style="3036" customWidth="1"/>
    <col min="4100" max="4100" width="4.875" style="3036" customWidth="1"/>
    <col min="4101" max="4102" width="0" style="3036" hidden="1" customWidth="1"/>
    <col min="4103" max="4103" width="8.875" style="3036" customWidth="1"/>
    <col min="4104" max="4104" width="7.625" style="3036" customWidth="1"/>
    <col min="4105" max="4105" width="12.125" style="3036" customWidth="1"/>
    <col min="4106" max="4106" width="13.375" style="3036" customWidth="1"/>
    <col min="4107" max="4137" width="9" style="3036" customWidth="1"/>
    <col min="4138" max="4139" width="8.875" style="3036"/>
    <col min="4140" max="4140" width="0" style="3036" hidden="1" customWidth="1"/>
    <col min="4141" max="4352" width="8.875" style="3036"/>
    <col min="4353" max="4353" width="8.125" style="3036" customWidth="1"/>
    <col min="4354" max="4354" width="25.5" style="3036" customWidth="1"/>
    <col min="4355" max="4355" width="12.875" style="3036" customWidth="1"/>
    <col min="4356" max="4356" width="4.875" style="3036" customWidth="1"/>
    <col min="4357" max="4358" width="0" style="3036" hidden="1" customWidth="1"/>
    <col min="4359" max="4359" width="8.875" style="3036" customWidth="1"/>
    <col min="4360" max="4360" width="7.625" style="3036" customWidth="1"/>
    <col min="4361" max="4361" width="12.125" style="3036" customWidth="1"/>
    <col min="4362" max="4362" width="13.375" style="3036" customWidth="1"/>
    <col min="4363" max="4393" width="9" style="3036" customWidth="1"/>
    <col min="4394" max="4395" width="8.875" style="3036"/>
    <col min="4396" max="4396" width="0" style="3036" hidden="1" customWidth="1"/>
    <col min="4397" max="4608" width="8.875" style="3036"/>
    <col min="4609" max="4609" width="8.125" style="3036" customWidth="1"/>
    <col min="4610" max="4610" width="25.5" style="3036" customWidth="1"/>
    <col min="4611" max="4611" width="12.875" style="3036" customWidth="1"/>
    <col min="4612" max="4612" width="4.875" style="3036" customWidth="1"/>
    <col min="4613" max="4614" width="0" style="3036" hidden="1" customWidth="1"/>
    <col min="4615" max="4615" width="8.875" style="3036" customWidth="1"/>
    <col min="4616" max="4616" width="7.625" style="3036" customWidth="1"/>
    <col min="4617" max="4617" width="12.125" style="3036" customWidth="1"/>
    <col min="4618" max="4618" width="13.375" style="3036" customWidth="1"/>
    <col min="4619" max="4649" width="9" style="3036" customWidth="1"/>
    <col min="4650" max="4651" width="8.875" style="3036"/>
    <col min="4652" max="4652" width="0" style="3036" hidden="1" customWidth="1"/>
    <col min="4653" max="4864" width="8.875" style="3036"/>
    <col min="4865" max="4865" width="8.125" style="3036" customWidth="1"/>
    <col min="4866" max="4866" width="25.5" style="3036" customWidth="1"/>
    <col min="4867" max="4867" width="12.875" style="3036" customWidth="1"/>
    <col min="4868" max="4868" width="4.875" style="3036" customWidth="1"/>
    <col min="4869" max="4870" width="0" style="3036" hidden="1" customWidth="1"/>
    <col min="4871" max="4871" width="8.875" style="3036" customWidth="1"/>
    <col min="4872" max="4872" width="7.625" style="3036" customWidth="1"/>
    <col min="4873" max="4873" width="12.125" style="3036" customWidth="1"/>
    <col min="4874" max="4874" width="13.375" style="3036" customWidth="1"/>
    <col min="4875" max="4905" width="9" style="3036" customWidth="1"/>
    <col min="4906" max="4907" width="8.875" style="3036"/>
    <col min="4908" max="4908" width="0" style="3036" hidden="1" customWidth="1"/>
    <col min="4909" max="5120" width="8.875" style="3036"/>
    <col min="5121" max="5121" width="8.125" style="3036" customWidth="1"/>
    <col min="5122" max="5122" width="25.5" style="3036" customWidth="1"/>
    <col min="5123" max="5123" width="12.875" style="3036" customWidth="1"/>
    <col min="5124" max="5124" width="4.875" style="3036" customWidth="1"/>
    <col min="5125" max="5126" width="0" style="3036" hidden="1" customWidth="1"/>
    <col min="5127" max="5127" width="8.875" style="3036" customWidth="1"/>
    <col min="5128" max="5128" width="7.625" style="3036" customWidth="1"/>
    <col min="5129" max="5129" width="12.125" style="3036" customWidth="1"/>
    <col min="5130" max="5130" width="13.375" style="3036" customWidth="1"/>
    <col min="5131" max="5161" width="9" style="3036" customWidth="1"/>
    <col min="5162" max="5163" width="8.875" style="3036"/>
    <col min="5164" max="5164" width="0" style="3036" hidden="1" customWidth="1"/>
    <col min="5165" max="5376" width="8.875" style="3036"/>
    <col min="5377" max="5377" width="8.125" style="3036" customWidth="1"/>
    <col min="5378" max="5378" width="25.5" style="3036" customWidth="1"/>
    <col min="5379" max="5379" width="12.875" style="3036" customWidth="1"/>
    <col min="5380" max="5380" width="4.875" style="3036" customWidth="1"/>
    <col min="5381" max="5382" width="0" style="3036" hidden="1" customWidth="1"/>
    <col min="5383" max="5383" width="8.875" style="3036" customWidth="1"/>
    <col min="5384" max="5384" width="7.625" style="3036" customWidth="1"/>
    <col min="5385" max="5385" width="12.125" style="3036" customWidth="1"/>
    <col min="5386" max="5386" width="13.375" style="3036" customWidth="1"/>
    <col min="5387" max="5417" width="9" style="3036" customWidth="1"/>
    <col min="5418" max="5419" width="8.875" style="3036"/>
    <col min="5420" max="5420" width="0" style="3036" hidden="1" customWidth="1"/>
    <col min="5421" max="5632" width="8.875" style="3036"/>
    <col min="5633" max="5633" width="8.125" style="3036" customWidth="1"/>
    <col min="5634" max="5634" width="25.5" style="3036" customWidth="1"/>
    <col min="5635" max="5635" width="12.875" style="3036" customWidth="1"/>
    <col min="5636" max="5636" width="4.875" style="3036" customWidth="1"/>
    <col min="5637" max="5638" width="0" style="3036" hidden="1" customWidth="1"/>
    <col min="5639" max="5639" width="8.875" style="3036" customWidth="1"/>
    <col min="5640" max="5640" width="7.625" style="3036" customWidth="1"/>
    <col min="5641" max="5641" width="12.125" style="3036" customWidth="1"/>
    <col min="5642" max="5642" width="13.375" style="3036" customWidth="1"/>
    <col min="5643" max="5673" width="9" style="3036" customWidth="1"/>
    <col min="5674" max="5675" width="8.875" style="3036"/>
    <col min="5676" max="5676" width="0" style="3036" hidden="1" customWidth="1"/>
    <col min="5677" max="5888" width="8.875" style="3036"/>
    <col min="5889" max="5889" width="8.125" style="3036" customWidth="1"/>
    <col min="5890" max="5890" width="25.5" style="3036" customWidth="1"/>
    <col min="5891" max="5891" width="12.875" style="3036" customWidth="1"/>
    <col min="5892" max="5892" width="4.875" style="3036" customWidth="1"/>
    <col min="5893" max="5894" width="0" style="3036" hidden="1" customWidth="1"/>
    <col min="5895" max="5895" width="8.875" style="3036" customWidth="1"/>
    <col min="5896" max="5896" width="7.625" style="3036" customWidth="1"/>
    <col min="5897" max="5897" width="12.125" style="3036" customWidth="1"/>
    <col min="5898" max="5898" width="13.375" style="3036" customWidth="1"/>
    <col min="5899" max="5929" width="9" style="3036" customWidth="1"/>
    <col min="5930" max="5931" width="8.875" style="3036"/>
    <col min="5932" max="5932" width="0" style="3036" hidden="1" customWidth="1"/>
    <col min="5933" max="6144" width="8.875" style="3036"/>
    <col min="6145" max="6145" width="8.125" style="3036" customWidth="1"/>
    <col min="6146" max="6146" width="25.5" style="3036" customWidth="1"/>
    <col min="6147" max="6147" width="12.875" style="3036" customWidth="1"/>
    <col min="6148" max="6148" width="4.875" style="3036" customWidth="1"/>
    <col min="6149" max="6150" width="0" style="3036" hidden="1" customWidth="1"/>
    <col min="6151" max="6151" width="8.875" style="3036" customWidth="1"/>
    <col min="6152" max="6152" width="7.625" style="3036" customWidth="1"/>
    <col min="6153" max="6153" width="12.125" style="3036" customWidth="1"/>
    <col min="6154" max="6154" width="13.375" style="3036" customWidth="1"/>
    <col min="6155" max="6185" width="9" style="3036" customWidth="1"/>
    <col min="6186" max="6187" width="8.875" style="3036"/>
    <col min="6188" max="6188" width="0" style="3036" hidden="1" customWidth="1"/>
    <col min="6189" max="6400" width="8.875" style="3036"/>
    <col min="6401" max="6401" width="8.125" style="3036" customWidth="1"/>
    <col min="6402" max="6402" width="25.5" style="3036" customWidth="1"/>
    <col min="6403" max="6403" width="12.875" style="3036" customWidth="1"/>
    <col min="6404" max="6404" width="4.875" style="3036" customWidth="1"/>
    <col min="6405" max="6406" width="0" style="3036" hidden="1" customWidth="1"/>
    <col min="6407" max="6407" width="8.875" style="3036" customWidth="1"/>
    <col min="6408" max="6408" width="7.625" style="3036" customWidth="1"/>
    <col min="6409" max="6409" width="12.125" style="3036" customWidth="1"/>
    <col min="6410" max="6410" width="13.375" style="3036" customWidth="1"/>
    <col min="6411" max="6441" width="9" style="3036" customWidth="1"/>
    <col min="6442" max="6443" width="8.875" style="3036"/>
    <col min="6444" max="6444" width="0" style="3036" hidden="1" customWidth="1"/>
    <col min="6445" max="6656" width="8.875" style="3036"/>
    <col min="6657" max="6657" width="8.125" style="3036" customWidth="1"/>
    <col min="6658" max="6658" width="25.5" style="3036" customWidth="1"/>
    <col min="6659" max="6659" width="12.875" style="3036" customWidth="1"/>
    <col min="6660" max="6660" width="4.875" style="3036" customWidth="1"/>
    <col min="6661" max="6662" width="0" style="3036" hidden="1" customWidth="1"/>
    <col min="6663" max="6663" width="8.875" style="3036" customWidth="1"/>
    <col min="6664" max="6664" width="7.625" style="3036" customWidth="1"/>
    <col min="6665" max="6665" width="12.125" style="3036" customWidth="1"/>
    <col min="6666" max="6666" width="13.375" style="3036" customWidth="1"/>
    <col min="6667" max="6697" width="9" style="3036" customWidth="1"/>
    <col min="6698" max="6699" width="8.875" style="3036"/>
    <col min="6700" max="6700" width="0" style="3036" hidden="1" customWidth="1"/>
    <col min="6701" max="6912" width="8.875" style="3036"/>
    <col min="6913" max="6913" width="8.125" style="3036" customWidth="1"/>
    <col min="6914" max="6914" width="25.5" style="3036" customWidth="1"/>
    <col min="6915" max="6915" width="12.875" style="3036" customWidth="1"/>
    <col min="6916" max="6916" width="4.875" style="3036" customWidth="1"/>
    <col min="6917" max="6918" width="0" style="3036" hidden="1" customWidth="1"/>
    <col min="6919" max="6919" width="8.875" style="3036" customWidth="1"/>
    <col min="6920" max="6920" width="7.625" style="3036" customWidth="1"/>
    <col min="6921" max="6921" width="12.125" style="3036" customWidth="1"/>
    <col min="6922" max="6922" width="13.375" style="3036" customWidth="1"/>
    <col min="6923" max="6953" width="9" style="3036" customWidth="1"/>
    <col min="6954" max="6955" width="8.875" style="3036"/>
    <col min="6956" max="6956" width="0" style="3036" hidden="1" customWidth="1"/>
    <col min="6957" max="7168" width="8.875" style="3036"/>
    <col min="7169" max="7169" width="8.125" style="3036" customWidth="1"/>
    <col min="7170" max="7170" width="25.5" style="3036" customWidth="1"/>
    <col min="7171" max="7171" width="12.875" style="3036" customWidth="1"/>
    <col min="7172" max="7172" width="4.875" style="3036" customWidth="1"/>
    <col min="7173" max="7174" width="0" style="3036" hidden="1" customWidth="1"/>
    <col min="7175" max="7175" width="8.875" style="3036" customWidth="1"/>
    <col min="7176" max="7176" width="7.625" style="3036" customWidth="1"/>
    <col min="7177" max="7177" width="12.125" style="3036" customWidth="1"/>
    <col min="7178" max="7178" width="13.375" style="3036" customWidth="1"/>
    <col min="7179" max="7209" width="9" style="3036" customWidth="1"/>
    <col min="7210" max="7211" width="8.875" style="3036"/>
    <col min="7212" max="7212" width="0" style="3036" hidden="1" customWidth="1"/>
    <col min="7213" max="7424" width="8.875" style="3036"/>
    <col min="7425" max="7425" width="8.125" style="3036" customWidth="1"/>
    <col min="7426" max="7426" width="25.5" style="3036" customWidth="1"/>
    <col min="7427" max="7427" width="12.875" style="3036" customWidth="1"/>
    <col min="7428" max="7428" width="4.875" style="3036" customWidth="1"/>
    <col min="7429" max="7430" width="0" style="3036" hidden="1" customWidth="1"/>
    <col min="7431" max="7431" width="8.875" style="3036" customWidth="1"/>
    <col min="7432" max="7432" width="7.625" style="3036" customWidth="1"/>
    <col min="7433" max="7433" width="12.125" style="3036" customWidth="1"/>
    <col min="7434" max="7434" width="13.375" style="3036" customWidth="1"/>
    <col min="7435" max="7465" width="9" style="3036" customWidth="1"/>
    <col min="7466" max="7467" width="8.875" style="3036"/>
    <col min="7468" max="7468" width="0" style="3036" hidden="1" customWidth="1"/>
    <col min="7469" max="7680" width="8.875" style="3036"/>
    <col min="7681" max="7681" width="8.125" style="3036" customWidth="1"/>
    <col min="7682" max="7682" width="25.5" style="3036" customWidth="1"/>
    <col min="7683" max="7683" width="12.875" style="3036" customWidth="1"/>
    <col min="7684" max="7684" width="4.875" style="3036" customWidth="1"/>
    <col min="7685" max="7686" width="0" style="3036" hidden="1" customWidth="1"/>
    <col min="7687" max="7687" width="8.875" style="3036" customWidth="1"/>
    <col min="7688" max="7688" width="7.625" style="3036" customWidth="1"/>
    <col min="7689" max="7689" width="12.125" style="3036" customWidth="1"/>
    <col min="7690" max="7690" width="13.375" style="3036" customWidth="1"/>
    <col min="7691" max="7721" width="9" style="3036" customWidth="1"/>
    <col min="7722" max="7723" width="8.875" style="3036"/>
    <col min="7724" max="7724" width="0" style="3036" hidden="1" customWidth="1"/>
    <col min="7725" max="7936" width="8.875" style="3036"/>
    <col min="7937" max="7937" width="8.125" style="3036" customWidth="1"/>
    <col min="7938" max="7938" width="25.5" style="3036" customWidth="1"/>
    <col min="7939" max="7939" width="12.875" style="3036" customWidth="1"/>
    <col min="7940" max="7940" width="4.875" style="3036" customWidth="1"/>
    <col min="7941" max="7942" width="0" style="3036" hidden="1" customWidth="1"/>
    <col min="7943" max="7943" width="8.875" style="3036" customWidth="1"/>
    <col min="7944" max="7944" width="7.625" style="3036" customWidth="1"/>
    <col min="7945" max="7945" width="12.125" style="3036" customWidth="1"/>
    <col min="7946" max="7946" width="13.375" style="3036" customWidth="1"/>
    <col min="7947" max="7977" width="9" style="3036" customWidth="1"/>
    <col min="7978" max="7979" width="8.875" style="3036"/>
    <col min="7980" max="7980" width="0" style="3036" hidden="1" customWidth="1"/>
    <col min="7981" max="8192" width="8.875" style="3036"/>
    <col min="8193" max="8193" width="8.125" style="3036" customWidth="1"/>
    <col min="8194" max="8194" width="25.5" style="3036" customWidth="1"/>
    <col min="8195" max="8195" width="12.875" style="3036" customWidth="1"/>
    <col min="8196" max="8196" width="4.875" style="3036" customWidth="1"/>
    <col min="8197" max="8198" width="0" style="3036" hidden="1" customWidth="1"/>
    <col min="8199" max="8199" width="8.875" style="3036" customWidth="1"/>
    <col min="8200" max="8200" width="7.625" style="3036" customWidth="1"/>
    <col min="8201" max="8201" width="12.125" style="3036" customWidth="1"/>
    <col min="8202" max="8202" width="13.375" style="3036" customWidth="1"/>
    <col min="8203" max="8233" width="9" style="3036" customWidth="1"/>
    <col min="8234" max="8235" width="8.875" style="3036"/>
    <col min="8236" max="8236" width="0" style="3036" hidden="1" customWidth="1"/>
    <col min="8237" max="8448" width="8.875" style="3036"/>
    <col min="8449" max="8449" width="8.125" style="3036" customWidth="1"/>
    <col min="8450" max="8450" width="25.5" style="3036" customWidth="1"/>
    <col min="8451" max="8451" width="12.875" style="3036" customWidth="1"/>
    <col min="8452" max="8452" width="4.875" style="3036" customWidth="1"/>
    <col min="8453" max="8454" width="0" style="3036" hidden="1" customWidth="1"/>
    <col min="8455" max="8455" width="8.875" style="3036" customWidth="1"/>
    <col min="8456" max="8456" width="7.625" style="3036" customWidth="1"/>
    <col min="8457" max="8457" width="12.125" style="3036" customWidth="1"/>
    <col min="8458" max="8458" width="13.375" style="3036" customWidth="1"/>
    <col min="8459" max="8489" width="9" style="3036" customWidth="1"/>
    <col min="8490" max="8491" width="8.875" style="3036"/>
    <col min="8492" max="8492" width="0" style="3036" hidden="1" customWidth="1"/>
    <col min="8493" max="8704" width="8.875" style="3036"/>
    <col min="8705" max="8705" width="8.125" style="3036" customWidth="1"/>
    <col min="8706" max="8706" width="25.5" style="3036" customWidth="1"/>
    <col min="8707" max="8707" width="12.875" style="3036" customWidth="1"/>
    <col min="8708" max="8708" width="4.875" style="3036" customWidth="1"/>
    <col min="8709" max="8710" width="0" style="3036" hidden="1" customWidth="1"/>
    <col min="8711" max="8711" width="8.875" style="3036" customWidth="1"/>
    <col min="8712" max="8712" width="7.625" style="3036" customWidth="1"/>
    <col min="8713" max="8713" width="12.125" style="3036" customWidth="1"/>
    <col min="8714" max="8714" width="13.375" style="3036" customWidth="1"/>
    <col min="8715" max="8745" width="9" style="3036" customWidth="1"/>
    <col min="8746" max="8747" width="8.875" style="3036"/>
    <col min="8748" max="8748" width="0" style="3036" hidden="1" customWidth="1"/>
    <col min="8749" max="8960" width="8.875" style="3036"/>
    <col min="8961" max="8961" width="8.125" style="3036" customWidth="1"/>
    <col min="8962" max="8962" width="25.5" style="3036" customWidth="1"/>
    <col min="8963" max="8963" width="12.875" style="3036" customWidth="1"/>
    <col min="8964" max="8964" width="4.875" style="3036" customWidth="1"/>
    <col min="8965" max="8966" width="0" style="3036" hidden="1" customWidth="1"/>
    <col min="8967" max="8967" width="8.875" style="3036" customWidth="1"/>
    <col min="8968" max="8968" width="7.625" style="3036" customWidth="1"/>
    <col min="8969" max="8969" width="12.125" style="3036" customWidth="1"/>
    <col min="8970" max="8970" width="13.375" style="3036" customWidth="1"/>
    <col min="8971" max="9001" width="9" style="3036" customWidth="1"/>
    <col min="9002" max="9003" width="8.875" style="3036"/>
    <col min="9004" max="9004" width="0" style="3036" hidden="1" customWidth="1"/>
    <col min="9005" max="9216" width="8.875" style="3036"/>
    <col min="9217" max="9217" width="8.125" style="3036" customWidth="1"/>
    <col min="9218" max="9218" width="25.5" style="3036" customWidth="1"/>
    <col min="9219" max="9219" width="12.875" style="3036" customWidth="1"/>
    <col min="9220" max="9220" width="4.875" style="3036" customWidth="1"/>
    <col min="9221" max="9222" width="0" style="3036" hidden="1" customWidth="1"/>
    <col min="9223" max="9223" width="8.875" style="3036" customWidth="1"/>
    <col min="9224" max="9224" width="7.625" style="3036" customWidth="1"/>
    <col min="9225" max="9225" width="12.125" style="3036" customWidth="1"/>
    <col min="9226" max="9226" width="13.375" style="3036" customWidth="1"/>
    <col min="9227" max="9257" width="9" style="3036" customWidth="1"/>
    <col min="9258" max="9259" width="8.875" style="3036"/>
    <col min="9260" max="9260" width="0" style="3036" hidden="1" customWidth="1"/>
    <col min="9261" max="9472" width="8.875" style="3036"/>
    <col min="9473" max="9473" width="8.125" style="3036" customWidth="1"/>
    <col min="9474" max="9474" width="25.5" style="3036" customWidth="1"/>
    <col min="9475" max="9475" width="12.875" style="3036" customWidth="1"/>
    <col min="9476" max="9476" width="4.875" style="3036" customWidth="1"/>
    <col min="9477" max="9478" width="0" style="3036" hidden="1" customWidth="1"/>
    <col min="9479" max="9479" width="8.875" style="3036" customWidth="1"/>
    <col min="9480" max="9480" width="7.625" style="3036" customWidth="1"/>
    <col min="9481" max="9481" width="12.125" style="3036" customWidth="1"/>
    <col min="9482" max="9482" width="13.375" style="3036" customWidth="1"/>
    <col min="9483" max="9513" width="9" style="3036" customWidth="1"/>
    <col min="9514" max="9515" width="8.875" style="3036"/>
    <col min="9516" max="9516" width="0" style="3036" hidden="1" customWidth="1"/>
    <col min="9517" max="9728" width="8.875" style="3036"/>
    <col min="9729" max="9729" width="8.125" style="3036" customWidth="1"/>
    <col min="9730" max="9730" width="25.5" style="3036" customWidth="1"/>
    <col min="9731" max="9731" width="12.875" style="3036" customWidth="1"/>
    <col min="9732" max="9732" width="4.875" style="3036" customWidth="1"/>
    <col min="9733" max="9734" width="0" style="3036" hidden="1" customWidth="1"/>
    <col min="9735" max="9735" width="8.875" style="3036" customWidth="1"/>
    <col min="9736" max="9736" width="7.625" style="3036" customWidth="1"/>
    <col min="9737" max="9737" width="12.125" style="3036" customWidth="1"/>
    <col min="9738" max="9738" width="13.375" style="3036" customWidth="1"/>
    <col min="9739" max="9769" width="9" style="3036" customWidth="1"/>
    <col min="9770" max="9771" width="8.875" style="3036"/>
    <col min="9772" max="9772" width="0" style="3036" hidden="1" customWidth="1"/>
    <col min="9773" max="9984" width="8.875" style="3036"/>
    <col min="9985" max="9985" width="8.125" style="3036" customWidth="1"/>
    <col min="9986" max="9986" width="25.5" style="3036" customWidth="1"/>
    <col min="9987" max="9987" width="12.875" style="3036" customWidth="1"/>
    <col min="9988" max="9988" width="4.875" style="3036" customWidth="1"/>
    <col min="9989" max="9990" width="0" style="3036" hidden="1" customWidth="1"/>
    <col min="9991" max="9991" width="8.875" style="3036" customWidth="1"/>
    <col min="9992" max="9992" width="7.625" style="3036" customWidth="1"/>
    <col min="9993" max="9993" width="12.125" style="3036" customWidth="1"/>
    <col min="9994" max="9994" width="13.375" style="3036" customWidth="1"/>
    <col min="9995" max="10025" width="9" style="3036" customWidth="1"/>
    <col min="10026" max="10027" width="8.875" style="3036"/>
    <col min="10028" max="10028" width="0" style="3036" hidden="1" customWidth="1"/>
    <col min="10029" max="10240" width="8.875" style="3036"/>
    <col min="10241" max="10241" width="8.125" style="3036" customWidth="1"/>
    <col min="10242" max="10242" width="25.5" style="3036" customWidth="1"/>
    <col min="10243" max="10243" width="12.875" style="3036" customWidth="1"/>
    <col min="10244" max="10244" width="4.875" style="3036" customWidth="1"/>
    <col min="10245" max="10246" width="0" style="3036" hidden="1" customWidth="1"/>
    <col min="10247" max="10247" width="8.875" style="3036" customWidth="1"/>
    <col min="10248" max="10248" width="7.625" style="3036" customWidth="1"/>
    <col min="10249" max="10249" width="12.125" style="3036" customWidth="1"/>
    <col min="10250" max="10250" width="13.375" style="3036" customWidth="1"/>
    <col min="10251" max="10281" width="9" style="3036" customWidth="1"/>
    <col min="10282" max="10283" width="8.875" style="3036"/>
    <col min="10284" max="10284" width="0" style="3036" hidden="1" customWidth="1"/>
    <col min="10285" max="10496" width="8.875" style="3036"/>
    <col min="10497" max="10497" width="8.125" style="3036" customWidth="1"/>
    <col min="10498" max="10498" width="25.5" style="3036" customWidth="1"/>
    <col min="10499" max="10499" width="12.875" style="3036" customWidth="1"/>
    <col min="10500" max="10500" width="4.875" style="3036" customWidth="1"/>
    <col min="10501" max="10502" width="0" style="3036" hidden="1" customWidth="1"/>
    <col min="10503" max="10503" width="8.875" style="3036" customWidth="1"/>
    <col min="10504" max="10504" width="7.625" style="3036" customWidth="1"/>
    <col min="10505" max="10505" width="12.125" style="3036" customWidth="1"/>
    <col min="10506" max="10506" width="13.375" style="3036" customWidth="1"/>
    <col min="10507" max="10537" width="9" style="3036" customWidth="1"/>
    <col min="10538" max="10539" width="8.875" style="3036"/>
    <col min="10540" max="10540" width="0" style="3036" hidden="1" customWidth="1"/>
    <col min="10541" max="10752" width="8.875" style="3036"/>
    <col min="10753" max="10753" width="8.125" style="3036" customWidth="1"/>
    <col min="10754" max="10754" width="25.5" style="3036" customWidth="1"/>
    <col min="10755" max="10755" width="12.875" style="3036" customWidth="1"/>
    <col min="10756" max="10756" width="4.875" style="3036" customWidth="1"/>
    <col min="10757" max="10758" width="0" style="3036" hidden="1" customWidth="1"/>
    <col min="10759" max="10759" width="8.875" style="3036" customWidth="1"/>
    <col min="10760" max="10760" width="7.625" style="3036" customWidth="1"/>
    <col min="10761" max="10761" width="12.125" style="3036" customWidth="1"/>
    <col min="10762" max="10762" width="13.375" style="3036" customWidth="1"/>
    <col min="10763" max="10793" width="9" style="3036" customWidth="1"/>
    <col min="10794" max="10795" width="8.875" style="3036"/>
    <col min="10796" max="10796" width="0" style="3036" hidden="1" customWidth="1"/>
    <col min="10797" max="11008" width="8.875" style="3036"/>
    <col min="11009" max="11009" width="8.125" style="3036" customWidth="1"/>
    <col min="11010" max="11010" width="25.5" style="3036" customWidth="1"/>
    <col min="11011" max="11011" width="12.875" style="3036" customWidth="1"/>
    <col min="11012" max="11012" width="4.875" style="3036" customWidth="1"/>
    <col min="11013" max="11014" width="0" style="3036" hidden="1" customWidth="1"/>
    <col min="11015" max="11015" width="8.875" style="3036" customWidth="1"/>
    <col min="11016" max="11016" width="7.625" style="3036" customWidth="1"/>
    <col min="11017" max="11017" width="12.125" style="3036" customWidth="1"/>
    <col min="11018" max="11018" width="13.375" style="3036" customWidth="1"/>
    <col min="11019" max="11049" width="9" style="3036" customWidth="1"/>
    <col min="11050" max="11051" width="8.875" style="3036"/>
    <col min="11052" max="11052" width="0" style="3036" hidden="1" customWidth="1"/>
    <col min="11053" max="11264" width="8.875" style="3036"/>
    <col min="11265" max="11265" width="8.125" style="3036" customWidth="1"/>
    <col min="11266" max="11266" width="25.5" style="3036" customWidth="1"/>
    <col min="11267" max="11267" width="12.875" style="3036" customWidth="1"/>
    <col min="11268" max="11268" width="4.875" style="3036" customWidth="1"/>
    <col min="11269" max="11270" width="0" style="3036" hidden="1" customWidth="1"/>
    <col min="11271" max="11271" width="8.875" style="3036" customWidth="1"/>
    <col min="11272" max="11272" width="7.625" style="3036" customWidth="1"/>
    <col min="11273" max="11273" width="12.125" style="3036" customWidth="1"/>
    <col min="11274" max="11274" width="13.375" style="3036" customWidth="1"/>
    <col min="11275" max="11305" width="9" style="3036" customWidth="1"/>
    <col min="11306" max="11307" width="8.875" style="3036"/>
    <col min="11308" max="11308" width="0" style="3036" hidden="1" customWidth="1"/>
    <col min="11309" max="11520" width="8.875" style="3036"/>
    <col min="11521" max="11521" width="8.125" style="3036" customWidth="1"/>
    <col min="11522" max="11522" width="25.5" style="3036" customWidth="1"/>
    <col min="11523" max="11523" width="12.875" style="3036" customWidth="1"/>
    <col min="11524" max="11524" width="4.875" style="3036" customWidth="1"/>
    <col min="11525" max="11526" width="0" style="3036" hidden="1" customWidth="1"/>
    <col min="11527" max="11527" width="8.875" style="3036" customWidth="1"/>
    <col min="11528" max="11528" width="7.625" style="3036" customWidth="1"/>
    <col min="11529" max="11529" width="12.125" style="3036" customWidth="1"/>
    <col min="11530" max="11530" width="13.375" style="3036" customWidth="1"/>
    <col min="11531" max="11561" width="9" style="3036" customWidth="1"/>
    <col min="11562" max="11563" width="8.875" style="3036"/>
    <col min="11564" max="11564" width="0" style="3036" hidden="1" customWidth="1"/>
    <col min="11565" max="11776" width="8.875" style="3036"/>
    <col min="11777" max="11777" width="8.125" style="3036" customWidth="1"/>
    <col min="11778" max="11778" width="25.5" style="3036" customWidth="1"/>
    <col min="11779" max="11779" width="12.875" style="3036" customWidth="1"/>
    <col min="11780" max="11780" width="4.875" style="3036" customWidth="1"/>
    <col min="11781" max="11782" width="0" style="3036" hidden="1" customWidth="1"/>
    <col min="11783" max="11783" width="8.875" style="3036" customWidth="1"/>
    <col min="11784" max="11784" width="7.625" style="3036" customWidth="1"/>
    <col min="11785" max="11785" width="12.125" style="3036" customWidth="1"/>
    <col min="11786" max="11786" width="13.375" style="3036" customWidth="1"/>
    <col min="11787" max="11817" width="9" style="3036" customWidth="1"/>
    <col min="11818" max="11819" width="8.875" style="3036"/>
    <col min="11820" max="11820" width="0" style="3036" hidden="1" customWidth="1"/>
    <col min="11821" max="12032" width="8.875" style="3036"/>
    <col min="12033" max="12033" width="8.125" style="3036" customWidth="1"/>
    <col min="12034" max="12034" width="25.5" style="3036" customWidth="1"/>
    <col min="12035" max="12035" width="12.875" style="3036" customWidth="1"/>
    <col min="12036" max="12036" width="4.875" style="3036" customWidth="1"/>
    <col min="12037" max="12038" width="0" style="3036" hidden="1" customWidth="1"/>
    <col min="12039" max="12039" width="8.875" style="3036" customWidth="1"/>
    <col min="12040" max="12040" width="7.625" style="3036" customWidth="1"/>
    <col min="12041" max="12041" width="12.125" style="3036" customWidth="1"/>
    <col min="12042" max="12042" width="13.375" style="3036" customWidth="1"/>
    <col min="12043" max="12073" width="9" style="3036" customWidth="1"/>
    <col min="12074" max="12075" width="8.875" style="3036"/>
    <col min="12076" max="12076" width="0" style="3036" hidden="1" customWidth="1"/>
    <col min="12077" max="12288" width="8.875" style="3036"/>
    <col min="12289" max="12289" width="8.125" style="3036" customWidth="1"/>
    <col min="12290" max="12290" width="25.5" style="3036" customWidth="1"/>
    <col min="12291" max="12291" width="12.875" style="3036" customWidth="1"/>
    <col min="12292" max="12292" width="4.875" style="3036" customWidth="1"/>
    <col min="12293" max="12294" width="0" style="3036" hidden="1" customWidth="1"/>
    <col min="12295" max="12295" width="8.875" style="3036" customWidth="1"/>
    <col min="12296" max="12296" width="7.625" style="3036" customWidth="1"/>
    <col min="12297" max="12297" width="12.125" style="3036" customWidth="1"/>
    <col min="12298" max="12298" width="13.375" style="3036" customWidth="1"/>
    <col min="12299" max="12329" width="9" style="3036" customWidth="1"/>
    <col min="12330" max="12331" width="8.875" style="3036"/>
    <col min="12332" max="12332" width="0" style="3036" hidden="1" customWidth="1"/>
    <col min="12333" max="12544" width="8.875" style="3036"/>
    <col min="12545" max="12545" width="8.125" style="3036" customWidth="1"/>
    <col min="12546" max="12546" width="25.5" style="3036" customWidth="1"/>
    <col min="12547" max="12547" width="12.875" style="3036" customWidth="1"/>
    <col min="12548" max="12548" width="4.875" style="3036" customWidth="1"/>
    <col min="12549" max="12550" width="0" style="3036" hidden="1" customWidth="1"/>
    <col min="12551" max="12551" width="8.875" style="3036" customWidth="1"/>
    <col min="12552" max="12552" width="7.625" style="3036" customWidth="1"/>
    <col min="12553" max="12553" width="12.125" style="3036" customWidth="1"/>
    <col min="12554" max="12554" width="13.375" style="3036" customWidth="1"/>
    <col min="12555" max="12585" width="9" style="3036" customWidth="1"/>
    <col min="12586" max="12587" width="8.875" style="3036"/>
    <col min="12588" max="12588" width="0" style="3036" hidden="1" customWidth="1"/>
    <col min="12589" max="12800" width="8.875" style="3036"/>
    <col min="12801" max="12801" width="8.125" style="3036" customWidth="1"/>
    <col min="12802" max="12802" width="25.5" style="3036" customWidth="1"/>
    <col min="12803" max="12803" width="12.875" style="3036" customWidth="1"/>
    <col min="12804" max="12804" width="4.875" style="3036" customWidth="1"/>
    <col min="12805" max="12806" width="0" style="3036" hidden="1" customWidth="1"/>
    <col min="12807" max="12807" width="8.875" style="3036" customWidth="1"/>
    <col min="12808" max="12808" width="7.625" style="3036" customWidth="1"/>
    <col min="12809" max="12809" width="12.125" style="3036" customWidth="1"/>
    <col min="12810" max="12810" width="13.375" style="3036" customWidth="1"/>
    <col min="12811" max="12841" width="9" style="3036" customWidth="1"/>
    <col min="12842" max="12843" width="8.875" style="3036"/>
    <col min="12844" max="12844" width="0" style="3036" hidden="1" customWidth="1"/>
    <col min="12845" max="13056" width="8.875" style="3036"/>
    <col min="13057" max="13057" width="8.125" style="3036" customWidth="1"/>
    <col min="13058" max="13058" width="25.5" style="3036" customWidth="1"/>
    <col min="13059" max="13059" width="12.875" style="3036" customWidth="1"/>
    <col min="13060" max="13060" width="4.875" style="3036" customWidth="1"/>
    <col min="13061" max="13062" width="0" style="3036" hidden="1" customWidth="1"/>
    <col min="13063" max="13063" width="8.875" style="3036" customWidth="1"/>
    <col min="13064" max="13064" width="7.625" style="3036" customWidth="1"/>
    <col min="13065" max="13065" width="12.125" style="3036" customWidth="1"/>
    <col min="13066" max="13066" width="13.375" style="3036" customWidth="1"/>
    <col min="13067" max="13097" width="9" style="3036" customWidth="1"/>
    <col min="13098" max="13099" width="8.875" style="3036"/>
    <col min="13100" max="13100" width="0" style="3036" hidden="1" customWidth="1"/>
    <col min="13101" max="13312" width="8.875" style="3036"/>
    <col min="13313" max="13313" width="8.125" style="3036" customWidth="1"/>
    <col min="13314" max="13314" width="25.5" style="3036" customWidth="1"/>
    <col min="13315" max="13315" width="12.875" style="3036" customWidth="1"/>
    <col min="13316" max="13316" width="4.875" style="3036" customWidth="1"/>
    <col min="13317" max="13318" width="0" style="3036" hidden="1" customWidth="1"/>
    <col min="13319" max="13319" width="8.875" style="3036" customWidth="1"/>
    <col min="13320" max="13320" width="7.625" style="3036" customWidth="1"/>
    <col min="13321" max="13321" width="12.125" style="3036" customWidth="1"/>
    <col min="13322" max="13322" width="13.375" style="3036" customWidth="1"/>
    <col min="13323" max="13353" width="9" style="3036" customWidth="1"/>
    <col min="13354" max="13355" width="8.875" style="3036"/>
    <col min="13356" max="13356" width="0" style="3036" hidden="1" customWidth="1"/>
    <col min="13357" max="13568" width="8.875" style="3036"/>
    <col min="13569" max="13569" width="8.125" style="3036" customWidth="1"/>
    <col min="13570" max="13570" width="25.5" style="3036" customWidth="1"/>
    <col min="13571" max="13571" width="12.875" style="3036" customWidth="1"/>
    <col min="13572" max="13572" width="4.875" style="3036" customWidth="1"/>
    <col min="13573" max="13574" width="0" style="3036" hidden="1" customWidth="1"/>
    <col min="13575" max="13575" width="8.875" style="3036" customWidth="1"/>
    <col min="13576" max="13576" width="7.625" style="3036" customWidth="1"/>
    <col min="13577" max="13577" width="12.125" style="3036" customWidth="1"/>
    <col min="13578" max="13578" width="13.375" style="3036" customWidth="1"/>
    <col min="13579" max="13609" width="9" style="3036" customWidth="1"/>
    <col min="13610" max="13611" width="8.875" style="3036"/>
    <col min="13612" max="13612" width="0" style="3036" hidden="1" customWidth="1"/>
    <col min="13613" max="13824" width="8.875" style="3036"/>
    <col min="13825" max="13825" width="8.125" style="3036" customWidth="1"/>
    <col min="13826" max="13826" width="25.5" style="3036" customWidth="1"/>
    <col min="13827" max="13827" width="12.875" style="3036" customWidth="1"/>
    <col min="13828" max="13828" width="4.875" style="3036" customWidth="1"/>
    <col min="13829" max="13830" width="0" style="3036" hidden="1" customWidth="1"/>
    <col min="13831" max="13831" width="8.875" style="3036" customWidth="1"/>
    <col min="13832" max="13832" width="7.625" style="3036" customWidth="1"/>
    <col min="13833" max="13833" width="12.125" style="3036" customWidth="1"/>
    <col min="13834" max="13834" width="13.375" style="3036" customWidth="1"/>
    <col min="13835" max="13865" width="9" style="3036" customWidth="1"/>
    <col min="13866" max="13867" width="8.875" style="3036"/>
    <col min="13868" max="13868" width="0" style="3036" hidden="1" customWidth="1"/>
    <col min="13869" max="14080" width="8.875" style="3036"/>
    <col min="14081" max="14081" width="8.125" style="3036" customWidth="1"/>
    <col min="14082" max="14082" width="25.5" style="3036" customWidth="1"/>
    <col min="14083" max="14083" width="12.875" style="3036" customWidth="1"/>
    <col min="14084" max="14084" width="4.875" style="3036" customWidth="1"/>
    <col min="14085" max="14086" width="0" style="3036" hidden="1" customWidth="1"/>
    <col min="14087" max="14087" width="8.875" style="3036" customWidth="1"/>
    <col min="14088" max="14088" width="7.625" style="3036" customWidth="1"/>
    <col min="14089" max="14089" width="12.125" style="3036" customWidth="1"/>
    <col min="14090" max="14090" width="13.375" style="3036" customWidth="1"/>
    <col min="14091" max="14121" width="9" style="3036" customWidth="1"/>
    <col min="14122" max="14123" width="8.875" style="3036"/>
    <col min="14124" max="14124" width="0" style="3036" hidden="1" customWidth="1"/>
    <col min="14125" max="14336" width="8.875" style="3036"/>
    <col min="14337" max="14337" width="8.125" style="3036" customWidth="1"/>
    <col min="14338" max="14338" width="25.5" style="3036" customWidth="1"/>
    <col min="14339" max="14339" width="12.875" style="3036" customWidth="1"/>
    <col min="14340" max="14340" width="4.875" style="3036" customWidth="1"/>
    <col min="14341" max="14342" width="0" style="3036" hidden="1" customWidth="1"/>
    <col min="14343" max="14343" width="8.875" style="3036" customWidth="1"/>
    <col min="14344" max="14344" width="7.625" style="3036" customWidth="1"/>
    <col min="14345" max="14345" width="12.125" style="3036" customWidth="1"/>
    <col min="14346" max="14346" width="13.375" style="3036" customWidth="1"/>
    <col min="14347" max="14377" width="9" style="3036" customWidth="1"/>
    <col min="14378" max="14379" width="8.875" style="3036"/>
    <col min="14380" max="14380" width="0" style="3036" hidden="1" customWidth="1"/>
    <col min="14381" max="14592" width="8.875" style="3036"/>
    <col min="14593" max="14593" width="8.125" style="3036" customWidth="1"/>
    <col min="14594" max="14594" width="25.5" style="3036" customWidth="1"/>
    <col min="14595" max="14595" width="12.875" style="3036" customWidth="1"/>
    <col min="14596" max="14596" width="4.875" style="3036" customWidth="1"/>
    <col min="14597" max="14598" width="0" style="3036" hidden="1" customWidth="1"/>
    <col min="14599" max="14599" width="8.875" style="3036" customWidth="1"/>
    <col min="14600" max="14600" width="7.625" style="3036" customWidth="1"/>
    <col min="14601" max="14601" width="12.125" style="3036" customWidth="1"/>
    <col min="14602" max="14602" width="13.375" style="3036" customWidth="1"/>
    <col min="14603" max="14633" width="9" style="3036" customWidth="1"/>
    <col min="14634" max="14635" width="8.875" style="3036"/>
    <col min="14636" max="14636" width="0" style="3036" hidden="1" customWidth="1"/>
    <col min="14637" max="14848" width="8.875" style="3036"/>
    <col min="14849" max="14849" width="8.125" style="3036" customWidth="1"/>
    <col min="14850" max="14850" width="25.5" style="3036" customWidth="1"/>
    <col min="14851" max="14851" width="12.875" style="3036" customWidth="1"/>
    <col min="14852" max="14852" width="4.875" style="3036" customWidth="1"/>
    <col min="14853" max="14854" width="0" style="3036" hidden="1" customWidth="1"/>
    <col min="14855" max="14855" width="8.875" style="3036" customWidth="1"/>
    <col min="14856" max="14856" width="7.625" style="3036" customWidth="1"/>
    <col min="14857" max="14857" width="12.125" style="3036" customWidth="1"/>
    <col min="14858" max="14858" width="13.375" style="3036" customWidth="1"/>
    <col min="14859" max="14889" width="9" style="3036" customWidth="1"/>
    <col min="14890" max="14891" width="8.875" style="3036"/>
    <col min="14892" max="14892" width="0" style="3036" hidden="1" customWidth="1"/>
    <col min="14893" max="15104" width="8.875" style="3036"/>
    <col min="15105" max="15105" width="8.125" style="3036" customWidth="1"/>
    <col min="15106" max="15106" width="25.5" style="3036" customWidth="1"/>
    <col min="15107" max="15107" width="12.875" style="3036" customWidth="1"/>
    <col min="15108" max="15108" width="4.875" style="3036" customWidth="1"/>
    <col min="15109" max="15110" width="0" style="3036" hidden="1" customWidth="1"/>
    <col min="15111" max="15111" width="8.875" style="3036" customWidth="1"/>
    <col min="15112" max="15112" width="7.625" style="3036" customWidth="1"/>
    <col min="15113" max="15113" width="12.125" style="3036" customWidth="1"/>
    <col min="15114" max="15114" width="13.375" style="3036" customWidth="1"/>
    <col min="15115" max="15145" width="9" style="3036" customWidth="1"/>
    <col min="15146" max="15147" width="8.875" style="3036"/>
    <col min="15148" max="15148" width="0" style="3036" hidden="1" customWidth="1"/>
    <col min="15149" max="15360" width="8.875" style="3036"/>
    <col min="15361" max="15361" width="8.125" style="3036" customWidth="1"/>
    <col min="15362" max="15362" width="25.5" style="3036" customWidth="1"/>
    <col min="15363" max="15363" width="12.875" style="3036" customWidth="1"/>
    <col min="15364" max="15364" width="4.875" style="3036" customWidth="1"/>
    <col min="15365" max="15366" width="0" style="3036" hidden="1" customWidth="1"/>
    <col min="15367" max="15367" width="8.875" style="3036" customWidth="1"/>
    <col min="15368" max="15368" width="7.625" style="3036" customWidth="1"/>
    <col min="15369" max="15369" width="12.125" style="3036" customWidth="1"/>
    <col min="15370" max="15370" width="13.375" style="3036" customWidth="1"/>
    <col min="15371" max="15401" width="9" style="3036" customWidth="1"/>
    <col min="15402" max="15403" width="8.875" style="3036"/>
    <col min="15404" max="15404" width="0" style="3036" hidden="1" customWidth="1"/>
    <col min="15405" max="15616" width="8.875" style="3036"/>
    <col min="15617" max="15617" width="8.125" style="3036" customWidth="1"/>
    <col min="15618" max="15618" width="25.5" style="3036" customWidth="1"/>
    <col min="15619" max="15619" width="12.875" style="3036" customWidth="1"/>
    <col min="15620" max="15620" width="4.875" style="3036" customWidth="1"/>
    <col min="15621" max="15622" width="0" style="3036" hidden="1" customWidth="1"/>
    <col min="15623" max="15623" width="8.875" style="3036" customWidth="1"/>
    <col min="15624" max="15624" width="7.625" style="3036" customWidth="1"/>
    <col min="15625" max="15625" width="12.125" style="3036" customWidth="1"/>
    <col min="15626" max="15626" width="13.375" style="3036" customWidth="1"/>
    <col min="15627" max="15657" width="9" style="3036" customWidth="1"/>
    <col min="15658" max="15659" width="8.875" style="3036"/>
    <col min="15660" max="15660" width="0" style="3036" hidden="1" customWidth="1"/>
    <col min="15661" max="15872" width="8.875" style="3036"/>
    <col min="15873" max="15873" width="8.125" style="3036" customWidth="1"/>
    <col min="15874" max="15874" width="25.5" style="3036" customWidth="1"/>
    <col min="15875" max="15875" width="12.875" style="3036" customWidth="1"/>
    <col min="15876" max="15876" width="4.875" style="3036" customWidth="1"/>
    <col min="15877" max="15878" width="0" style="3036" hidden="1" customWidth="1"/>
    <col min="15879" max="15879" width="8.875" style="3036" customWidth="1"/>
    <col min="15880" max="15880" width="7.625" style="3036" customWidth="1"/>
    <col min="15881" max="15881" width="12.125" style="3036" customWidth="1"/>
    <col min="15882" max="15882" width="13.375" style="3036" customWidth="1"/>
    <col min="15883" max="15913" width="9" style="3036" customWidth="1"/>
    <col min="15914" max="15915" width="8.875" style="3036"/>
    <col min="15916" max="15916" width="0" style="3036" hidden="1" customWidth="1"/>
    <col min="15917" max="16128" width="8.875" style="3036"/>
    <col min="16129" max="16129" width="8.125" style="3036" customWidth="1"/>
    <col min="16130" max="16130" width="25.5" style="3036" customWidth="1"/>
    <col min="16131" max="16131" width="12.875" style="3036" customWidth="1"/>
    <col min="16132" max="16132" width="4.875" style="3036" customWidth="1"/>
    <col min="16133" max="16134" width="0" style="3036" hidden="1" customWidth="1"/>
    <col min="16135" max="16135" width="8.875" style="3036" customWidth="1"/>
    <col min="16136" max="16136" width="7.625" style="3036" customWidth="1"/>
    <col min="16137" max="16137" width="12.125" style="3036" customWidth="1"/>
    <col min="16138" max="16138" width="13.375" style="3036" customWidth="1"/>
    <col min="16139" max="16169" width="9" style="3036" customWidth="1"/>
    <col min="16170" max="16171" width="8.875" style="3036"/>
    <col min="16172" max="16172" width="0" style="3036" hidden="1" customWidth="1"/>
    <col min="16173" max="16384" width="8.875" style="3036"/>
  </cols>
  <sheetData>
    <row r="1" spans="1:10" ht="27" customHeight="1">
      <c r="A1" s="3032" t="s">
        <v>4475</v>
      </c>
      <c r="B1" s="3033"/>
      <c r="C1" s="3033"/>
      <c r="D1" s="3033"/>
      <c r="E1" s="3033"/>
    </row>
    <row r="2" spans="1:10" ht="20.25" customHeight="1">
      <c r="A2" s="3037" t="s">
        <v>4276</v>
      </c>
      <c r="B2" s="3038"/>
      <c r="C2" s="3039"/>
      <c r="D2" s="3039"/>
      <c r="E2" s="3039"/>
    </row>
    <row r="3" spans="1:10" s="3043" customFormat="1" ht="43.5" customHeight="1">
      <c r="A3" s="3040" t="s">
        <v>4277</v>
      </c>
      <c r="B3" s="3041" t="s">
        <v>4278</v>
      </c>
      <c r="C3" s="3040" t="s">
        <v>4279</v>
      </c>
      <c r="D3" s="3040" t="s">
        <v>4280</v>
      </c>
      <c r="E3" s="3042" t="s">
        <v>4281</v>
      </c>
      <c r="F3" s="3042" t="s">
        <v>4282</v>
      </c>
      <c r="G3" s="3042" t="s">
        <v>4283</v>
      </c>
      <c r="H3" s="3042" t="s">
        <v>4284</v>
      </c>
      <c r="I3" s="3143" t="s">
        <v>4476</v>
      </c>
      <c r="J3" s="3144" t="s">
        <v>4477</v>
      </c>
    </row>
    <row r="4" spans="1:10" s="3049" customFormat="1" ht="29.25" customHeight="1" collapsed="1">
      <c r="A4" s="3044" t="s">
        <v>4285</v>
      </c>
      <c r="B4" s="3045" t="s">
        <v>4286</v>
      </c>
      <c r="C4" s="3046"/>
      <c r="D4" s="3046"/>
      <c r="E4" s="3046"/>
      <c r="F4" s="3047"/>
      <c r="G4" s="3048"/>
      <c r="H4" s="3048"/>
      <c r="I4" s="3048">
        <f>SUM(I5:I12)</f>
        <v>140797.590345</v>
      </c>
      <c r="J4" s="3048">
        <f>SUM(J5:J12)</f>
        <v>125426.89569899999</v>
      </c>
    </row>
    <row r="5" spans="1:10" s="3055" customFormat="1" ht="26.25" hidden="1" customHeight="1" outlineLevel="1">
      <c r="A5" s="3050">
        <v>101</v>
      </c>
      <c r="B5" s="3051" t="s">
        <v>4287</v>
      </c>
      <c r="C5" s="3052" t="s">
        <v>4288</v>
      </c>
      <c r="D5" s="3052" t="s">
        <v>4289</v>
      </c>
      <c r="E5" s="3052"/>
      <c r="F5" s="3053"/>
      <c r="G5" s="3054">
        <v>136000</v>
      </c>
      <c r="H5" s="3054"/>
      <c r="I5" s="3054">
        <f>G5</f>
        <v>136000</v>
      </c>
      <c r="J5" s="3054">
        <f>1355070086.99/10000+400</f>
        <v>135907.008699</v>
      </c>
    </row>
    <row r="6" spans="1:10" s="3055" customFormat="1" ht="51" hidden="1" customHeight="1" outlineLevel="1">
      <c r="A6" s="3050">
        <v>102</v>
      </c>
      <c r="B6" s="3051" t="s">
        <v>4290</v>
      </c>
      <c r="C6" s="3052" t="s">
        <v>4288</v>
      </c>
      <c r="D6" s="3052" t="s">
        <v>4289</v>
      </c>
      <c r="E6" s="3052"/>
      <c r="F6" s="3053"/>
      <c r="G6" s="3054">
        <v>2728.29</v>
      </c>
      <c r="H6" s="3054"/>
      <c r="I6" s="3054">
        <f>G6</f>
        <v>2728.29</v>
      </c>
      <c r="J6" s="3054">
        <v>0</v>
      </c>
    </row>
    <row r="7" spans="1:10" s="3055" customFormat="1" ht="41.45" hidden="1" customHeight="1" outlineLevel="1">
      <c r="A7" s="3050">
        <v>103</v>
      </c>
      <c r="B7" s="3051" t="s">
        <v>4291</v>
      </c>
      <c r="C7" s="3052" t="s">
        <v>4288</v>
      </c>
      <c r="D7" s="3052" t="s">
        <v>4289</v>
      </c>
      <c r="E7" s="3052"/>
      <c r="F7" s="3053"/>
      <c r="G7" s="3054">
        <v>12295</v>
      </c>
      <c r="H7" s="3054"/>
      <c r="I7" s="3054">
        <f>G7</f>
        <v>12295</v>
      </c>
      <c r="J7" s="3054">
        <f>5820+6475</f>
        <v>12295</v>
      </c>
    </row>
    <row r="8" spans="1:10" s="3055" customFormat="1" ht="28.35" hidden="1" customHeight="1" outlineLevel="1">
      <c r="A8" s="3050">
        <v>104</v>
      </c>
      <c r="B8" s="3056" t="s">
        <v>4292</v>
      </c>
      <c r="C8" s="3052" t="s">
        <v>4288</v>
      </c>
      <c r="D8" s="3052" t="s">
        <v>4289</v>
      </c>
      <c r="E8" s="3052"/>
      <c r="F8" s="3053"/>
      <c r="G8" s="3054">
        <v>4395.09</v>
      </c>
      <c r="H8" s="3054"/>
      <c r="I8" s="3054">
        <f>G8</f>
        <v>4395.09</v>
      </c>
      <c r="J8" s="3054">
        <v>4395.09</v>
      </c>
    </row>
    <row r="9" spans="1:10" s="3055" customFormat="1" ht="28.35" hidden="1" customHeight="1" outlineLevel="1">
      <c r="A9" s="3050">
        <v>105</v>
      </c>
      <c r="B9" s="3056" t="s">
        <v>4293</v>
      </c>
      <c r="C9" s="3052" t="s">
        <v>4288</v>
      </c>
      <c r="D9" s="3052" t="s">
        <v>4289</v>
      </c>
      <c r="E9" s="3052"/>
      <c r="F9" s="3057"/>
      <c r="G9" s="3054">
        <v>15023.29</v>
      </c>
      <c r="H9" s="3058">
        <v>0.03</v>
      </c>
      <c r="I9" s="3054">
        <f>G9*H9</f>
        <v>450.69870000000003</v>
      </c>
      <c r="J9" s="3054">
        <v>368.65</v>
      </c>
    </row>
    <row r="10" spans="1:10" s="3055" customFormat="1" ht="33.75" hidden="1" customHeight="1" outlineLevel="1">
      <c r="A10" s="3050">
        <v>106</v>
      </c>
      <c r="B10" s="3056" t="s">
        <v>4294</v>
      </c>
      <c r="C10" s="3052" t="s">
        <v>4288</v>
      </c>
      <c r="D10" s="3052" t="s">
        <v>4289</v>
      </c>
      <c r="E10" s="3052"/>
      <c r="F10" s="3057"/>
      <c r="G10" s="3054">
        <v>15023.29</v>
      </c>
      <c r="H10" s="3059">
        <v>5.0000000000000001E-4</v>
      </c>
      <c r="I10" s="3054">
        <f>G10*H10</f>
        <v>7.5116450000000006</v>
      </c>
      <c r="J10" s="3054">
        <v>6.1470000000000002</v>
      </c>
    </row>
    <row r="11" spans="1:10" s="3055" customFormat="1" ht="42" hidden="1" customHeight="1" outlineLevel="1">
      <c r="A11" s="3050">
        <v>107</v>
      </c>
      <c r="B11" s="3051" t="s">
        <v>4295</v>
      </c>
      <c r="C11" s="3052" t="s">
        <v>4288</v>
      </c>
      <c r="D11" s="3052" t="s">
        <v>4289</v>
      </c>
      <c r="E11" s="3052"/>
      <c r="G11" s="3054">
        <v>-27545</v>
      </c>
      <c r="H11" s="3054"/>
      <c r="I11" s="3054">
        <f>G11</f>
        <v>-27545</v>
      </c>
      <c r="J11" s="3054">
        <f>-27545</f>
        <v>-27545</v>
      </c>
    </row>
    <row r="12" spans="1:10" s="3055" customFormat="1" ht="40.5" hidden="1" customHeight="1" outlineLevel="1">
      <c r="A12" s="3050">
        <v>108</v>
      </c>
      <c r="B12" s="3051" t="s">
        <v>4296</v>
      </c>
      <c r="C12" s="3052" t="s">
        <v>4288</v>
      </c>
      <c r="D12" s="3052" t="s">
        <v>4289</v>
      </c>
      <c r="E12" s="3052"/>
      <c r="F12" s="3057"/>
      <c r="G12" s="3054">
        <v>12466</v>
      </c>
      <c r="H12" s="3054"/>
      <c r="I12" s="3054">
        <f>G12</f>
        <v>12466</v>
      </c>
      <c r="J12" s="3054">
        <v>0</v>
      </c>
    </row>
    <row r="13" spans="1:10" s="3049" customFormat="1" ht="28.35" customHeight="1" collapsed="1">
      <c r="A13" s="3044" t="s">
        <v>4297</v>
      </c>
      <c r="B13" s="3045" t="s">
        <v>4298</v>
      </c>
      <c r="C13" s="3046"/>
      <c r="D13" s="3046"/>
      <c r="E13" s="3046"/>
      <c r="F13" s="3047"/>
      <c r="G13" s="3048"/>
      <c r="H13" s="3048"/>
      <c r="I13" s="3048">
        <f>I14+I37+I92+I95+I106</f>
        <v>32353.632453234735</v>
      </c>
      <c r="J13" s="3048">
        <f>J14+J37+J92+J95+J106</f>
        <v>25932.456051999998</v>
      </c>
    </row>
    <row r="14" spans="1:10" s="3049" customFormat="1" ht="30" hidden="1" customHeight="1" outlineLevel="1">
      <c r="A14" s="3060">
        <v>201</v>
      </c>
      <c r="B14" s="3061" t="s">
        <v>4299</v>
      </c>
      <c r="C14" s="3062" t="s">
        <v>4300</v>
      </c>
      <c r="D14" s="3062" t="s">
        <v>4301</v>
      </c>
      <c r="E14" s="3062"/>
      <c r="F14" s="3063"/>
      <c r="G14" s="3064"/>
      <c r="H14" s="3064"/>
      <c r="I14" s="3064">
        <f>SUM(I15:I36)</f>
        <v>10193.368712599999</v>
      </c>
      <c r="J14" s="3064">
        <v>7541.3400019999999</v>
      </c>
    </row>
    <row r="15" spans="1:10" s="3049" customFormat="1" ht="24.75" hidden="1" customHeight="1" outlineLevel="2">
      <c r="A15" s="3065">
        <v>20101</v>
      </c>
      <c r="B15" s="3066" t="s">
        <v>4302</v>
      </c>
      <c r="C15" s="3067" t="s">
        <v>4281</v>
      </c>
      <c r="D15" s="3067" t="s">
        <v>4301</v>
      </c>
      <c r="E15" s="3067"/>
      <c r="F15" s="3068"/>
      <c r="G15" s="3069">
        <v>378153.43</v>
      </c>
      <c r="H15" s="3069">
        <v>290</v>
      </c>
      <c r="I15" s="3069">
        <f>G15*290/10000</f>
        <v>10966.44947</v>
      </c>
      <c r="J15" s="3069"/>
    </row>
    <row r="16" spans="1:10" s="3049" customFormat="1" ht="22.5" hidden="1" customHeight="1" outlineLevel="2">
      <c r="A16" s="3065" t="s">
        <v>4303</v>
      </c>
      <c r="B16" s="3066" t="s">
        <v>4304</v>
      </c>
      <c r="C16" s="3052" t="s">
        <v>4288</v>
      </c>
      <c r="D16" s="3052" t="s">
        <v>4289</v>
      </c>
      <c r="E16" s="3052"/>
      <c r="F16" s="3068"/>
      <c r="G16" s="3069">
        <v>-3234.92</v>
      </c>
      <c r="H16" s="3069"/>
      <c r="I16" s="3054">
        <f>G16</f>
        <v>-3234.92</v>
      </c>
      <c r="J16" s="3069"/>
    </row>
    <row r="17" spans="1:10" s="3049" customFormat="1" ht="17.25" hidden="1" customHeight="1" outlineLevel="2">
      <c r="A17" s="3065">
        <v>20102</v>
      </c>
      <c r="B17" s="3066" t="s">
        <v>4305</v>
      </c>
      <c r="C17" s="3067" t="s">
        <v>4281</v>
      </c>
      <c r="D17" s="3067" t="s">
        <v>4301</v>
      </c>
      <c r="E17" s="3067"/>
      <c r="F17" s="3068"/>
      <c r="G17" s="3069">
        <v>378153.43</v>
      </c>
      <c r="H17" s="3069"/>
      <c r="I17" s="3069">
        <v>0</v>
      </c>
      <c r="J17" s="3069"/>
    </row>
    <row r="18" spans="1:10" s="3049" customFormat="1" ht="18.75" hidden="1" customHeight="1" outlineLevel="2">
      <c r="A18" s="3065">
        <v>20103</v>
      </c>
      <c r="B18" s="3051" t="s">
        <v>4306</v>
      </c>
      <c r="C18" s="3052" t="s">
        <v>4288</v>
      </c>
      <c r="D18" s="3052" t="s">
        <v>4289</v>
      </c>
      <c r="E18" s="3052"/>
      <c r="F18" s="3057"/>
      <c r="G18" s="3054">
        <v>129</v>
      </c>
      <c r="H18" s="3069"/>
      <c r="I18" s="3054">
        <f>G18</f>
        <v>129</v>
      </c>
      <c r="J18" s="3054"/>
    </row>
    <row r="19" spans="1:10" s="3049" customFormat="1" ht="18.75" hidden="1" customHeight="1" outlineLevel="2">
      <c r="A19" s="3065">
        <v>20104</v>
      </c>
      <c r="B19" s="3051" t="s">
        <v>4307</v>
      </c>
      <c r="C19" s="3052" t="s">
        <v>4288</v>
      </c>
      <c r="D19" s="3052" t="s">
        <v>4289</v>
      </c>
      <c r="E19" s="3067"/>
      <c r="F19" s="3068"/>
      <c r="G19" s="3054">
        <v>75</v>
      </c>
      <c r="H19" s="3069"/>
      <c r="I19" s="3054">
        <f>G19</f>
        <v>75</v>
      </c>
      <c r="J19" s="3054"/>
    </row>
    <row r="20" spans="1:10" s="3049" customFormat="1" ht="18.75" hidden="1" customHeight="1" outlineLevel="2">
      <c r="A20" s="3065">
        <v>20105</v>
      </c>
      <c r="B20" s="3066" t="s">
        <v>4308</v>
      </c>
      <c r="C20" s="3067" t="s">
        <v>4281</v>
      </c>
      <c r="D20" s="3067" t="s">
        <v>4301</v>
      </c>
      <c r="E20" s="3067"/>
      <c r="F20" s="3068"/>
      <c r="G20" s="3069">
        <v>378153.43</v>
      </c>
      <c r="H20" s="3069">
        <v>1</v>
      </c>
      <c r="I20" s="3054">
        <f>G20*H20/10000</f>
        <v>37.815342999999999</v>
      </c>
      <c r="J20" s="3069"/>
    </row>
    <row r="21" spans="1:10" s="3049" customFormat="1" ht="18.75" hidden="1" customHeight="1" outlineLevel="2">
      <c r="A21" s="3065">
        <v>20106</v>
      </c>
      <c r="B21" s="3066" t="s">
        <v>4309</v>
      </c>
      <c r="C21" s="3067" t="s">
        <v>4281</v>
      </c>
      <c r="D21" s="3067" t="s">
        <v>4301</v>
      </c>
      <c r="E21" s="3067"/>
      <c r="F21" s="3068"/>
      <c r="G21" s="3069">
        <v>378153.43</v>
      </c>
      <c r="H21" s="3070">
        <v>0.2</v>
      </c>
      <c r="I21" s="3054">
        <f>G21*H21/10000</f>
        <v>7.5630686000000003</v>
      </c>
      <c r="J21" s="3069"/>
    </row>
    <row r="22" spans="1:10" s="3049" customFormat="1" ht="18.75" hidden="1" customHeight="1" outlineLevel="2">
      <c r="A22" s="3065">
        <v>20107</v>
      </c>
      <c r="B22" s="3066" t="s">
        <v>4310</v>
      </c>
      <c r="C22" s="3067" t="s">
        <v>4281</v>
      </c>
      <c r="D22" s="3067" t="s">
        <v>4301</v>
      </c>
      <c r="E22" s="3067"/>
      <c r="F22" s="3068"/>
      <c r="G22" s="3069">
        <v>378153.43</v>
      </c>
      <c r="H22" s="3070">
        <v>1.5</v>
      </c>
      <c r="I22" s="3054">
        <f>G22*H22/10000</f>
        <v>56.723014500000005</v>
      </c>
      <c r="J22" s="3069"/>
    </row>
    <row r="23" spans="1:10" s="3049" customFormat="1" ht="18.75" hidden="1" customHeight="1" outlineLevel="2">
      <c r="A23" s="3065">
        <v>20108</v>
      </c>
      <c r="B23" s="3066" t="s">
        <v>4311</v>
      </c>
      <c r="C23" s="3067" t="s">
        <v>4281</v>
      </c>
      <c r="D23" s="3067" t="s">
        <v>4301</v>
      </c>
      <c r="E23" s="3067"/>
      <c r="F23" s="3068"/>
      <c r="G23" s="3069">
        <v>378153.43</v>
      </c>
      <c r="H23" s="3070">
        <v>0</v>
      </c>
      <c r="I23" s="3054">
        <f>G23*H23/10000</f>
        <v>0</v>
      </c>
      <c r="J23" s="3069"/>
    </row>
    <row r="24" spans="1:10" s="3049" customFormat="1" ht="18.75" hidden="1" customHeight="1" outlineLevel="2">
      <c r="A24" s="3065">
        <v>20109</v>
      </c>
      <c r="B24" s="3066" t="s">
        <v>4312</v>
      </c>
      <c r="C24" s="3052" t="s">
        <v>4288</v>
      </c>
      <c r="D24" s="3052" t="s">
        <v>4289</v>
      </c>
      <c r="E24" s="3067"/>
      <c r="F24" s="3068"/>
      <c r="G24" s="3069">
        <v>118</v>
      </c>
      <c r="H24" s="3069">
        <v>1</v>
      </c>
      <c r="I24" s="3054">
        <f>G24</f>
        <v>118</v>
      </c>
      <c r="J24" s="3069"/>
    </row>
    <row r="25" spans="1:10" s="3049" customFormat="1" ht="18.75" hidden="1" customHeight="1" outlineLevel="2">
      <c r="A25" s="3065">
        <v>20110</v>
      </c>
      <c r="B25" s="3066" t="s">
        <v>4313</v>
      </c>
      <c r="C25" s="3067" t="s">
        <v>4281</v>
      </c>
      <c r="D25" s="3067" t="s">
        <v>4301</v>
      </c>
      <c r="E25" s="3067"/>
      <c r="F25" s="3068"/>
      <c r="G25" s="3069">
        <v>378153.43</v>
      </c>
      <c r="H25" s="3070">
        <v>2</v>
      </c>
      <c r="I25" s="3054">
        <f>G25*H25/10000</f>
        <v>75.630685999999997</v>
      </c>
      <c r="J25" s="3069"/>
    </row>
    <row r="26" spans="1:10" s="3049" customFormat="1" ht="18.75" hidden="1" customHeight="1" outlineLevel="2">
      <c r="A26" s="3065">
        <v>20111</v>
      </c>
      <c r="B26" s="3071" t="s">
        <v>4314</v>
      </c>
      <c r="C26" s="3067" t="s">
        <v>4281</v>
      </c>
      <c r="D26" s="3067" t="s">
        <v>4301</v>
      </c>
      <c r="E26" s="3067"/>
      <c r="F26" s="3068"/>
      <c r="G26" s="3069">
        <v>378153.43</v>
      </c>
      <c r="H26" s="3069">
        <v>8</v>
      </c>
      <c r="I26" s="3054">
        <f>G26*H26/10000</f>
        <v>302.52274399999999</v>
      </c>
      <c r="J26" s="3069"/>
    </row>
    <row r="27" spans="1:10" s="3049" customFormat="1" ht="18.75" hidden="1" customHeight="1" outlineLevel="2">
      <c r="A27" s="3065">
        <v>20112</v>
      </c>
      <c r="B27" s="3066" t="s">
        <v>4315</v>
      </c>
      <c r="C27" s="3067" t="s">
        <v>4281</v>
      </c>
      <c r="D27" s="3067" t="s">
        <v>4301</v>
      </c>
      <c r="E27" s="3067"/>
      <c r="F27" s="3068"/>
      <c r="G27" s="3069">
        <v>378153.43</v>
      </c>
      <c r="H27" s="3070">
        <v>1.5</v>
      </c>
      <c r="I27" s="3054">
        <f>G27*H27/10000</f>
        <v>56.723014500000005</v>
      </c>
      <c r="J27" s="3069"/>
    </row>
    <row r="28" spans="1:10" s="3049" customFormat="1" ht="41.25" hidden="1" customHeight="1" outlineLevel="2">
      <c r="A28" s="3065">
        <v>20113</v>
      </c>
      <c r="B28" s="3066" t="s">
        <v>4316</v>
      </c>
      <c r="C28" s="3052" t="s">
        <v>4288</v>
      </c>
      <c r="D28" s="3052" t="s">
        <v>4289</v>
      </c>
      <c r="E28" s="3067"/>
      <c r="F28" s="3068"/>
      <c r="G28" s="3069">
        <v>33</v>
      </c>
      <c r="H28" s="3069"/>
      <c r="I28" s="3054">
        <f>G28</f>
        <v>33</v>
      </c>
      <c r="J28" s="3069"/>
    </row>
    <row r="29" spans="1:10" s="3049" customFormat="1" ht="28.5" hidden="1" customHeight="1" outlineLevel="2">
      <c r="A29" s="3065">
        <v>20114</v>
      </c>
      <c r="B29" s="3066" t="s">
        <v>4317</v>
      </c>
      <c r="C29" s="3052" t="s">
        <v>4288</v>
      </c>
      <c r="D29" s="3052" t="s">
        <v>4289</v>
      </c>
      <c r="E29" s="3067"/>
      <c r="F29" s="3068"/>
      <c r="G29" s="3069">
        <v>5.8</v>
      </c>
      <c r="H29" s="3069"/>
      <c r="I29" s="3054">
        <f>G29</f>
        <v>5.8</v>
      </c>
      <c r="J29" s="3069"/>
    </row>
    <row r="30" spans="1:10" s="3049" customFormat="1" ht="27" hidden="1" customHeight="1" outlineLevel="2">
      <c r="A30" s="3065">
        <v>20115</v>
      </c>
      <c r="B30" s="3066" t="s">
        <v>4318</v>
      </c>
      <c r="C30" s="3052" t="s">
        <v>4288</v>
      </c>
      <c r="D30" s="3052" t="s">
        <v>4289</v>
      </c>
      <c r="E30" s="3067"/>
      <c r="F30" s="3068"/>
      <c r="G30" s="3069">
        <v>3</v>
      </c>
      <c r="H30" s="3069"/>
      <c r="I30" s="3054">
        <f>G30</f>
        <v>3</v>
      </c>
      <c r="J30" s="3069"/>
    </row>
    <row r="31" spans="1:10" s="3049" customFormat="1" ht="28.5" hidden="1" customHeight="1" outlineLevel="2">
      <c r="A31" s="3065">
        <v>20116</v>
      </c>
      <c r="B31" s="3066" t="s">
        <v>4319</v>
      </c>
      <c r="C31" s="3067" t="s">
        <v>4281</v>
      </c>
      <c r="D31" s="3067" t="s">
        <v>4301</v>
      </c>
      <c r="E31" s="3067"/>
      <c r="F31" s="3068"/>
      <c r="G31" s="3069">
        <v>378153.43</v>
      </c>
      <c r="H31" s="3069">
        <v>1</v>
      </c>
      <c r="I31" s="3054">
        <f>G31*H31/10000</f>
        <v>37.815342999999999</v>
      </c>
      <c r="J31" s="3069"/>
    </row>
    <row r="32" spans="1:10" s="3049" customFormat="1" ht="25.5" hidden="1" customHeight="1" outlineLevel="2">
      <c r="A32" s="3065">
        <v>20117</v>
      </c>
      <c r="B32" s="3066" t="s">
        <v>4320</v>
      </c>
      <c r="C32" s="3067" t="s">
        <v>4281</v>
      </c>
      <c r="D32" s="3067" t="s">
        <v>4301</v>
      </c>
      <c r="E32" s="3067"/>
      <c r="F32" s="3068"/>
      <c r="G32" s="3069">
        <v>378153.43</v>
      </c>
      <c r="H32" s="3069">
        <v>3</v>
      </c>
      <c r="I32" s="3054">
        <f>G32*H32/10000</f>
        <v>113.44602900000001</v>
      </c>
      <c r="J32" s="3069"/>
    </row>
    <row r="33" spans="1:11" s="3049" customFormat="1" ht="25.5" hidden="1" customHeight="1" outlineLevel="2">
      <c r="A33" s="3065">
        <v>20118</v>
      </c>
      <c r="B33" s="3066" t="s">
        <v>4321</v>
      </c>
      <c r="C33" s="3052" t="s">
        <v>4288</v>
      </c>
      <c r="D33" s="3052" t="s">
        <v>4289</v>
      </c>
      <c r="E33" s="3067"/>
      <c r="F33" s="3068"/>
      <c r="G33" s="3069">
        <v>1382</v>
      </c>
      <c r="H33" s="3069"/>
      <c r="I33" s="3054">
        <f>G33</f>
        <v>1382</v>
      </c>
      <c r="J33" s="3069"/>
    </row>
    <row r="34" spans="1:11" s="3049" customFormat="1" ht="26.25" hidden="1" customHeight="1" outlineLevel="2">
      <c r="A34" s="3065">
        <v>20119</v>
      </c>
      <c r="B34" s="3066" t="s">
        <v>4322</v>
      </c>
      <c r="C34" s="3067" t="s">
        <v>4281</v>
      </c>
      <c r="D34" s="3067" t="s">
        <v>4301</v>
      </c>
      <c r="E34" s="3067"/>
      <c r="F34" s="3068"/>
      <c r="G34" s="3069">
        <v>378153.43</v>
      </c>
      <c r="H34" s="3069"/>
      <c r="I34" s="3054">
        <v>0</v>
      </c>
      <c r="J34" s="3069"/>
    </row>
    <row r="35" spans="1:11" s="3049" customFormat="1" ht="38.25" hidden="1" customHeight="1" outlineLevel="2">
      <c r="A35" s="3065">
        <v>20120</v>
      </c>
      <c r="B35" s="3066" t="s">
        <v>4323</v>
      </c>
      <c r="C35" s="3052" t="s">
        <v>4288</v>
      </c>
      <c r="D35" s="3052" t="s">
        <v>4289</v>
      </c>
      <c r="E35" s="3067"/>
      <c r="F35" s="3068"/>
      <c r="G35" s="3069">
        <v>18</v>
      </c>
      <c r="H35" s="3069"/>
      <c r="I35" s="3054">
        <f>G35</f>
        <v>18</v>
      </c>
      <c r="J35" s="3069"/>
    </row>
    <row r="36" spans="1:11" s="3055" customFormat="1" ht="27.75" hidden="1" customHeight="1" outlineLevel="2">
      <c r="A36" s="3065">
        <v>20121</v>
      </c>
      <c r="B36" s="3051" t="s">
        <v>4324</v>
      </c>
      <c r="C36" s="3052" t="s">
        <v>4288</v>
      </c>
      <c r="D36" s="3052" t="s">
        <v>4289</v>
      </c>
      <c r="E36" s="3067"/>
      <c r="F36" s="3057"/>
      <c r="G36" s="3054">
        <v>9.8000000000000007</v>
      </c>
      <c r="H36" s="3069"/>
      <c r="I36" s="3054">
        <f>G36</f>
        <v>9.8000000000000007</v>
      </c>
      <c r="J36" s="3054"/>
    </row>
    <row r="37" spans="1:11" s="3049" customFormat="1" ht="21.75" hidden="1" customHeight="1" outlineLevel="1">
      <c r="A37" s="3072">
        <v>202</v>
      </c>
      <c r="B37" s="3073" t="s">
        <v>4325</v>
      </c>
      <c r="C37" s="3074"/>
      <c r="D37" s="3074"/>
      <c r="E37" s="3074"/>
      <c r="F37" s="3075"/>
      <c r="G37" s="3076"/>
      <c r="H37" s="3076"/>
      <c r="I37" s="3076">
        <f>I38+I46+I91</f>
        <v>8087.4616856347347</v>
      </c>
      <c r="J37" s="3076">
        <f>J38+J46+J91</f>
        <v>6956.39</v>
      </c>
    </row>
    <row r="38" spans="1:11" s="3049" customFormat="1" ht="21" hidden="1" customHeight="1" outlineLevel="2">
      <c r="A38" s="3077">
        <v>20201</v>
      </c>
      <c r="B38" s="3078" t="s">
        <v>4326</v>
      </c>
      <c r="C38" s="3040"/>
      <c r="D38" s="3040"/>
      <c r="E38" s="3040"/>
      <c r="F38" s="3079"/>
      <c r="G38" s="3080"/>
      <c r="H38" s="3080"/>
      <c r="I38" s="3080">
        <f>SUM(I39:I45)</f>
        <v>153.49487099999999</v>
      </c>
      <c r="J38" s="3080">
        <v>153.66999999999999</v>
      </c>
    </row>
    <row r="39" spans="1:11" s="3055" customFormat="1" ht="19.5" hidden="1" customHeight="1" outlineLevel="2">
      <c r="A39" s="3050">
        <v>2020101</v>
      </c>
      <c r="B39" s="3051" t="s">
        <v>4327</v>
      </c>
      <c r="C39" s="3052" t="s">
        <v>4288</v>
      </c>
      <c r="D39" s="3052" t="s">
        <v>4289</v>
      </c>
      <c r="E39" s="3067"/>
      <c r="F39" s="3057"/>
      <c r="G39" s="3054">
        <v>1.1000000000000001</v>
      </c>
      <c r="H39" s="3054"/>
      <c r="I39" s="3054">
        <f>G39</f>
        <v>1.1000000000000001</v>
      </c>
      <c r="J39" s="3054"/>
    </row>
    <row r="40" spans="1:11" s="3055" customFormat="1" ht="29.25" hidden="1" customHeight="1" outlineLevel="2">
      <c r="A40" s="3050">
        <v>2020102</v>
      </c>
      <c r="B40" s="3051" t="s">
        <v>4328</v>
      </c>
      <c r="C40" s="3052" t="s">
        <v>4288</v>
      </c>
      <c r="D40" s="3052" t="s">
        <v>4289</v>
      </c>
      <c r="E40" s="3067"/>
      <c r="F40" s="3057"/>
      <c r="G40" s="3054">
        <v>6</v>
      </c>
      <c r="H40" s="3054"/>
      <c r="I40" s="3054">
        <f t="shared" ref="I40:I94" si="0">G40</f>
        <v>6</v>
      </c>
      <c r="J40" s="3054"/>
    </row>
    <row r="41" spans="1:11" s="3055" customFormat="1" ht="30.75" hidden="1" customHeight="1" outlineLevel="2">
      <c r="A41" s="3050">
        <v>2020103</v>
      </c>
      <c r="B41" s="3051" t="s">
        <v>4329</v>
      </c>
      <c r="C41" s="3052" t="s">
        <v>4288</v>
      </c>
      <c r="D41" s="3052" t="s">
        <v>4289</v>
      </c>
      <c r="E41" s="3067"/>
      <c r="F41" s="3057"/>
      <c r="G41" s="3054">
        <v>11.0098</v>
      </c>
      <c r="H41" s="3054"/>
      <c r="I41" s="3054">
        <f t="shared" si="0"/>
        <v>11.0098</v>
      </c>
      <c r="J41" s="3054"/>
    </row>
    <row r="42" spans="1:11" s="3055" customFormat="1" ht="29.25" hidden="1" customHeight="1" outlineLevel="2">
      <c r="A42" s="3050">
        <v>2020104</v>
      </c>
      <c r="B42" s="3051" t="s">
        <v>4330</v>
      </c>
      <c r="C42" s="3052" t="s">
        <v>4288</v>
      </c>
      <c r="D42" s="3052" t="s">
        <v>4289</v>
      </c>
      <c r="E42" s="3067"/>
      <c r="F42" s="3057"/>
      <c r="G42" s="3054">
        <v>29.12</v>
      </c>
      <c r="H42" s="3054"/>
      <c r="I42" s="3054">
        <f t="shared" si="0"/>
        <v>29.12</v>
      </c>
      <c r="J42" s="3054"/>
    </row>
    <row r="43" spans="1:11" s="3055" customFormat="1" ht="32.25" hidden="1" customHeight="1" outlineLevel="2">
      <c r="A43" s="3050">
        <v>2020105</v>
      </c>
      <c r="B43" s="3051" t="s">
        <v>4331</v>
      </c>
      <c r="C43" s="3052" t="s">
        <v>4288</v>
      </c>
      <c r="D43" s="3052" t="s">
        <v>4289</v>
      </c>
      <c r="E43" s="3067"/>
      <c r="F43" s="3057"/>
      <c r="G43" s="3054">
        <v>52</v>
      </c>
      <c r="H43" s="3054"/>
      <c r="I43" s="3054">
        <f t="shared" si="0"/>
        <v>52</v>
      </c>
      <c r="J43" s="3054"/>
    </row>
    <row r="44" spans="1:11" s="3055" customFormat="1" ht="23.25" hidden="1" customHeight="1" outlineLevel="2">
      <c r="A44" s="3050">
        <v>2020106</v>
      </c>
      <c r="B44" s="3051" t="s">
        <v>4332</v>
      </c>
      <c r="C44" s="3052" t="s">
        <v>4288</v>
      </c>
      <c r="D44" s="3052" t="s">
        <v>4289</v>
      </c>
      <c r="E44" s="3067"/>
      <c r="F44" s="3057"/>
      <c r="G44" s="3054">
        <v>53.665070999999998</v>
      </c>
      <c r="H44" s="3054"/>
      <c r="I44" s="3054">
        <f t="shared" si="0"/>
        <v>53.665070999999998</v>
      </c>
      <c r="J44" s="3054"/>
    </row>
    <row r="45" spans="1:11" s="3055" customFormat="1" ht="34.5" hidden="1" customHeight="1" outlineLevel="2">
      <c r="A45" s="3050">
        <v>2020107</v>
      </c>
      <c r="B45" s="3051" t="s">
        <v>4333</v>
      </c>
      <c r="C45" s="3052" t="s">
        <v>4288</v>
      </c>
      <c r="D45" s="3052" t="s">
        <v>4289</v>
      </c>
      <c r="E45" s="3067"/>
      <c r="F45" s="3057"/>
      <c r="G45" s="3054">
        <v>0.6</v>
      </c>
      <c r="H45" s="3054"/>
      <c r="I45" s="3054">
        <f t="shared" si="0"/>
        <v>0.6</v>
      </c>
      <c r="J45" s="3054"/>
    </row>
    <row r="46" spans="1:11" s="3055" customFormat="1" ht="23.25" hidden="1" customHeight="1" outlineLevel="2">
      <c r="A46" s="3077">
        <v>20202</v>
      </c>
      <c r="B46" s="3078" t="s">
        <v>4334</v>
      </c>
      <c r="C46" s="3040"/>
      <c r="D46" s="3040"/>
      <c r="E46" s="3040"/>
      <c r="F46" s="3079"/>
      <c r="G46" s="3080"/>
      <c r="H46" s="3080"/>
      <c r="I46" s="3080">
        <f>SUM(I47:I90)</f>
        <v>7471.7020000000002</v>
      </c>
      <c r="J46" s="3080">
        <v>6764.72</v>
      </c>
      <c r="K46" s="3081"/>
    </row>
    <row r="47" spans="1:11" s="3055" customFormat="1" ht="49.5" hidden="1" customHeight="1" outlineLevel="2">
      <c r="A47" s="3050">
        <v>2020201</v>
      </c>
      <c r="B47" s="3082" t="s">
        <v>4335</v>
      </c>
      <c r="C47" s="3052" t="s">
        <v>4288</v>
      </c>
      <c r="D47" s="3052" t="s">
        <v>4289</v>
      </c>
      <c r="E47" s="3083"/>
      <c r="F47" s="3084"/>
      <c r="G47" s="3054">
        <v>73.73</v>
      </c>
      <c r="H47" s="3085"/>
      <c r="I47" s="3054">
        <f t="shared" si="0"/>
        <v>73.73</v>
      </c>
      <c r="J47" s="3054"/>
    </row>
    <row r="48" spans="1:11" s="3055" customFormat="1" ht="39" hidden="1" customHeight="1" outlineLevel="2">
      <c r="A48" s="3050">
        <v>2020202</v>
      </c>
      <c r="B48" s="3082" t="s">
        <v>4336</v>
      </c>
      <c r="C48" s="3052" t="s">
        <v>4288</v>
      </c>
      <c r="D48" s="3052" t="s">
        <v>4289</v>
      </c>
      <c r="E48" s="3083"/>
      <c r="F48" s="3084"/>
      <c r="G48" s="3054">
        <v>85</v>
      </c>
      <c r="H48" s="3085"/>
      <c r="I48" s="3054">
        <f t="shared" si="0"/>
        <v>85</v>
      </c>
      <c r="J48" s="3054"/>
    </row>
    <row r="49" spans="1:10" s="3055" customFormat="1" ht="33" hidden="1" customHeight="1" outlineLevel="2">
      <c r="A49" s="3050">
        <v>2020203</v>
      </c>
      <c r="B49" s="3082" t="s">
        <v>4337</v>
      </c>
      <c r="C49" s="3052" t="s">
        <v>4288</v>
      </c>
      <c r="D49" s="3052" t="s">
        <v>4289</v>
      </c>
      <c r="E49" s="3083"/>
      <c r="F49" s="3084"/>
      <c r="G49" s="3054">
        <v>30</v>
      </c>
      <c r="H49" s="3085"/>
      <c r="I49" s="3054">
        <f t="shared" si="0"/>
        <v>30</v>
      </c>
      <c r="J49" s="3054"/>
    </row>
    <row r="50" spans="1:10" s="3055" customFormat="1" ht="34.5" hidden="1" customHeight="1" outlineLevel="2">
      <c r="A50" s="3050">
        <v>2020204</v>
      </c>
      <c r="B50" s="3082" t="s">
        <v>4338</v>
      </c>
      <c r="C50" s="3052" t="s">
        <v>4288</v>
      </c>
      <c r="D50" s="3052" t="s">
        <v>4289</v>
      </c>
      <c r="E50" s="3083"/>
      <c r="F50" s="3084"/>
      <c r="G50" s="3054">
        <v>2600</v>
      </c>
      <c r="H50" s="3085"/>
      <c r="I50" s="3054">
        <f t="shared" si="0"/>
        <v>2600</v>
      </c>
      <c r="J50" s="3054"/>
    </row>
    <row r="51" spans="1:10" s="3055" customFormat="1" ht="28.5" hidden="1" customHeight="1" outlineLevel="2">
      <c r="A51" s="3050">
        <v>2020205</v>
      </c>
      <c r="B51" s="3082" t="s">
        <v>4339</v>
      </c>
      <c r="C51" s="3052" t="s">
        <v>4288</v>
      </c>
      <c r="D51" s="3052" t="s">
        <v>4289</v>
      </c>
      <c r="E51" s="3083"/>
      <c r="F51" s="3084"/>
      <c r="G51" s="3054">
        <v>7.5</v>
      </c>
      <c r="H51" s="3085"/>
      <c r="I51" s="3054">
        <f t="shared" si="0"/>
        <v>7.5</v>
      </c>
      <c r="J51" s="3054"/>
    </row>
    <row r="52" spans="1:10" s="3055" customFormat="1" ht="33.75" hidden="1" customHeight="1" outlineLevel="2">
      <c r="A52" s="3050">
        <v>2020206</v>
      </c>
      <c r="B52" s="3082" t="s">
        <v>4340</v>
      </c>
      <c r="C52" s="3052" t="s">
        <v>4288</v>
      </c>
      <c r="D52" s="3052" t="s">
        <v>4289</v>
      </c>
      <c r="E52" s="3083"/>
      <c r="F52" s="3084"/>
      <c r="G52" s="3054">
        <v>130</v>
      </c>
      <c r="H52" s="3085"/>
      <c r="I52" s="3054">
        <f t="shared" si="0"/>
        <v>130</v>
      </c>
      <c r="J52" s="3054"/>
    </row>
    <row r="53" spans="1:10" s="3055" customFormat="1" ht="29.45" hidden="1" customHeight="1" outlineLevel="2">
      <c r="A53" s="3050">
        <v>2020207</v>
      </c>
      <c r="B53" s="3082" t="s">
        <v>4341</v>
      </c>
      <c r="C53" s="3052" t="s">
        <v>4288</v>
      </c>
      <c r="D53" s="3052" t="s">
        <v>4289</v>
      </c>
      <c r="E53" s="3083"/>
      <c r="F53" s="3084"/>
      <c r="G53" s="3054">
        <v>80</v>
      </c>
      <c r="H53" s="3085"/>
      <c r="I53" s="3054">
        <f t="shared" si="0"/>
        <v>80</v>
      </c>
      <c r="J53" s="3054"/>
    </row>
    <row r="54" spans="1:10" s="3055" customFormat="1" ht="43.5" hidden="1" customHeight="1" outlineLevel="2">
      <c r="A54" s="3050">
        <v>2020208</v>
      </c>
      <c r="B54" s="3082" t="s">
        <v>4342</v>
      </c>
      <c r="C54" s="3052" t="s">
        <v>4288</v>
      </c>
      <c r="D54" s="3052" t="s">
        <v>4289</v>
      </c>
      <c r="E54" s="3083"/>
      <c r="F54" s="3084"/>
      <c r="G54" s="3054">
        <v>50</v>
      </c>
      <c r="H54" s="3085"/>
      <c r="I54" s="3054">
        <f t="shared" si="0"/>
        <v>50</v>
      </c>
      <c r="J54" s="3054"/>
    </row>
    <row r="55" spans="1:10" s="3055" customFormat="1" ht="39.75" hidden="1" customHeight="1" outlineLevel="2">
      <c r="A55" s="3050">
        <v>2020209</v>
      </c>
      <c r="B55" s="3082" t="s">
        <v>4343</v>
      </c>
      <c r="C55" s="3052" t="s">
        <v>4288</v>
      </c>
      <c r="D55" s="3052" t="s">
        <v>4289</v>
      </c>
      <c r="E55" s="3083"/>
      <c r="F55" s="3084"/>
      <c r="G55" s="3054">
        <v>420</v>
      </c>
      <c r="H55" s="3085"/>
      <c r="I55" s="3054">
        <f t="shared" si="0"/>
        <v>420</v>
      </c>
      <c r="J55" s="3054"/>
    </row>
    <row r="56" spans="1:10" s="3055" customFormat="1" ht="39.75" hidden="1" customHeight="1" outlineLevel="2">
      <c r="A56" s="3050">
        <v>2020210</v>
      </c>
      <c r="B56" s="3082" t="s">
        <v>4344</v>
      </c>
      <c r="C56" s="3052" t="s">
        <v>4288</v>
      </c>
      <c r="D56" s="3052" t="s">
        <v>4289</v>
      </c>
      <c r="E56" s="3083"/>
      <c r="F56" s="3084"/>
      <c r="G56" s="3054">
        <v>60</v>
      </c>
      <c r="H56" s="3054"/>
      <c r="I56" s="3054">
        <f t="shared" si="0"/>
        <v>60</v>
      </c>
      <c r="J56" s="3085"/>
    </row>
    <row r="57" spans="1:10" s="3055" customFormat="1" ht="27" hidden="1" customHeight="1" outlineLevel="2">
      <c r="A57" s="3050">
        <v>2020211</v>
      </c>
      <c r="B57" s="3082" t="s">
        <v>4345</v>
      </c>
      <c r="C57" s="3052" t="s">
        <v>4288</v>
      </c>
      <c r="D57" s="3052" t="s">
        <v>4289</v>
      </c>
      <c r="E57" s="3083"/>
      <c r="F57" s="3084"/>
      <c r="G57" s="3054">
        <v>0</v>
      </c>
      <c r="H57" s="3054"/>
      <c r="I57" s="3054">
        <f t="shared" si="0"/>
        <v>0</v>
      </c>
      <c r="J57" s="3085"/>
    </row>
    <row r="58" spans="1:10" s="3055" customFormat="1" ht="46.35" hidden="1" customHeight="1" outlineLevel="2">
      <c r="A58" s="3050">
        <v>2020212</v>
      </c>
      <c r="B58" s="3082" t="s">
        <v>4346</v>
      </c>
      <c r="C58" s="3052" t="s">
        <v>4288</v>
      </c>
      <c r="D58" s="3052" t="s">
        <v>4289</v>
      </c>
      <c r="E58" s="3083"/>
      <c r="F58" s="3084"/>
      <c r="G58" s="3054">
        <v>31.6</v>
      </c>
      <c r="H58" s="3054"/>
      <c r="I58" s="3054">
        <f t="shared" si="0"/>
        <v>31.6</v>
      </c>
      <c r="J58" s="3085"/>
    </row>
    <row r="59" spans="1:10" s="3055" customFormat="1" ht="48.75" hidden="1" customHeight="1" outlineLevel="2">
      <c r="A59" s="3050">
        <v>2020213</v>
      </c>
      <c r="B59" s="3082" t="s">
        <v>4347</v>
      </c>
      <c r="C59" s="3052" t="s">
        <v>4288</v>
      </c>
      <c r="D59" s="3052" t="s">
        <v>4289</v>
      </c>
      <c r="E59" s="3083"/>
      <c r="F59" s="3084"/>
      <c r="G59" s="3054">
        <v>100</v>
      </c>
      <c r="H59" s="3054"/>
      <c r="I59" s="3054">
        <f t="shared" si="0"/>
        <v>100</v>
      </c>
      <c r="J59" s="3085"/>
    </row>
    <row r="60" spans="1:10" s="3055" customFormat="1" ht="36" hidden="1" customHeight="1" outlineLevel="2">
      <c r="A60" s="3050">
        <v>2020214</v>
      </c>
      <c r="B60" s="3082" t="s">
        <v>4347</v>
      </c>
      <c r="C60" s="3052" t="s">
        <v>4288</v>
      </c>
      <c r="D60" s="3052" t="s">
        <v>4289</v>
      </c>
      <c r="E60" s="3083"/>
      <c r="F60" s="3084"/>
      <c r="G60" s="3054">
        <v>61.4</v>
      </c>
      <c r="H60" s="3054"/>
      <c r="I60" s="3054">
        <f t="shared" si="0"/>
        <v>61.4</v>
      </c>
      <c r="J60" s="3085"/>
    </row>
    <row r="61" spans="1:10" s="3055" customFormat="1" ht="31.5" hidden="1" customHeight="1" outlineLevel="2">
      <c r="A61" s="3050">
        <v>2020215</v>
      </c>
      <c r="B61" s="3082" t="s">
        <v>4348</v>
      </c>
      <c r="C61" s="3052" t="s">
        <v>4288</v>
      </c>
      <c r="D61" s="3052" t="s">
        <v>4289</v>
      </c>
      <c r="E61" s="3083"/>
      <c r="F61" s="3084"/>
      <c r="G61" s="3054">
        <v>33</v>
      </c>
      <c r="H61" s="3054"/>
      <c r="I61" s="3054">
        <f t="shared" si="0"/>
        <v>33</v>
      </c>
      <c r="J61" s="3085"/>
    </row>
    <row r="62" spans="1:10" s="3055" customFormat="1" ht="31.5" hidden="1" customHeight="1" outlineLevel="2">
      <c r="A62" s="3050">
        <v>2020216</v>
      </c>
      <c r="B62" s="3082" t="s">
        <v>4349</v>
      </c>
      <c r="C62" s="3052" t="s">
        <v>4288</v>
      </c>
      <c r="D62" s="3052" t="s">
        <v>4289</v>
      </c>
      <c r="E62" s="3083"/>
      <c r="F62" s="3084"/>
      <c r="G62" s="3054">
        <v>60.8</v>
      </c>
      <c r="H62" s="3054"/>
      <c r="I62" s="3054">
        <f t="shared" si="0"/>
        <v>60.8</v>
      </c>
      <c r="J62" s="3085"/>
    </row>
    <row r="63" spans="1:10" s="3055" customFormat="1" ht="36" hidden="1" customHeight="1" outlineLevel="2">
      <c r="A63" s="3050">
        <v>2020217</v>
      </c>
      <c r="B63" s="3082" t="s">
        <v>4350</v>
      </c>
      <c r="C63" s="3052" t="s">
        <v>4288</v>
      </c>
      <c r="D63" s="3052" t="s">
        <v>4289</v>
      </c>
      <c r="E63" s="3083"/>
      <c r="F63" s="3084"/>
      <c r="G63" s="3054">
        <v>31.92</v>
      </c>
      <c r="H63" s="3054"/>
      <c r="I63" s="3054">
        <f t="shared" si="0"/>
        <v>31.92</v>
      </c>
      <c r="J63" s="3085"/>
    </row>
    <row r="64" spans="1:10" s="3055" customFormat="1" ht="20.25" hidden="1" customHeight="1" outlineLevel="2">
      <c r="A64" s="3050">
        <v>2020218</v>
      </c>
      <c r="B64" s="3082" t="s">
        <v>4351</v>
      </c>
      <c r="C64" s="3052" t="s">
        <v>4288</v>
      </c>
      <c r="D64" s="3052" t="s">
        <v>4289</v>
      </c>
      <c r="E64" s="3083"/>
      <c r="F64" s="3084"/>
      <c r="G64" s="3054">
        <v>1767.2</v>
      </c>
      <c r="H64" s="3054"/>
      <c r="I64" s="3054">
        <f t="shared" si="0"/>
        <v>1767.2</v>
      </c>
      <c r="J64" s="3085"/>
    </row>
    <row r="65" spans="1:10" s="3055" customFormat="1" ht="30" hidden="1" customHeight="1" outlineLevel="2">
      <c r="A65" s="3050">
        <v>2020219</v>
      </c>
      <c r="B65" s="3082" t="s">
        <v>4352</v>
      </c>
      <c r="C65" s="3052" t="s">
        <v>4288</v>
      </c>
      <c r="D65" s="3052" t="s">
        <v>4289</v>
      </c>
      <c r="E65" s="3083"/>
      <c r="F65" s="3084"/>
      <c r="G65" s="3085">
        <v>29.5</v>
      </c>
      <c r="H65" s="3085"/>
      <c r="I65" s="3054">
        <f t="shared" si="0"/>
        <v>29.5</v>
      </c>
      <c r="J65" s="3085"/>
    </row>
    <row r="66" spans="1:10" s="3055" customFormat="1" ht="31.5" hidden="1" customHeight="1" outlineLevel="2">
      <c r="A66" s="3050">
        <v>2020220</v>
      </c>
      <c r="B66" s="3082" t="s">
        <v>4353</v>
      </c>
      <c r="C66" s="3052" t="s">
        <v>4288</v>
      </c>
      <c r="D66" s="3052" t="s">
        <v>4289</v>
      </c>
      <c r="E66" s="3083"/>
      <c r="F66" s="3084"/>
      <c r="G66" s="3085">
        <v>10</v>
      </c>
      <c r="H66" s="3085"/>
      <c r="I66" s="3054">
        <f t="shared" si="0"/>
        <v>10</v>
      </c>
      <c r="J66" s="3085"/>
    </row>
    <row r="67" spans="1:10" s="3055" customFormat="1" ht="27.75" hidden="1" customHeight="1" outlineLevel="2">
      <c r="A67" s="3050">
        <v>2020221</v>
      </c>
      <c r="B67" s="3082" t="s">
        <v>4354</v>
      </c>
      <c r="C67" s="3052" t="s">
        <v>4288</v>
      </c>
      <c r="D67" s="3052" t="s">
        <v>4289</v>
      </c>
      <c r="E67" s="3083"/>
      <c r="F67" s="3084"/>
      <c r="G67" s="3085">
        <v>7</v>
      </c>
      <c r="H67" s="3085"/>
      <c r="I67" s="3054">
        <f t="shared" si="0"/>
        <v>7</v>
      </c>
      <c r="J67" s="3085"/>
    </row>
    <row r="68" spans="1:10" s="3055" customFormat="1" ht="27.75" hidden="1" customHeight="1" outlineLevel="2">
      <c r="A68" s="3050">
        <v>2020222</v>
      </c>
      <c r="B68" s="3082" t="s">
        <v>4355</v>
      </c>
      <c r="C68" s="3052" t="s">
        <v>4288</v>
      </c>
      <c r="D68" s="3052" t="s">
        <v>4289</v>
      </c>
      <c r="E68" s="3083"/>
      <c r="F68" s="3084"/>
      <c r="G68" s="3085">
        <v>270</v>
      </c>
      <c r="H68" s="3085"/>
      <c r="I68" s="3054">
        <f t="shared" si="0"/>
        <v>270</v>
      </c>
      <c r="J68" s="3085"/>
    </row>
    <row r="69" spans="1:10" s="3055" customFormat="1" ht="27.75" hidden="1" customHeight="1" outlineLevel="2">
      <c r="A69" s="3050">
        <v>2020223</v>
      </c>
      <c r="B69" s="3082" t="s">
        <v>4356</v>
      </c>
      <c r="C69" s="3052" t="s">
        <v>4288</v>
      </c>
      <c r="D69" s="3052" t="s">
        <v>4289</v>
      </c>
      <c r="E69" s="3083"/>
      <c r="F69" s="3084"/>
      <c r="G69" s="3085">
        <v>266</v>
      </c>
      <c r="H69" s="3085"/>
      <c r="I69" s="3054">
        <f t="shared" si="0"/>
        <v>266</v>
      </c>
      <c r="J69" s="3085"/>
    </row>
    <row r="70" spans="1:10" s="3055" customFormat="1" ht="29.25" hidden="1" customHeight="1" outlineLevel="2">
      <c r="A70" s="3050">
        <v>2020224</v>
      </c>
      <c r="B70" s="3082" t="s">
        <v>4357</v>
      </c>
      <c r="C70" s="3052" t="s">
        <v>4288</v>
      </c>
      <c r="D70" s="3052" t="s">
        <v>4289</v>
      </c>
      <c r="E70" s="3083"/>
      <c r="F70" s="3084"/>
      <c r="G70" s="3085">
        <v>43</v>
      </c>
      <c r="H70" s="3085"/>
      <c r="I70" s="3054">
        <f t="shared" si="0"/>
        <v>43</v>
      </c>
      <c r="J70" s="3085"/>
    </row>
    <row r="71" spans="1:10" s="3055" customFormat="1" ht="33.75" hidden="1" customHeight="1" outlineLevel="2">
      <c r="A71" s="3050">
        <v>2020225</v>
      </c>
      <c r="B71" s="3082" t="s">
        <v>4358</v>
      </c>
      <c r="C71" s="3052" t="s">
        <v>4288</v>
      </c>
      <c r="D71" s="3052" t="s">
        <v>4289</v>
      </c>
      <c r="E71" s="3083"/>
      <c r="F71" s="3084"/>
      <c r="G71" s="3085">
        <v>14.5</v>
      </c>
      <c r="H71" s="3085"/>
      <c r="I71" s="3054">
        <f t="shared" si="0"/>
        <v>14.5</v>
      </c>
      <c r="J71" s="3085"/>
    </row>
    <row r="72" spans="1:10" s="3055" customFormat="1" ht="27" hidden="1" customHeight="1" outlineLevel="2">
      <c r="A72" s="3050">
        <v>2020226</v>
      </c>
      <c r="B72" s="3082" t="s">
        <v>4359</v>
      </c>
      <c r="C72" s="3052" t="s">
        <v>4288</v>
      </c>
      <c r="D72" s="3052" t="s">
        <v>4289</v>
      </c>
      <c r="E72" s="3083"/>
      <c r="F72" s="3084"/>
      <c r="G72" s="3085">
        <v>22</v>
      </c>
      <c r="H72" s="3085"/>
      <c r="I72" s="3054">
        <f t="shared" si="0"/>
        <v>22</v>
      </c>
      <c r="J72" s="3085"/>
    </row>
    <row r="73" spans="1:10" s="3055" customFormat="1" ht="29.25" hidden="1" customHeight="1" outlineLevel="2">
      <c r="A73" s="3050">
        <v>2020227</v>
      </c>
      <c r="B73" s="3082" t="s">
        <v>4360</v>
      </c>
      <c r="C73" s="3052" t="s">
        <v>4288</v>
      </c>
      <c r="D73" s="3052" t="s">
        <v>4289</v>
      </c>
      <c r="E73" s="3083"/>
      <c r="F73" s="3084"/>
      <c r="G73" s="3085">
        <v>10</v>
      </c>
      <c r="H73" s="3085"/>
      <c r="I73" s="3054">
        <f t="shared" si="0"/>
        <v>10</v>
      </c>
      <c r="J73" s="3085"/>
    </row>
    <row r="74" spans="1:10" s="3055" customFormat="1" ht="30" hidden="1" customHeight="1" outlineLevel="2">
      <c r="A74" s="3050">
        <v>2020228</v>
      </c>
      <c r="B74" s="3082" t="s">
        <v>4361</v>
      </c>
      <c r="C74" s="3052" t="s">
        <v>4288</v>
      </c>
      <c r="D74" s="3052" t="s">
        <v>4289</v>
      </c>
      <c r="E74" s="3083"/>
      <c r="F74" s="3084"/>
      <c r="G74" s="3085">
        <v>22</v>
      </c>
      <c r="H74" s="3085"/>
      <c r="I74" s="3054">
        <f t="shared" si="0"/>
        <v>22</v>
      </c>
      <c r="J74" s="3085"/>
    </row>
    <row r="75" spans="1:10" s="3055" customFormat="1" ht="30" hidden="1" customHeight="1" outlineLevel="2">
      <c r="A75" s="3050">
        <v>2020229</v>
      </c>
      <c r="B75" s="3082" t="s">
        <v>4362</v>
      </c>
      <c r="C75" s="3052" t="s">
        <v>4288</v>
      </c>
      <c r="D75" s="3052" t="s">
        <v>4289</v>
      </c>
      <c r="E75" s="3083"/>
      <c r="F75" s="3084"/>
      <c r="G75" s="3085">
        <v>24</v>
      </c>
      <c r="H75" s="3085"/>
      <c r="I75" s="3054">
        <f t="shared" si="0"/>
        <v>24</v>
      </c>
      <c r="J75" s="3085"/>
    </row>
    <row r="76" spans="1:10" s="3055" customFormat="1" ht="28.5" hidden="1" customHeight="1" outlineLevel="2">
      <c r="A76" s="3050">
        <v>2020230</v>
      </c>
      <c r="B76" s="3082" t="s">
        <v>4363</v>
      </c>
      <c r="C76" s="3052" t="s">
        <v>4288</v>
      </c>
      <c r="D76" s="3052" t="s">
        <v>4289</v>
      </c>
      <c r="E76" s="3083"/>
      <c r="F76" s="3084"/>
      <c r="G76" s="3085">
        <v>16</v>
      </c>
      <c r="H76" s="3085"/>
      <c r="I76" s="3054">
        <f t="shared" si="0"/>
        <v>16</v>
      </c>
      <c r="J76" s="3085"/>
    </row>
    <row r="77" spans="1:10" s="3055" customFormat="1" ht="24.75" hidden="1" customHeight="1" outlineLevel="2">
      <c r="A77" s="3050">
        <v>2020231</v>
      </c>
      <c r="B77" s="3082" t="s">
        <v>4364</v>
      </c>
      <c r="C77" s="3052" t="s">
        <v>4288</v>
      </c>
      <c r="D77" s="3052" t="s">
        <v>4289</v>
      </c>
      <c r="E77" s="3083"/>
      <c r="F77" s="3084"/>
      <c r="G77" s="3085">
        <v>108</v>
      </c>
      <c r="H77" s="3085"/>
      <c r="I77" s="3054">
        <f t="shared" si="0"/>
        <v>108</v>
      </c>
      <c r="J77" s="3085"/>
    </row>
    <row r="78" spans="1:10" s="3055" customFormat="1" ht="30.75" hidden="1" customHeight="1" outlineLevel="2">
      <c r="A78" s="3050">
        <v>2020232</v>
      </c>
      <c r="B78" s="3082" t="s">
        <v>4365</v>
      </c>
      <c r="C78" s="3052" t="s">
        <v>4288</v>
      </c>
      <c r="D78" s="3052" t="s">
        <v>4289</v>
      </c>
      <c r="E78" s="3083"/>
      <c r="F78" s="3084"/>
      <c r="G78" s="3085">
        <v>20</v>
      </c>
      <c r="H78" s="3085"/>
      <c r="I78" s="3054">
        <f t="shared" si="0"/>
        <v>20</v>
      </c>
      <c r="J78" s="3085"/>
    </row>
    <row r="79" spans="1:10" s="3055" customFormat="1" ht="32.25" hidden="1" customHeight="1" outlineLevel="2">
      <c r="A79" s="3050">
        <v>2020233</v>
      </c>
      <c r="B79" s="3082" t="s">
        <v>4366</v>
      </c>
      <c r="C79" s="3052" t="s">
        <v>4288</v>
      </c>
      <c r="D79" s="3052" t="s">
        <v>4289</v>
      </c>
      <c r="E79" s="3083"/>
      <c r="F79" s="3084"/>
      <c r="G79" s="3085">
        <v>15</v>
      </c>
      <c r="H79" s="3085"/>
      <c r="I79" s="3054">
        <f t="shared" si="0"/>
        <v>15</v>
      </c>
      <c r="J79" s="3085"/>
    </row>
    <row r="80" spans="1:10" s="3055" customFormat="1" ht="33.75" hidden="1" customHeight="1" outlineLevel="2">
      <c r="A80" s="3050">
        <v>2020234</v>
      </c>
      <c r="B80" s="3082" t="s">
        <v>4367</v>
      </c>
      <c r="C80" s="3052" t="s">
        <v>4288</v>
      </c>
      <c r="D80" s="3052" t="s">
        <v>4289</v>
      </c>
      <c r="E80" s="3083"/>
      <c r="F80" s="3084"/>
      <c r="G80" s="3085">
        <v>48.902000000000001</v>
      </c>
      <c r="H80" s="3085"/>
      <c r="I80" s="3054">
        <f t="shared" si="0"/>
        <v>48.902000000000001</v>
      </c>
      <c r="J80" s="3085"/>
    </row>
    <row r="81" spans="1:10" s="3055" customFormat="1" ht="33.75" hidden="1" customHeight="1" outlineLevel="2">
      <c r="A81" s="3050">
        <v>2020235</v>
      </c>
      <c r="B81" s="3082" t="s">
        <v>4368</v>
      </c>
      <c r="C81" s="3052" t="s">
        <v>4288</v>
      </c>
      <c r="D81" s="3052" t="s">
        <v>4289</v>
      </c>
      <c r="E81" s="3083"/>
      <c r="F81" s="3084"/>
      <c r="G81" s="3085">
        <v>7</v>
      </c>
      <c r="H81" s="3085"/>
      <c r="I81" s="3054">
        <f t="shared" si="0"/>
        <v>7</v>
      </c>
      <c r="J81" s="3085"/>
    </row>
    <row r="82" spans="1:10" s="3055" customFormat="1" ht="25.5" hidden="1" customHeight="1" outlineLevel="2">
      <c r="A82" s="3050">
        <v>2020236</v>
      </c>
      <c r="B82" s="3082" t="s">
        <v>4369</v>
      </c>
      <c r="C82" s="3052" t="s">
        <v>4288</v>
      </c>
      <c r="D82" s="3052" t="s">
        <v>4289</v>
      </c>
      <c r="E82" s="3083"/>
      <c r="F82" s="3084"/>
      <c r="G82" s="3085">
        <v>7.5</v>
      </c>
      <c r="H82" s="3085"/>
      <c r="I82" s="3054">
        <f t="shared" si="0"/>
        <v>7.5</v>
      </c>
      <c r="J82" s="3085"/>
    </row>
    <row r="83" spans="1:10" s="3055" customFormat="1" ht="25.5" hidden="1" customHeight="1" outlineLevel="2">
      <c r="A83" s="3050">
        <v>2020237</v>
      </c>
      <c r="B83" s="3082" t="s">
        <v>4370</v>
      </c>
      <c r="C83" s="3052" t="s">
        <v>4288</v>
      </c>
      <c r="D83" s="3052" t="s">
        <v>4289</v>
      </c>
      <c r="E83" s="3083"/>
      <c r="F83" s="3084"/>
      <c r="G83" s="3085">
        <v>38</v>
      </c>
      <c r="H83" s="3085"/>
      <c r="I83" s="3054">
        <f t="shared" si="0"/>
        <v>38</v>
      </c>
      <c r="J83" s="3085"/>
    </row>
    <row r="84" spans="1:10" s="3055" customFormat="1" ht="31.5" hidden="1" customHeight="1" outlineLevel="2">
      <c r="A84" s="3050">
        <v>2020238</v>
      </c>
      <c r="B84" s="3082" t="s">
        <v>4371</v>
      </c>
      <c r="C84" s="3052" t="s">
        <v>4288</v>
      </c>
      <c r="D84" s="3052" t="s">
        <v>4289</v>
      </c>
      <c r="E84" s="3083"/>
      <c r="F84" s="3084"/>
      <c r="G84" s="3085">
        <v>34</v>
      </c>
      <c r="H84" s="3085"/>
      <c r="I84" s="3054">
        <f t="shared" si="0"/>
        <v>34</v>
      </c>
      <c r="J84" s="3085"/>
    </row>
    <row r="85" spans="1:10" s="3055" customFormat="1" ht="31.5" hidden="1" customHeight="1" outlineLevel="2">
      <c r="A85" s="3050">
        <v>2020239</v>
      </c>
      <c r="B85" s="3082" t="s">
        <v>4372</v>
      </c>
      <c r="C85" s="3052" t="s">
        <v>4288</v>
      </c>
      <c r="D85" s="3052" t="s">
        <v>4289</v>
      </c>
      <c r="E85" s="3083"/>
      <c r="F85" s="3084"/>
      <c r="G85" s="3085">
        <v>0</v>
      </c>
      <c r="H85" s="3085"/>
      <c r="I85" s="3054">
        <f t="shared" si="0"/>
        <v>0</v>
      </c>
      <c r="J85" s="3085"/>
    </row>
    <row r="86" spans="1:10" s="3055" customFormat="1" ht="31.5" hidden="1" customHeight="1" outlineLevel="2">
      <c r="A86" s="3050">
        <v>2020240</v>
      </c>
      <c r="B86" s="3082" t="s">
        <v>4373</v>
      </c>
      <c r="C86" s="3052" t="s">
        <v>4288</v>
      </c>
      <c r="D86" s="3052" t="s">
        <v>4289</v>
      </c>
      <c r="E86" s="3083"/>
      <c r="F86" s="3084"/>
      <c r="G86" s="3085">
        <v>346.9</v>
      </c>
      <c r="H86" s="3085"/>
      <c r="I86" s="3054">
        <f t="shared" si="0"/>
        <v>346.9</v>
      </c>
      <c r="J86" s="3085"/>
    </row>
    <row r="87" spans="1:10" s="3055" customFormat="1" ht="31.5" hidden="1" customHeight="1" outlineLevel="2">
      <c r="A87" s="3086">
        <v>2020241</v>
      </c>
      <c r="B87" s="3087" t="s">
        <v>4374</v>
      </c>
      <c r="C87" s="3088" t="s">
        <v>4288</v>
      </c>
      <c r="D87" s="3088" t="s">
        <v>4289</v>
      </c>
      <c r="E87" s="3089"/>
      <c r="F87" s="3090"/>
      <c r="G87" s="3091">
        <v>90.25</v>
      </c>
      <c r="H87" s="3091"/>
      <c r="I87" s="3092">
        <f t="shared" si="0"/>
        <v>90.25</v>
      </c>
      <c r="J87" s="3085"/>
    </row>
    <row r="88" spans="1:10" s="3055" customFormat="1" ht="31.5" hidden="1" customHeight="1" outlineLevel="2">
      <c r="A88" s="3086">
        <v>2020242</v>
      </c>
      <c r="B88" s="3087" t="s">
        <v>4375</v>
      </c>
      <c r="C88" s="3088" t="s">
        <v>4288</v>
      </c>
      <c r="D88" s="3088" t="s">
        <v>4289</v>
      </c>
      <c r="E88" s="3089"/>
      <c r="F88" s="3090"/>
      <c r="G88" s="3091">
        <v>50</v>
      </c>
      <c r="H88" s="3091"/>
      <c r="I88" s="3092">
        <f t="shared" si="0"/>
        <v>50</v>
      </c>
      <c r="J88" s="3085"/>
    </row>
    <row r="89" spans="1:10" s="3055" customFormat="1" ht="31.5" hidden="1" customHeight="1" outlineLevel="2">
      <c r="A89" s="3086">
        <v>2020243</v>
      </c>
      <c r="B89" s="3087" t="s">
        <v>4376</v>
      </c>
      <c r="C89" s="3088" t="s">
        <v>4288</v>
      </c>
      <c r="D89" s="3088" t="s">
        <v>4289</v>
      </c>
      <c r="E89" s="3089"/>
      <c r="F89" s="3090"/>
      <c r="G89" s="3091">
        <v>50</v>
      </c>
      <c r="H89" s="3091"/>
      <c r="I89" s="3092">
        <f t="shared" si="0"/>
        <v>50</v>
      </c>
      <c r="J89" s="3085"/>
    </row>
    <row r="90" spans="1:10" s="3055" customFormat="1" ht="27.75" hidden="1" customHeight="1" outlineLevel="2">
      <c r="A90" s="3086">
        <v>2020244</v>
      </c>
      <c r="B90" s="3087" t="s">
        <v>4377</v>
      </c>
      <c r="C90" s="3088" t="s">
        <v>4288</v>
      </c>
      <c r="D90" s="3088" t="s">
        <v>4289</v>
      </c>
      <c r="E90" s="3089"/>
      <c r="F90" s="3090"/>
      <c r="G90" s="3091"/>
      <c r="H90" s="3091"/>
      <c r="I90" s="3092">
        <v>300</v>
      </c>
      <c r="J90" s="3145"/>
    </row>
    <row r="91" spans="1:10" s="3055" customFormat="1" ht="26.25" hidden="1" customHeight="1" outlineLevel="2">
      <c r="A91" s="3093">
        <v>20203</v>
      </c>
      <c r="B91" s="3094" t="s">
        <v>4378</v>
      </c>
      <c r="C91" s="3095" t="s">
        <v>4379</v>
      </c>
      <c r="D91" s="3095" t="s">
        <v>4289</v>
      </c>
      <c r="E91" s="3095"/>
      <c r="F91" s="3096"/>
      <c r="G91" s="3097">
        <v>184905.925853894</v>
      </c>
      <c r="H91" s="3098">
        <v>2.5000000000000001E-3</v>
      </c>
      <c r="I91" s="3097">
        <f>G91*H91</f>
        <v>462.26481463473505</v>
      </c>
      <c r="J91" s="3080">
        <v>38</v>
      </c>
    </row>
    <row r="92" spans="1:10" s="3055" customFormat="1" ht="21" hidden="1" customHeight="1" outlineLevel="1">
      <c r="A92" s="3072">
        <v>203</v>
      </c>
      <c r="B92" s="3073" t="s">
        <v>4380</v>
      </c>
      <c r="C92" s="3074" t="s">
        <v>4380</v>
      </c>
      <c r="D92" s="3074" t="s">
        <v>4301</v>
      </c>
      <c r="E92" s="3074"/>
      <c r="F92" s="3075"/>
      <c r="G92" s="3076"/>
      <c r="H92" s="3076"/>
      <c r="I92" s="3076">
        <f>SUM(I93:I94)</f>
        <v>1101.29</v>
      </c>
      <c r="J92" s="3076">
        <f>SUM(J93:J94)</f>
        <v>499.4</v>
      </c>
    </row>
    <row r="93" spans="1:10" s="3055" customFormat="1" ht="36.75" hidden="1" customHeight="1" outlineLevel="2">
      <c r="A93" s="3086">
        <v>20301</v>
      </c>
      <c r="B93" s="3099" t="s">
        <v>4381</v>
      </c>
      <c r="C93" s="3088" t="s">
        <v>4288</v>
      </c>
      <c r="D93" s="3088" t="s">
        <v>4289</v>
      </c>
      <c r="E93" s="3088"/>
      <c r="F93" s="3100"/>
      <c r="G93" s="3092">
        <v>42.489999999999995</v>
      </c>
      <c r="H93" s="3092"/>
      <c r="I93" s="3092">
        <f t="shared" si="0"/>
        <v>42.489999999999995</v>
      </c>
      <c r="J93" s="3054">
        <v>26.4</v>
      </c>
    </row>
    <row r="94" spans="1:10" s="3055" customFormat="1" ht="37.5" hidden="1" customHeight="1" outlineLevel="2">
      <c r="A94" s="3050">
        <v>20302</v>
      </c>
      <c r="B94" s="3051" t="s">
        <v>4382</v>
      </c>
      <c r="C94" s="3052" t="s">
        <v>4288</v>
      </c>
      <c r="D94" s="3052" t="s">
        <v>4289</v>
      </c>
      <c r="E94" s="3052"/>
      <c r="F94" s="3057"/>
      <c r="G94" s="3054">
        <v>1058.8</v>
      </c>
      <c r="H94" s="3054"/>
      <c r="I94" s="3054">
        <f t="shared" si="0"/>
        <v>1058.8</v>
      </c>
      <c r="J94" s="3054">
        <v>473</v>
      </c>
    </row>
    <row r="95" spans="1:10" s="3055" customFormat="1" ht="24.75" hidden="1" customHeight="1" outlineLevel="1">
      <c r="A95" s="3072">
        <v>204</v>
      </c>
      <c r="B95" s="3073" t="s">
        <v>4383</v>
      </c>
      <c r="C95" s="3074"/>
      <c r="D95" s="3074"/>
      <c r="E95" s="3074"/>
      <c r="F95" s="3075"/>
      <c r="G95" s="3076"/>
      <c r="H95" s="3076"/>
      <c r="I95" s="3076">
        <f>SUM(I96:I105)</f>
        <v>12839.912055000003</v>
      </c>
      <c r="J95" s="3076">
        <v>10803.726049999999</v>
      </c>
    </row>
    <row r="96" spans="1:10" s="3055" customFormat="1" ht="41.25" hidden="1" customHeight="1" outlineLevel="2">
      <c r="A96" s="3050">
        <v>20401</v>
      </c>
      <c r="B96" s="3051" t="s">
        <v>4384</v>
      </c>
      <c r="C96" s="3052" t="s">
        <v>4288</v>
      </c>
      <c r="D96" s="3052" t="s">
        <v>4289</v>
      </c>
      <c r="E96" s="3052"/>
      <c r="F96" s="3057"/>
      <c r="G96" s="3054">
        <v>8887.3263000000006</v>
      </c>
      <c r="H96" s="3054"/>
      <c r="I96" s="3054">
        <f>G96</f>
        <v>8887.3263000000006</v>
      </c>
      <c r="J96" s="3054"/>
    </row>
    <row r="97" spans="1:44" s="3049" customFormat="1" ht="28.5" hidden="1" customHeight="1" outlineLevel="2">
      <c r="A97" s="3050">
        <v>20401</v>
      </c>
      <c r="B97" s="3066" t="s">
        <v>4385</v>
      </c>
      <c r="C97" s="3052" t="s">
        <v>4288</v>
      </c>
      <c r="D97" s="3052" t="s">
        <v>4289</v>
      </c>
      <c r="E97" s="3067"/>
      <c r="F97" s="3084"/>
      <c r="G97" s="3085">
        <v>63.62</v>
      </c>
      <c r="H97" s="3085"/>
      <c r="I97" s="3054">
        <f t="shared" ref="I97:I105" si="1">G97</f>
        <v>63.62</v>
      </c>
      <c r="J97" s="3085"/>
    </row>
    <row r="98" spans="1:44" s="3049" customFormat="1" ht="42" hidden="1" customHeight="1" outlineLevel="2">
      <c r="A98" s="3050">
        <v>20401</v>
      </c>
      <c r="B98" s="3066" t="s">
        <v>4386</v>
      </c>
      <c r="C98" s="3052" t="s">
        <v>4288</v>
      </c>
      <c r="D98" s="3052" t="s">
        <v>4289</v>
      </c>
      <c r="E98" s="3067"/>
      <c r="F98" s="3084"/>
      <c r="G98" s="3085">
        <v>1781.5513000000001</v>
      </c>
      <c r="H98" s="3085"/>
      <c r="I98" s="3054">
        <f t="shared" si="1"/>
        <v>1781.5513000000001</v>
      </c>
      <c r="J98" s="3085"/>
    </row>
    <row r="99" spans="1:44" s="3049" customFormat="1" ht="39.75" hidden="1" customHeight="1" outlineLevel="2">
      <c r="A99" s="3050">
        <v>20401</v>
      </c>
      <c r="B99" s="3066" t="s">
        <v>4387</v>
      </c>
      <c r="C99" s="3052" t="s">
        <v>4288</v>
      </c>
      <c r="D99" s="3052" t="s">
        <v>4289</v>
      </c>
      <c r="E99" s="3067"/>
      <c r="F99" s="3084"/>
      <c r="G99" s="3085">
        <v>1833</v>
      </c>
      <c r="H99" s="3085"/>
      <c r="I99" s="3054">
        <f t="shared" si="1"/>
        <v>1833</v>
      </c>
      <c r="J99" s="3085"/>
    </row>
    <row r="100" spans="1:44" s="3049" customFormat="1" ht="29.25" hidden="1" customHeight="1" outlineLevel="2">
      <c r="A100" s="3050">
        <v>20401</v>
      </c>
      <c r="B100" s="3066" t="s">
        <v>4388</v>
      </c>
      <c r="C100" s="3052" t="s">
        <v>4288</v>
      </c>
      <c r="D100" s="3052" t="s">
        <v>4289</v>
      </c>
      <c r="E100" s="3067"/>
      <c r="F100" s="3084"/>
      <c r="G100" s="3085">
        <v>129.61445499999999</v>
      </c>
      <c r="H100" s="3085"/>
      <c r="I100" s="3054">
        <f t="shared" si="1"/>
        <v>129.61445499999999</v>
      </c>
      <c r="J100" s="3085"/>
    </row>
    <row r="101" spans="1:44" s="3049" customFormat="1" ht="31.5" hidden="1" customHeight="1" outlineLevel="2">
      <c r="A101" s="3050">
        <v>20401</v>
      </c>
      <c r="B101" s="3066" t="s">
        <v>4389</v>
      </c>
      <c r="C101" s="3052" t="s">
        <v>4288</v>
      </c>
      <c r="D101" s="3052" t="s">
        <v>4289</v>
      </c>
      <c r="E101" s="3067"/>
      <c r="F101" s="3084"/>
      <c r="G101" s="3085">
        <v>5</v>
      </c>
      <c r="H101" s="3085"/>
      <c r="I101" s="3054">
        <f t="shared" si="1"/>
        <v>5</v>
      </c>
      <c r="J101" s="3085"/>
    </row>
    <row r="102" spans="1:44" s="3049" customFormat="1" ht="29.25" hidden="1" customHeight="1" outlineLevel="2">
      <c r="A102" s="3050">
        <v>20401</v>
      </c>
      <c r="B102" s="3066" t="s">
        <v>4390</v>
      </c>
      <c r="C102" s="3052" t="s">
        <v>4288</v>
      </c>
      <c r="D102" s="3052" t="s">
        <v>4289</v>
      </c>
      <c r="E102" s="3067"/>
      <c r="F102" s="3084"/>
      <c r="G102" s="3085">
        <v>5</v>
      </c>
      <c r="H102" s="3085"/>
      <c r="I102" s="3054">
        <f t="shared" si="1"/>
        <v>5</v>
      </c>
      <c r="J102" s="3085"/>
    </row>
    <row r="103" spans="1:44" s="3049" customFormat="1" ht="31.5" hidden="1" customHeight="1" outlineLevel="2">
      <c r="A103" s="3050">
        <v>20401</v>
      </c>
      <c r="B103" s="3066" t="s">
        <v>4391</v>
      </c>
      <c r="C103" s="3052" t="s">
        <v>4288</v>
      </c>
      <c r="D103" s="3052" t="s">
        <v>4289</v>
      </c>
      <c r="E103" s="3067"/>
      <c r="F103" s="3084"/>
      <c r="G103" s="3085">
        <v>28</v>
      </c>
      <c r="H103" s="3085"/>
      <c r="I103" s="3054">
        <f t="shared" si="1"/>
        <v>28</v>
      </c>
      <c r="J103" s="3085"/>
    </row>
    <row r="104" spans="1:44" s="3049" customFormat="1" ht="36.75" hidden="1" customHeight="1" outlineLevel="2">
      <c r="A104" s="3050">
        <v>20401</v>
      </c>
      <c r="B104" s="3066" t="s">
        <v>4392</v>
      </c>
      <c r="C104" s="3052" t="s">
        <v>4288</v>
      </c>
      <c r="D104" s="3052" t="s">
        <v>4289</v>
      </c>
      <c r="E104" s="3067"/>
      <c r="F104" s="3084"/>
      <c r="G104" s="3085">
        <v>70</v>
      </c>
      <c r="H104" s="3085"/>
      <c r="I104" s="3054">
        <f t="shared" si="1"/>
        <v>70</v>
      </c>
      <c r="J104" s="3085"/>
    </row>
    <row r="105" spans="1:44" s="3049" customFormat="1" ht="50.25" hidden="1" customHeight="1" outlineLevel="2">
      <c r="A105" s="3050">
        <v>20401</v>
      </c>
      <c r="B105" s="3066" t="s">
        <v>4393</v>
      </c>
      <c r="C105" s="3052" t="s">
        <v>4288</v>
      </c>
      <c r="D105" s="3052" t="s">
        <v>4289</v>
      </c>
      <c r="E105" s="3067"/>
      <c r="F105" s="3084"/>
      <c r="G105" s="3085">
        <v>36.799999999999997</v>
      </c>
      <c r="H105" s="3085"/>
      <c r="I105" s="3054">
        <f t="shared" si="1"/>
        <v>36.799999999999997</v>
      </c>
      <c r="J105" s="3085"/>
    </row>
    <row r="106" spans="1:44" s="3049" customFormat="1" ht="26.25" hidden="1" customHeight="1" outlineLevel="1">
      <c r="A106" s="3072">
        <v>205</v>
      </c>
      <c r="B106" s="3073" t="s">
        <v>4394</v>
      </c>
      <c r="C106" s="3074" t="s">
        <v>4281</v>
      </c>
      <c r="D106" s="3074" t="s">
        <v>4301</v>
      </c>
      <c r="E106" s="3074"/>
      <c r="F106" s="3075"/>
      <c r="G106" s="3076"/>
      <c r="H106" s="3076"/>
      <c r="I106" s="3076">
        <f>131.6</f>
        <v>131.6</v>
      </c>
      <c r="J106" s="3076">
        <v>131.6</v>
      </c>
    </row>
    <row r="107" spans="1:44" s="3101" customFormat="1" ht="32.25" customHeight="1" collapsed="1">
      <c r="A107" s="3044" t="s">
        <v>4395</v>
      </c>
      <c r="B107" s="3045" t="s">
        <v>4396</v>
      </c>
      <c r="C107" s="3046"/>
      <c r="D107" s="3046"/>
      <c r="E107" s="3046"/>
      <c r="F107" s="3047"/>
      <c r="G107" s="3048">
        <v>0</v>
      </c>
      <c r="H107" s="3048"/>
      <c r="I107" s="3048">
        <f>I108+I124+I142+I161+I181+I203</f>
        <v>171002.43820904975</v>
      </c>
      <c r="J107" s="3048">
        <f>26576.816181+1743</f>
        <v>28319.816180999998</v>
      </c>
    </row>
    <row r="108" spans="1:44" s="3102" customFormat="1" ht="27.75" hidden="1" customHeight="1" outlineLevel="1">
      <c r="A108" s="3072">
        <v>301</v>
      </c>
      <c r="B108" s="3073" t="s">
        <v>4397</v>
      </c>
      <c r="C108" s="3074" t="s">
        <v>4281</v>
      </c>
      <c r="D108" s="3074" t="s">
        <v>4301</v>
      </c>
      <c r="E108" s="3074"/>
      <c r="F108" s="3075"/>
      <c r="G108" s="3076"/>
      <c r="H108" s="3076"/>
      <c r="I108" s="3076">
        <f>I109+I114</f>
        <v>23652.687280219223</v>
      </c>
      <c r="J108" s="3076"/>
      <c r="AR108" s="3102" t="e">
        <f>#REF!+#REF!+#REF!+#REF!+#REF!</f>
        <v>#REF!</v>
      </c>
    </row>
    <row r="109" spans="1:44" s="3103" customFormat="1" ht="24" hidden="1" customHeight="1" outlineLevel="2">
      <c r="A109" s="3077">
        <v>30101</v>
      </c>
      <c r="B109" s="3078" t="s">
        <v>4398</v>
      </c>
      <c r="C109" s="3052"/>
      <c r="D109" s="3040"/>
      <c r="E109" s="3040"/>
      <c r="F109" s="3079"/>
      <c r="G109" s="3080"/>
      <c r="H109" s="3080"/>
      <c r="I109" s="3080">
        <f>SUM(I110:I113)</f>
        <v>18089.633128050002</v>
      </c>
      <c r="J109" s="3080"/>
    </row>
    <row r="110" spans="1:44" s="3055" customFormat="1" ht="26.25" hidden="1" customHeight="1" outlineLevel="2">
      <c r="A110" s="3050">
        <v>3010101</v>
      </c>
      <c r="B110" s="3051" t="s">
        <v>4399</v>
      </c>
      <c r="C110" s="3052" t="s">
        <v>4281</v>
      </c>
      <c r="D110" s="3052" t="s">
        <v>4301</v>
      </c>
      <c r="E110" s="3052"/>
      <c r="F110" s="3057"/>
      <c r="G110" s="3054">
        <v>113422.45000000001</v>
      </c>
      <c r="H110" s="3057">
        <v>64.849999999999994</v>
      </c>
      <c r="I110" s="3054">
        <f>G110*H110/10000</f>
        <v>735.54458825000006</v>
      </c>
      <c r="J110" s="3054"/>
    </row>
    <row r="111" spans="1:44" s="3055" customFormat="1" ht="24" hidden="1" customHeight="1" outlineLevel="2">
      <c r="A111" s="3050">
        <v>3010102</v>
      </c>
      <c r="B111" s="3051" t="s">
        <v>4400</v>
      </c>
      <c r="C111" s="3052" t="s">
        <v>4281</v>
      </c>
      <c r="D111" s="3052" t="s">
        <v>4301</v>
      </c>
      <c r="E111" s="3052"/>
      <c r="F111" s="3057"/>
      <c r="G111" s="3054">
        <v>113422.45000000001</v>
      </c>
      <c r="H111" s="3054">
        <v>1055.8399999999999</v>
      </c>
      <c r="I111" s="3054">
        <f>G111*H111/10000</f>
        <v>11975.595960800001</v>
      </c>
      <c r="J111" s="3054"/>
    </row>
    <row r="112" spans="1:44" s="3049" customFormat="1" ht="23.25" hidden="1" customHeight="1" outlineLevel="2">
      <c r="A112" s="3050">
        <v>3010103</v>
      </c>
      <c r="B112" s="3051" t="s">
        <v>4401</v>
      </c>
      <c r="C112" s="3052" t="s">
        <v>4281</v>
      </c>
      <c r="D112" s="3052" t="s">
        <v>4301</v>
      </c>
      <c r="E112" s="3052"/>
      <c r="F112" s="3057"/>
      <c r="G112" s="3054">
        <v>113422.45000000001</v>
      </c>
      <c r="H112" s="3054">
        <v>262.35000000000002</v>
      </c>
      <c r="I112" s="3054">
        <f>G112*H112/10000</f>
        <v>2975.6379757500004</v>
      </c>
      <c r="J112" s="3054"/>
    </row>
    <row r="113" spans="1:43" s="3049" customFormat="1" ht="27.75" hidden="1" customHeight="1" outlineLevel="2">
      <c r="A113" s="3050">
        <v>3010104</v>
      </c>
      <c r="B113" s="3066" t="s">
        <v>4402</v>
      </c>
      <c r="C113" s="3067" t="s">
        <v>4281</v>
      </c>
      <c r="D113" s="3067" t="s">
        <v>4301</v>
      </c>
      <c r="E113" s="3067"/>
      <c r="F113" s="3068"/>
      <c r="G113" s="3054">
        <v>113422.45000000001</v>
      </c>
      <c r="H113" s="3054">
        <v>211.85</v>
      </c>
      <c r="I113" s="3054">
        <f>G113*H113/10000</f>
        <v>2402.8546032500003</v>
      </c>
      <c r="J113" s="3054"/>
      <c r="AQ113" s="3055"/>
    </row>
    <row r="114" spans="1:43" s="3102" customFormat="1" ht="23.25" hidden="1" customHeight="1" outlineLevel="2">
      <c r="A114" s="3077">
        <v>30102</v>
      </c>
      <c r="B114" s="3078" t="s">
        <v>4403</v>
      </c>
      <c r="C114" s="3040"/>
      <c r="D114" s="3040" t="s">
        <v>4301</v>
      </c>
      <c r="E114" s="3040"/>
      <c r="F114" s="3079"/>
      <c r="G114" s="3054"/>
      <c r="H114" s="3080"/>
      <c r="I114" s="3080">
        <f>SUM(I115:I123)</f>
        <v>5563.0541521692203</v>
      </c>
      <c r="J114" s="3080"/>
      <c r="AQ114" s="3103"/>
    </row>
    <row r="115" spans="1:43" s="3049" customFormat="1" ht="26.25" hidden="1" customHeight="1" outlineLevel="2">
      <c r="A115" s="3050">
        <v>3010201</v>
      </c>
      <c r="B115" s="3066" t="s">
        <v>4404</v>
      </c>
      <c r="C115" s="3067" t="s">
        <v>4281</v>
      </c>
      <c r="D115" s="3067" t="s">
        <v>4301</v>
      </c>
      <c r="E115" s="3067"/>
      <c r="F115" s="3068"/>
      <c r="G115" s="3054">
        <v>113422.45000000001</v>
      </c>
      <c r="H115" s="3054">
        <v>45.467591570109221</v>
      </c>
      <c r="I115" s="3054">
        <f t="shared" ref="I115:I122" si="2">G115*H115/10000</f>
        <v>515.70456314811349</v>
      </c>
      <c r="J115" s="3054"/>
      <c r="AQ115" s="3055"/>
    </row>
    <row r="116" spans="1:43" s="3049" customFormat="1" ht="18" hidden="1" customHeight="1" outlineLevel="2">
      <c r="A116" s="3050">
        <v>3010202</v>
      </c>
      <c r="B116" s="3066" t="s">
        <v>4405</v>
      </c>
      <c r="C116" s="3067" t="s">
        <v>4281</v>
      </c>
      <c r="D116" s="3067" t="s">
        <v>4301</v>
      </c>
      <c r="E116" s="3067"/>
      <c r="F116" s="3068"/>
      <c r="G116" s="3054">
        <v>113422.45000000001</v>
      </c>
      <c r="H116" s="3054">
        <v>17.072891608170575</v>
      </c>
      <c r="I116" s="3054">
        <f t="shared" si="2"/>
        <v>193.6449194783147</v>
      </c>
      <c r="J116" s="3054"/>
      <c r="AQ116" s="3055"/>
    </row>
    <row r="117" spans="1:43" s="3049" customFormat="1" ht="18" hidden="1" customHeight="1" outlineLevel="2">
      <c r="A117" s="3050">
        <v>3010203</v>
      </c>
      <c r="B117" s="3066" t="s">
        <v>4406</v>
      </c>
      <c r="C117" s="3067" t="s">
        <v>4281</v>
      </c>
      <c r="D117" s="3067" t="s">
        <v>4301</v>
      </c>
      <c r="E117" s="3067"/>
      <c r="F117" s="3068"/>
      <c r="G117" s="3054">
        <v>113422.45000000001</v>
      </c>
      <c r="H117" s="3054">
        <v>56.494229096954726</v>
      </c>
      <c r="I117" s="3054">
        <f t="shared" si="2"/>
        <v>640.77138750378936</v>
      </c>
      <c r="J117" s="3054"/>
      <c r="AQ117" s="3055"/>
    </row>
    <row r="118" spans="1:43" s="3049" customFormat="1" ht="18" hidden="1" customHeight="1" outlineLevel="2">
      <c r="A118" s="3050">
        <v>3010204</v>
      </c>
      <c r="B118" s="3051" t="s">
        <v>4407</v>
      </c>
      <c r="C118" s="3067" t="s">
        <v>4281</v>
      </c>
      <c r="D118" s="3067" t="s">
        <v>4301</v>
      </c>
      <c r="E118" s="3067"/>
      <c r="F118" s="3057"/>
      <c r="G118" s="3054">
        <v>113422.45000000001</v>
      </c>
      <c r="H118" s="3054">
        <v>34.859048509107581</v>
      </c>
      <c r="I118" s="3054">
        <f t="shared" si="2"/>
        <v>395.37986865718295</v>
      </c>
      <c r="J118" s="3054"/>
    </row>
    <row r="119" spans="1:43" s="3049" customFormat="1" ht="18" hidden="1" customHeight="1" outlineLevel="2">
      <c r="A119" s="3050">
        <v>3010205</v>
      </c>
      <c r="B119" s="3066" t="s">
        <v>4408</v>
      </c>
      <c r="C119" s="3067" t="s">
        <v>4281</v>
      </c>
      <c r="D119" s="3067" t="s">
        <v>4301</v>
      </c>
      <c r="E119" s="3067"/>
      <c r="F119" s="3068"/>
      <c r="G119" s="3054">
        <v>113422.45000000001</v>
      </c>
      <c r="H119" s="3054">
        <v>81.558288811590614</v>
      </c>
      <c r="I119" s="3054">
        <f t="shared" si="2"/>
        <v>925.05409348181968</v>
      </c>
      <c r="J119" s="3054"/>
    </row>
    <row r="120" spans="1:43" s="3049" customFormat="1" ht="18" hidden="1" customHeight="1" outlineLevel="2">
      <c r="A120" s="3050">
        <v>3010206</v>
      </c>
      <c r="B120" s="3066" t="s">
        <v>4409</v>
      </c>
      <c r="C120" s="3067" t="s">
        <v>4281</v>
      </c>
      <c r="D120" s="3067" t="s">
        <v>4301</v>
      </c>
      <c r="E120" s="3067"/>
      <c r="F120" s="3068"/>
      <c r="G120" s="3054">
        <v>113422.45000000001</v>
      </c>
      <c r="H120" s="3054">
        <v>45.3</v>
      </c>
      <c r="I120" s="3054">
        <f>G120*H120/10000</f>
        <v>513.8036985</v>
      </c>
      <c r="J120" s="3054"/>
    </row>
    <row r="121" spans="1:43" s="3055" customFormat="1" ht="18" hidden="1" customHeight="1" outlineLevel="2">
      <c r="A121" s="3050">
        <v>3010207</v>
      </c>
      <c r="B121" s="3051" t="s">
        <v>4410</v>
      </c>
      <c r="C121" s="3067" t="s">
        <v>4281</v>
      </c>
      <c r="D121" s="3067" t="s">
        <v>4301</v>
      </c>
      <c r="E121" s="3067"/>
      <c r="F121" s="3057"/>
      <c r="G121" s="3054">
        <v>113422.45000000001</v>
      </c>
      <c r="H121" s="3054">
        <v>50.45</v>
      </c>
      <c r="I121" s="3054">
        <f>G121*H121/10000</f>
        <v>572.21626025000012</v>
      </c>
      <c r="J121" s="3054"/>
    </row>
    <row r="122" spans="1:43" s="3049" customFormat="1" ht="18" hidden="1" customHeight="1" outlineLevel="2">
      <c r="A122" s="3050">
        <v>3010208</v>
      </c>
      <c r="B122" s="3051" t="s">
        <v>4411</v>
      </c>
      <c r="C122" s="3067" t="s">
        <v>4281</v>
      </c>
      <c r="D122" s="3067" t="s">
        <v>4301</v>
      </c>
      <c r="E122" s="3067"/>
      <c r="F122" s="3068"/>
      <c r="G122" s="3054">
        <v>113422.45000000001</v>
      </c>
      <c r="H122" s="3054">
        <v>44.67</v>
      </c>
      <c r="I122" s="3054">
        <f t="shared" si="2"/>
        <v>506.65808415000009</v>
      </c>
      <c r="J122" s="3054"/>
    </row>
    <row r="123" spans="1:43" s="3103" customFormat="1" ht="25.5" hidden="1" customHeight="1" outlineLevel="2">
      <c r="A123" s="3050">
        <v>3010209</v>
      </c>
      <c r="B123" s="3051" t="s">
        <v>4412</v>
      </c>
      <c r="C123" s="3067" t="s">
        <v>4281</v>
      </c>
      <c r="D123" s="3067" t="s">
        <v>4301</v>
      </c>
      <c r="E123" s="3104"/>
      <c r="F123" s="3079"/>
      <c r="G123" s="3054">
        <v>113422.45000000001</v>
      </c>
      <c r="H123" s="3054">
        <v>114.6</v>
      </c>
      <c r="I123" s="3054">
        <f>G123*H123/10000</f>
        <v>1299.8212770000002</v>
      </c>
      <c r="J123" s="3080"/>
    </row>
    <row r="124" spans="1:43" s="3102" customFormat="1" ht="25.5" hidden="1" customHeight="1" outlineLevel="1">
      <c r="A124" s="3072">
        <v>302</v>
      </c>
      <c r="B124" s="3073" t="s">
        <v>4413</v>
      </c>
      <c r="C124" s="3074" t="s">
        <v>4281</v>
      </c>
      <c r="D124" s="3074" t="s">
        <v>4301</v>
      </c>
      <c r="E124" s="3074"/>
      <c r="F124" s="3075"/>
      <c r="G124" s="3076"/>
      <c r="H124" s="3076"/>
      <c r="I124" s="3076">
        <f>I125+I132</f>
        <v>19308.180389866167</v>
      </c>
      <c r="J124" s="3076"/>
    </row>
    <row r="125" spans="1:43" s="3103" customFormat="1" ht="24.75" hidden="1" customHeight="1" outlineLevel="2">
      <c r="A125" s="3077">
        <v>30201</v>
      </c>
      <c r="B125" s="3078" t="s">
        <v>4414</v>
      </c>
      <c r="C125" s="3040"/>
      <c r="D125" s="3040" t="s">
        <v>4301</v>
      </c>
      <c r="E125" s="3040"/>
      <c r="F125" s="3079"/>
      <c r="G125" s="3080"/>
      <c r="H125" s="3080"/>
      <c r="I125" s="3080">
        <f>SUM(I126:I131)</f>
        <v>13932.06929180611</v>
      </c>
      <c r="J125" s="3080"/>
    </row>
    <row r="126" spans="1:43" s="3055" customFormat="1" ht="24" hidden="1" customHeight="1" outlineLevel="2">
      <c r="A126" s="3050">
        <v>3020101</v>
      </c>
      <c r="B126" s="3051" t="s">
        <v>4399</v>
      </c>
      <c r="C126" s="3052" t="s">
        <v>4281</v>
      </c>
      <c r="D126" s="3052" t="s">
        <v>4301</v>
      </c>
      <c r="E126" s="3052"/>
      <c r="F126" s="3057"/>
      <c r="G126" s="3054">
        <v>42802.85</v>
      </c>
      <c r="H126" s="3057">
        <v>64.849999999999994</v>
      </c>
      <c r="I126" s="3054">
        <f>G126*H126/10000</f>
        <v>277.57648224999997</v>
      </c>
      <c r="J126" s="3054"/>
    </row>
    <row r="127" spans="1:43" s="3055" customFormat="1" ht="24" hidden="1" customHeight="1" outlineLevel="2">
      <c r="A127" s="3050">
        <v>3020102</v>
      </c>
      <c r="B127" s="3051" t="s">
        <v>4400</v>
      </c>
      <c r="C127" s="3052" t="s">
        <v>4281</v>
      </c>
      <c r="D127" s="3052" t="s">
        <v>4301</v>
      </c>
      <c r="E127" s="3052"/>
      <c r="F127" s="3057"/>
      <c r="G127" s="3054">
        <v>42802.85</v>
      </c>
      <c r="H127" s="3054">
        <v>1494.2429200000001</v>
      </c>
      <c r="I127" s="3054">
        <f>G127*H127/10000</f>
        <v>6395.7855568322002</v>
      </c>
      <c r="J127" s="3054"/>
    </row>
    <row r="128" spans="1:43" s="3049" customFormat="1" ht="24" hidden="1" customHeight="1" outlineLevel="2">
      <c r="A128" s="3050">
        <v>3020103</v>
      </c>
      <c r="B128" s="3051" t="s">
        <v>4401</v>
      </c>
      <c r="C128" s="3052" t="s">
        <v>4281</v>
      </c>
      <c r="D128" s="3052" t="s">
        <v>4301</v>
      </c>
      <c r="E128" s="3052"/>
      <c r="F128" s="3057"/>
      <c r="G128" s="3054">
        <v>42802.85</v>
      </c>
      <c r="H128" s="3054">
        <v>750.34892600000012</v>
      </c>
      <c r="I128" s="3054">
        <f>G128*H128/10000</f>
        <v>3211.7072527239102</v>
      </c>
      <c r="J128" s="3054"/>
    </row>
    <row r="129" spans="1:43" s="3055" customFormat="1" ht="24" hidden="1" customHeight="1" outlineLevel="2">
      <c r="A129" s="3050">
        <v>3020104</v>
      </c>
      <c r="B129" s="3066" t="s">
        <v>4415</v>
      </c>
      <c r="C129" s="3067"/>
      <c r="D129" s="3067"/>
      <c r="E129" s="3067"/>
      <c r="F129" s="3068"/>
      <c r="G129" s="3054"/>
      <c r="H129" s="3054"/>
      <c r="I129" s="3054"/>
      <c r="J129" s="3054"/>
    </row>
    <row r="130" spans="1:43" s="3055" customFormat="1" ht="21.75" hidden="1" customHeight="1" outlineLevel="2">
      <c r="A130" s="3105" t="s">
        <v>4416</v>
      </c>
      <c r="B130" s="3106" t="s">
        <v>4417</v>
      </c>
      <c r="C130" s="3067" t="s">
        <v>4418</v>
      </c>
      <c r="D130" s="3067" t="s">
        <v>4301</v>
      </c>
      <c r="E130" s="3067"/>
      <c r="F130" s="3068"/>
      <c r="G130" s="3054">
        <v>15580</v>
      </c>
      <c r="H130" s="3085">
        <v>1500</v>
      </c>
      <c r="I130" s="3054">
        <f>G130*H130/10000</f>
        <v>2337</v>
      </c>
      <c r="J130" s="3054"/>
    </row>
    <row r="131" spans="1:43" s="3055" customFormat="1" ht="24" hidden="1" customHeight="1" outlineLevel="2">
      <c r="A131" s="3105" t="s">
        <v>4419</v>
      </c>
      <c r="B131" s="3106" t="s">
        <v>4420</v>
      </c>
      <c r="C131" s="3067" t="s">
        <v>4418</v>
      </c>
      <c r="D131" s="3067" t="s">
        <v>4301</v>
      </c>
      <c r="E131" s="3067"/>
      <c r="F131" s="3068"/>
      <c r="G131" s="3054">
        <v>11400</v>
      </c>
      <c r="H131" s="3054">
        <v>1500</v>
      </c>
      <c r="I131" s="3054">
        <f>G131*H131/10000</f>
        <v>1710</v>
      </c>
      <c r="J131" s="3054"/>
    </row>
    <row r="132" spans="1:43" s="3049" customFormat="1" ht="23.25" hidden="1" customHeight="1" outlineLevel="2">
      <c r="A132" s="3077">
        <v>30202</v>
      </c>
      <c r="B132" s="3078" t="s">
        <v>4403</v>
      </c>
      <c r="C132" s="3040"/>
      <c r="D132" s="3040"/>
      <c r="E132" s="3040"/>
      <c r="F132" s="3079"/>
      <c r="G132" s="3080"/>
      <c r="H132" s="3080"/>
      <c r="I132" s="3080">
        <f>SUM(I133:I141)</f>
        <v>5376.1110980600552</v>
      </c>
      <c r="J132" s="3080"/>
      <c r="AQ132" s="3055"/>
    </row>
    <row r="133" spans="1:43" s="3049" customFormat="1" ht="26.25" hidden="1" customHeight="1" outlineLevel="2">
      <c r="A133" s="3050">
        <v>3010201</v>
      </c>
      <c r="B133" s="3066" t="s">
        <v>4404</v>
      </c>
      <c r="C133" s="3067" t="s">
        <v>4281</v>
      </c>
      <c r="D133" s="3067" t="s">
        <v>4301</v>
      </c>
      <c r="E133" s="3067"/>
      <c r="F133" s="3068"/>
      <c r="G133" s="3054">
        <v>42802.85</v>
      </c>
      <c r="H133" s="3054">
        <v>55.780606943438549</v>
      </c>
      <c r="I133" s="3054">
        <f t="shared" ref="I133:I141" si="3">G133*H133/10000</f>
        <v>238.75689519089588</v>
      </c>
      <c r="J133" s="3054"/>
      <c r="AQ133" s="3055"/>
    </row>
    <row r="134" spans="1:43" s="3049" customFormat="1" ht="18" hidden="1" customHeight="1" outlineLevel="2">
      <c r="A134" s="3050">
        <v>3010202</v>
      </c>
      <c r="B134" s="3066" t="s">
        <v>4405</v>
      </c>
      <c r="C134" s="3067" t="s">
        <v>4281</v>
      </c>
      <c r="D134" s="3067" t="s">
        <v>4301</v>
      </c>
      <c r="E134" s="3067"/>
      <c r="F134" s="3068"/>
      <c r="G134" s="3054">
        <v>42802.85</v>
      </c>
      <c r="H134" s="3054">
        <v>4.9917927007299268</v>
      </c>
      <c r="I134" s="3054">
        <f t="shared" si="3"/>
        <v>21.366295420043794</v>
      </c>
      <c r="J134" s="3054"/>
      <c r="AQ134" s="3055"/>
    </row>
    <row r="135" spans="1:43" s="3049" customFormat="1" ht="18" hidden="1" customHeight="1" outlineLevel="2">
      <c r="A135" s="3050">
        <v>3010203</v>
      </c>
      <c r="B135" s="3066" t="s">
        <v>4406</v>
      </c>
      <c r="C135" s="3067" t="s">
        <v>4281</v>
      </c>
      <c r="D135" s="3067" t="s">
        <v>4301</v>
      </c>
      <c r="E135" s="3067"/>
      <c r="F135" s="3068"/>
      <c r="G135" s="3054">
        <v>42802.85</v>
      </c>
      <c r="H135" s="3054">
        <v>78.085826573733613</v>
      </c>
      <c r="I135" s="3054">
        <f t="shared" si="3"/>
        <v>334.22959219615336</v>
      </c>
      <c r="J135" s="3054"/>
      <c r="AQ135" s="3055"/>
    </row>
    <row r="136" spans="1:43" s="3049" customFormat="1" ht="18" hidden="1" customHeight="1" outlineLevel="2">
      <c r="A136" s="3050">
        <v>3010204</v>
      </c>
      <c r="B136" s="3051" t="s">
        <v>4407</v>
      </c>
      <c r="C136" s="3067" t="s">
        <v>4281</v>
      </c>
      <c r="D136" s="3067" t="s">
        <v>4301</v>
      </c>
      <c r="E136" s="3067"/>
      <c r="F136" s="3057"/>
      <c r="G136" s="3054">
        <v>42802.85</v>
      </c>
      <c r="H136" s="3054">
        <v>342.28143195214312</v>
      </c>
      <c r="I136" s="3054">
        <f t="shared" si="3"/>
        <v>1465.0620789632787</v>
      </c>
      <c r="J136" s="3054"/>
    </row>
    <row r="137" spans="1:43" s="3049" customFormat="1" ht="18" hidden="1" customHeight="1" outlineLevel="2">
      <c r="A137" s="3050">
        <v>3010205</v>
      </c>
      <c r="B137" s="3066" t="s">
        <v>4408</v>
      </c>
      <c r="C137" s="3067" t="s">
        <v>4281</v>
      </c>
      <c r="D137" s="3067" t="s">
        <v>4301</v>
      </c>
      <c r="E137" s="3067"/>
      <c r="F137" s="3068"/>
      <c r="G137" s="3054">
        <v>42802.85</v>
      </c>
      <c r="H137" s="3054">
        <v>112.25013832391197</v>
      </c>
      <c r="I137" s="3054">
        <f t="shared" si="3"/>
        <v>480.46258331576547</v>
      </c>
      <c r="J137" s="3054"/>
    </row>
    <row r="138" spans="1:43" s="3049" customFormat="1" ht="18" hidden="1" customHeight="1" outlineLevel="2">
      <c r="A138" s="3050">
        <v>3010206</v>
      </c>
      <c r="B138" s="3066" t="s">
        <v>4409</v>
      </c>
      <c r="C138" s="3067" t="s">
        <v>4281</v>
      </c>
      <c r="D138" s="3067" t="s">
        <v>4301</v>
      </c>
      <c r="E138" s="3067"/>
      <c r="F138" s="3068"/>
      <c r="G138" s="3054">
        <v>42802.85</v>
      </c>
      <c r="H138" s="3054">
        <v>89.88482516876131</v>
      </c>
      <c r="I138" s="3054">
        <f t="shared" si="3"/>
        <v>384.73266889747146</v>
      </c>
      <c r="J138" s="3054"/>
    </row>
    <row r="139" spans="1:43" s="3055" customFormat="1" ht="18" hidden="1" customHeight="1" outlineLevel="2">
      <c r="A139" s="3050">
        <v>3010207</v>
      </c>
      <c r="B139" s="3051" t="s">
        <v>4410</v>
      </c>
      <c r="C139" s="3067" t="s">
        <v>4281</v>
      </c>
      <c r="D139" s="3067" t="s">
        <v>4301</v>
      </c>
      <c r="E139" s="3067"/>
      <c r="F139" s="3057"/>
      <c r="G139" s="3054">
        <v>42802.85</v>
      </c>
      <c r="H139" s="3054">
        <v>104.91866124801052</v>
      </c>
      <c r="I139" s="3054">
        <f t="shared" si="3"/>
        <v>449.08177195994074</v>
      </c>
      <c r="J139" s="3054"/>
    </row>
    <row r="140" spans="1:43" s="3049" customFormat="1" ht="18" hidden="1" customHeight="1" outlineLevel="2">
      <c r="A140" s="3050">
        <v>3010208</v>
      </c>
      <c r="B140" s="3051" t="s">
        <v>4411</v>
      </c>
      <c r="C140" s="3067" t="s">
        <v>4281</v>
      </c>
      <c r="D140" s="3067" t="s">
        <v>4301</v>
      </c>
      <c r="E140" s="3067"/>
      <c r="F140" s="3068"/>
      <c r="G140" s="3054">
        <v>42802.85</v>
      </c>
      <c r="H140" s="3054">
        <v>44.67</v>
      </c>
      <c r="I140" s="3054">
        <f t="shared" si="3"/>
        <v>191.20033094999999</v>
      </c>
      <c r="J140" s="3054"/>
    </row>
    <row r="141" spans="1:43" s="3103" customFormat="1" ht="25.5" hidden="1" customHeight="1" outlineLevel="2">
      <c r="A141" s="3050">
        <v>3010209</v>
      </c>
      <c r="B141" s="3051" t="s">
        <v>4412</v>
      </c>
      <c r="C141" s="3067" t="s">
        <v>4281</v>
      </c>
      <c r="D141" s="3067" t="s">
        <v>4301</v>
      </c>
      <c r="E141" s="3104"/>
      <c r="F141" s="3079"/>
      <c r="G141" s="3054">
        <v>42802.85</v>
      </c>
      <c r="H141" s="3054">
        <v>423.15380428324403</v>
      </c>
      <c r="I141" s="3054">
        <f t="shared" si="3"/>
        <v>1811.2188811665051</v>
      </c>
      <c r="J141" s="3080"/>
    </row>
    <row r="142" spans="1:43" s="3055" customFormat="1" ht="26.25" hidden="1" customHeight="1" outlineLevel="1">
      <c r="A142" s="3072">
        <v>303</v>
      </c>
      <c r="B142" s="3073" t="s">
        <v>4421</v>
      </c>
      <c r="C142" s="3074" t="s">
        <v>4281</v>
      </c>
      <c r="D142" s="3074" t="s">
        <v>4301</v>
      </c>
      <c r="E142" s="3074"/>
      <c r="F142" s="3075"/>
      <c r="G142" s="3076"/>
      <c r="H142" s="3076"/>
      <c r="I142" s="3076">
        <f>I143+I151</f>
        <v>26519.576037610394</v>
      </c>
      <c r="J142" s="3076"/>
    </row>
    <row r="143" spans="1:43" s="3103" customFormat="1" ht="24.75" hidden="1" customHeight="1" outlineLevel="2">
      <c r="A143" s="3077">
        <v>30301</v>
      </c>
      <c r="B143" s="3078" t="s">
        <v>4422</v>
      </c>
      <c r="C143" s="3040"/>
      <c r="D143" s="3040" t="s">
        <v>4301</v>
      </c>
      <c r="E143" s="3040"/>
      <c r="F143" s="3079"/>
      <c r="G143" s="3080"/>
      <c r="H143" s="3080"/>
      <c r="I143" s="3080">
        <f>SUM(I144:I150)</f>
        <v>19898.196578910869</v>
      </c>
      <c r="J143" s="3080"/>
    </row>
    <row r="144" spans="1:43" s="3055" customFormat="1" ht="24" hidden="1" customHeight="1" outlineLevel="2">
      <c r="A144" s="3050">
        <v>3030101</v>
      </c>
      <c r="B144" s="3051" t="s">
        <v>4399</v>
      </c>
      <c r="C144" s="3052" t="s">
        <v>4281</v>
      </c>
      <c r="D144" s="3052" t="s">
        <v>4301</v>
      </c>
      <c r="E144" s="3052"/>
      <c r="F144" s="3057"/>
      <c r="G144" s="3054">
        <v>48303.13</v>
      </c>
      <c r="H144" s="3057">
        <v>64.849999999999994</v>
      </c>
      <c r="I144" s="3054">
        <f>G144*H144/10000</f>
        <v>313.24579804999996</v>
      </c>
      <c r="J144" s="3054"/>
    </row>
    <row r="145" spans="1:43" s="3055" customFormat="1" ht="24" hidden="1" customHeight="1" outlineLevel="2">
      <c r="A145" s="3050">
        <v>3030102</v>
      </c>
      <c r="B145" s="3051" t="s">
        <v>4400</v>
      </c>
      <c r="C145" s="3052" t="s">
        <v>4281</v>
      </c>
      <c r="D145" s="3052" t="s">
        <v>4301</v>
      </c>
      <c r="E145" s="3052"/>
      <c r="F145" s="3057"/>
      <c r="G145" s="3054">
        <v>48303.13</v>
      </c>
      <c r="H145" s="3054">
        <v>1429.6741618793526</v>
      </c>
      <c r="I145" s="3054">
        <f>G145*H145/10000</f>
        <v>6905.7736898899402</v>
      </c>
      <c r="J145" s="3054"/>
    </row>
    <row r="146" spans="1:43" s="3049" customFormat="1" ht="24" hidden="1" customHeight="1" outlineLevel="2">
      <c r="A146" s="3050">
        <v>3030103</v>
      </c>
      <c r="B146" s="3051" t="s">
        <v>4401</v>
      </c>
      <c r="C146" s="3052" t="s">
        <v>4281</v>
      </c>
      <c r="D146" s="3052" t="s">
        <v>4301</v>
      </c>
      <c r="E146" s="3052"/>
      <c r="F146" s="3057"/>
      <c r="G146" s="3054">
        <v>48303.13</v>
      </c>
      <c r="H146" s="3054">
        <v>561.26763805115274</v>
      </c>
      <c r="I146" s="3054">
        <f>G146*H146/10000</f>
        <v>2711.0983685577776</v>
      </c>
      <c r="J146" s="3054"/>
    </row>
    <row r="147" spans="1:43" s="3049" customFormat="1" ht="24" hidden="1" customHeight="1" outlineLevel="2">
      <c r="A147" s="3050">
        <v>3030104</v>
      </c>
      <c r="B147" s="3051" t="s">
        <v>4423</v>
      </c>
      <c r="C147" s="3052" t="s">
        <v>4281</v>
      </c>
      <c r="D147" s="3052" t="s">
        <v>4301</v>
      </c>
      <c r="E147" s="3052"/>
      <c r="F147" s="3057"/>
      <c r="G147" s="3054">
        <v>48303.13</v>
      </c>
      <c r="H147" s="3057">
        <v>696.65852345658573</v>
      </c>
      <c r="I147" s="3054">
        <f>G147*H147/10000</f>
        <v>3365.0787224131509</v>
      </c>
      <c r="J147" s="3054"/>
    </row>
    <row r="148" spans="1:43" s="3055" customFormat="1" ht="24" hidden="1" customHeight="1" outlineLevel="2">
      <c r="A148" s="3050">
        <v>3030105</v>
      </c>
      <c r="B148" s="3066" t="s">
        <v>4415</v>
      </c>
      <c r="C148" s="3067"/>
      <c r="D148" s="3067"/>
      <c r="E148" s="3067"/>
      <c r="F148" s="3068"/>
      <c r="G148" s="3054"/>
      <c r="H148" s="3054"/>
      <c r="I148" s="3054"/>
      <c r="J148" s="3054"/>
    </row>
    <row r="149" spans="1:43" s="3055" customFormat="1" ht="21.75" hidden="1" customHeight="1" outlineLevel="2">
      <c r="A149" s="3105" t="s">
        <v>4416</v>
      </c>
      <c r="B149" s="3106" t="s">
        <v>4417</v>
      </c>
      <c r="C149" s="3067" t="s">
        <v>4418</v>
      </c>
      <c r="D149" s="3067" t="s">
        <v>4301</v>
      </c>
      <c r="E149" s="3067"/>
      <c r="F149" s="3068"/>
      <c r="G149" s="3054">
        <v>25420</v>
      </c>
      <c r="H149" s="3085">
        <v>1500</v>
      </c>
      <c r="I149" s="3054">
        <f>G149*H149/10000</f>
        <v>3813</v>
      </c>
      <c r="J149" s="3054"/>
    </row>
    <row r="150" spans="1:43" s="3055" customFormat="1" ht="24" hidden="1" customHeight="1" outlineLevel="2">
      <c r="A150" s="3105" t="s">
        <v>4419</v>
      </c>
      <c r="B150" s="3106" t="s">
        <v>4420</v>
      </c>
      <c r="C150" s="3067" t="s">
        <v>4418</v>
      </c>
      <c r="D150" s="3067" t="s">
        <v>4301</v>
      </c>
      <c r="E150" s="3067"/>
      <c r="F150" s="3068"/>
      <c r="G150" s="3054">
        <v>18600</v>
      </c>
      <c r="H150" s="3054">
        <v>1500</v>
      </c>
      <c r="I150" s="3054">
        <f>G150*H150/10000</f>
        <v>2790</v>
      </c>
      <c r="J150" s="3054"/>
    </row>
    <row r="151" spans="1:43" s="3049" customFormat="1" ht="23.25" hidden="1" customHeight="1" outlineLevel="2">
      <c r="A151" s="3077">
        <v>30202</v>
      </c>
      <c r="B151" s="3078" t="s">
        <v>4403</v>
      </c>
      <c r="C151" s="3040"/>
      <c r="D151" s="3040"/>
      <c r="E151" s="3040"/>
      <c r="F151" s="3079"/>
      <c r="G151" s="3080"/>
      <c r="H151" s="3080"/>
      <c r="I151" s="3080">
        <f>SUM(I152:I160)</f>
        <v>6621.3794586995227</v>
      </c>
      <c r="J151" s="3080"/>
      <c r="AQ151" s="3055"/>
    </row>
    <row r="152" spans="1:43" s="3049" customFormat="1" ht="26.25" hidden="1" customHeight="1" outlineLevel="2">
      <c r="A152" s="3050">
        <v>3010201</v>
      </c>
      <c r="B152" s="3066" t="s">
        <v>4404</v>
      </c>
      <c r="C152" s="3067" t="s">
        <v>4281</v>
      </c>
      <c r="D152" s="3067" t="s">
        <v>4301</v>
      </c>
      <c r="E152" s="3067"/>
      <c r="F152" s="3068"/>
      <c r="G152" s="3054">
        <v>48303.13</v>
      </c>
      <c r="H152" s="3054">
        <v>55.780606943438535</v>
      </c>
      <c r="I152" s="3054">
        <f t="shared" ref="I152:I160" si="4">G152*H152/10000</f>
        <v>269.43779086678143</v>
      </c>
      <c r="J152" s="3054"/>
      <c r="AQ152" s="3055"/>
    </row>
    <row r="153" spans="1:43" s="3049" customFormat="1" ht="18" hidden="1" customHeight="1" outlineLevel="2">
      <c r="A153" s="3050">
        <v>3010202</v>
      </c>
      <c r="B153" s="3066" t="s">
        <v>4405</v>
      </c>
      <c r="C153" s="3067" t="s">
        <v>4281</v>
      </c>
      <c r="D153" s="3067" t="s">
        <v>4301</v>
      </c>
      <c r="E153" s="3067"/>
      <c r="F153" s="3068"/>
      <c r="G153" s="3054">
        <v>48303.13</v>
      </c>
      <c r="H153" s="3054">
        <v>4.9917927007299268</v>
      </c>
      <c r="I153" s="3054">
        <f t="shared" si="4"/>
        <v>24.111921175640873</v>
      </c>
      <c r="J153" s="3054"/>
      <c r="AQ153" s="3055"/>
    </row>
    <row r="154" spans="1:43" s="3049" customFormat="1" ht="18" hidden="1" customHeight="1" outlineLevel="2">
      <c r="A154" s="3050">
        <v>3010203</v>
      </c>
      <c r="B154" s="3066" t="s">
        <v>4406</v>
      </c>
      <c r="C154" s="3067" t="s">
        <v>4281</v>
      </c>
      <c r="D154" s="3067" t="s">
        <v>4301</v>
      </c>
      <c r="E154" s="3067"/>
      <c r="F154" s="3068"/>
      <c r="G154" s="3054">
        <v>48303.13</v>
      </c>
      <c r="H154" s="3054">
        <v>78.085826573733613</v>
      </c>
      <c r="I154" s="3054">
        <f t="shared" si="4"/>
        <v>377.17898321485092</v>
      </c>
      <c r="J154" s="3054"/>
      <c r="AQ154" s="3055"/>
    </row>
    <row r="155" spans="1:43" s="3049" customFormat="1" ht="18" hidden="1" customHeight="1" outlineLevel="2">
      <c r="A155" s="3050">
        <v>3010204</v>
      </c>
      <c r="B155" s="3051" t="s">
        <v>4407</v>
      </c>
      <c r="C155" s="3067" t="s">
        <v>4281</v>
      </c>
      <c r="D155" s="3067" t="s">
        <v>4301</v>
      </c>
      <c r="E155" s="3067"/>
      <c r="F155" s="3057"/>
      <c r="G155" s="3054">
        <v>48303.13</v>
      </c>
      <c r="H155" s="3054">
        <v>342.28143195214312</v>
      </c>
      <c r="I155" s="3054">
        <f t="shared" si="4"/>
        <v>1653.3264504170522</v>
      </c>
      <c r="J155" s="3054"/>
    </row>
    <row r="156" spans="1:43" s="3049" customFormat="1" ht="18" hidden="1" customHeight="1" outlineLevel="2">
      <c r="A156" s="3050">
        <v>3010205</v>
      </c>
      <c r="B156" s="3066" t="s">
        <v>4408</v>
      </c>
      <c r="C156" s="3067" t="s">
        <v>4281</v>
      </c>
      <c r="D156" s="3067" t="s">
        <v>4301</v>
      </c>
      <c r="E156" s="3067"/>
      <c r="F156" s="3068"/>
      <c r="G156" s="3054">
        <v>48303.13</v>
      </c>
      <c r="H156" s="3054">
        <v>112.25013832391198</v>
      </c>
      <c r="I156" s="3054">
        <f t="shared" si="4"/>
        <v>542.20330239779025</v>
      </c>
      <c r="J156" s="3054"/>
    </row>
    <row r="157" spans="1:43" s="3049" customFormat="1" ht="18" hidden="1" customHeight="1" outlineLevel="2">
      <c r="A157" s="3050">
        <v>3010206</v>
      </c>
      <c r="B157" s="3066" t="s">
        <v>4409</v>
      </c>
      <c r="C157" s="3067" t="s">
        <v>4281</v>
      </c>
      <c r="D157" s="3067" t="s">
        <v>4301</v>
      </c>
      <c r="E157" s="3067"/>
      <c r="F157" s="3068"/>
      <c r="G157" s="3054">
        <v>48303.13</v>
      </c>
      <c r="H157" s="3054">
        <v>89.884825168761296</v>
      </c>
      <c r="I157" s="3054">
        <f t="shared" si="4"/>
        <v>434.17183951539488</v>
      </c>
      <c r="J157" s="3054"/>
    </row>
    <row r="158" spans="1:43" s="3055" customFormat="1" ht="18" hidden="1" customHeight="1" outlineLevel="2">
      <c r="A158" s="3050">
        <v>3010207</v>
      </c>
      <c r="B158" s="3051" t="s">
        <v>4410</v>
      </c>
      <c r="C158" s="3067" t="s">
        <v>4281</v>
      </c>
      <c r="D158" s="3067" t="s">
        <v>4301</v>
      </c>
      <c r="E158" s="3067"/>
      <c r="F158" s="3057"/>
      <c r="G158" s="3054">
        <v>48303.13</v>
      </c>
      <c r="H158" s="3054">
        <v>104.91866124801052</v>
      </c>
      <c r="I158" s="3054">
        <f t="shared" si="4"/>
        <v>506.78997336886141</v>
      </c>
      <c r="J158" s="3054"/>
    </row>
    <row r="159" spans="1:43" s="3049" customFormat="1" ht="18" hidden="1" customHeight="1" outlineLevel="2">
      <c r="A159" s="3050">
        <v>3010208</v>
      </c>
      <c r="B159" s="3051" t="s">
        <v>4411</v>
      </c>
      <c r="C159" s="3067" t="s">
        <v>4281</v>
      </c>
      <c r="D159" s="3067" t="s">
        <v>4301</v>
      </c>
      <c r="E159" s="3067"/>
      <c r="F159" s="3068"/>
      <c r="G159" s="3054">
        <v>48303.13</v>
      </c>
      <c r="H159" s="3054">
        <v>44.67</v>
      </c>
      <c r="I159" s="3054">
        <f t="shared" si="4"/>
        <v>215.77008171</v>
      </c>
      <c r="J159" s="3054"/>
    </row>
    <row r="160" spans="1:43" s="3103" customFormat="1" ht="25.5" hidden="1" customHeight="1" outlineLevel="2">
      <c r="A160" s="3050">
        <v>3010209</v>
      </c>
      <c r="B160" s="3051" t="s">
        <v>4412</v>
      </c>
      <c r="C160" s="3067" t="s">
        <v>4281</v>
      </c>
      <c r="D160" s="3067" t="s">
        <v>4301</v>
      </c>
      <c r="E160" s="3104"/>
      <c r="F160" s="3079"/>
      <c r="G160" s="3054">
        <v>48303.13</v>
      </c>
      <c r="H160" s="3054">
        <v>537.93390118469563</v>
      </c>
      <c r="I160" s="3054">
        <f t="shared" si="4"/>
        <v>2598.3891160331505</v>
      </c>
      <c r="J160" s="3080"/>
    </row>
    <row r="161" spans="1:43" s="3055" customFormat="1" ht="22.5" hidden="1" customHeight="1" outlineLevel="1">
      <c r="A161" s="3072">
        <v>304</v>
      </c>
      <c r="B161" s="3073" t="s">
        <v>4424</v>
      </c>
      <c r="C161" s="3074" t="s">
        <v>4281</v>
      </c>
      <c r="D161" s="3074" t="s">
        <v>4301</v>
      </c>
      <c r="E161" s="3074"/>
      <c r="F161" s="3075"/>
      <c r="G161" s="3076"/>
      <c r="H161" s="3076"/>
      <c r="I161" s="3076">
        <f>I162+I171</f>
        <v>38347.463281368975</v>
      </c>
      <c r="J161" s="3076"/>
    </row>
    <row r="162" spans="1:43" s="3103" customFormat="1" ht="18" hidden="1" customHeight="1" outlineLevel="2">
      <c r="A162" s="3077">
        <v>30401</v>
      </c>
      <c r="B162" s="3078" t="s">
        <v>4398</v>
      </c>
      <c r="C162" s="3040"/>
      <c r="D162" s="3040"/>
      <c r="E162" s="3040"/>
      <c r="F162" s="3079"/>
      <c r="G162" s="3080"/>
      <c r="H162" s="3080"/>
      <c r="I162" s="3080">
        <f>SUM(I163:I170)</f>
        <v>32593.631874999999</v>
      </c>
      <c r="J162" s="3080"/>
    </row>
    <row r="163" spans="1:43" s="3102" customFormat="1" ht="25.5" hidden="1" customHeight="1" outlineLevel="2">
      <c r="A163" s="3050">
        <v>3040101</v>
      </c>
      <c r="B163" s="3051" t="s">
        <v>4399</v>
      </c>
      <c r="C163" s="3052" t="s">
        <v>4281</v>
      </c>
      <c r="D163" s="3052" t="s">
        <v>4301</v>
      </c>
      <c r="E163" s="3052"/>
      <c r="F163" s="3057"/>
      <c r="G163" s="3054">
        <v>85625</v>
      </c>
      <c r="H163" s="3057">
        <v>64.849999999999994</v>
      </c>
      <c r="I163" s="3054">
        <f>G163*H163/10000</f>
        <v>555.27812499999993</v>
      </c>
      <c r="J163" s="3054"/>
    </row>
    <row r="164" spans="1:43" s="3103" customFormat="1" ht="31.5" hidden="1" customHeight="1" outlineLevel="2">
      <c r="A164" s="3050">
        <v>3040102</v>
      </c>
      <c r="B164" s="3051" t="s">
        <v>4400</v>
      </c>
      <c r="C164" s="3052" t="s">
        <v>4281</v>
      </c>
      <c r="D164" s="3052" t="s">
        <v>4301</v>
      </c>
      <c r="E164" s="3052"/>
      <c r="F164" s="3057"/>
      <c r="G164" s="3054">
        <v>85625</v>
      </c>
      <c r="H164" s="3054">
        <v>661.5</v>
      </c>
      <c r="I164" s="3054">
        <f>G164*H164/10000</f>
        <v>5664.09375</v>
      </c>
      <c r="J164" s="3054"/>
    </row>
    <row r="165" spans="1:43" s="3055" customFormat="1" ht="28.5" hidden="1" customHeight="1" outlineLevel="2">
      <c r="A165" s="3050">
        <v>3040103</v>
      </c>
      <c r="B165" s="3051" t="s">
        <v>4401</v>
      </c>
      <c r="C165" s="3052" t="s">
        <v>4281</v>
      </c>
      <c r="D165" s="3052" t="s">
        <v>4301</v>
      </c>
      <c r="E165" s="3052"/>
      <c r="F165" s="3057"/>
      <c r="G165" s="3054">
        <v>85625</v>
      </c>
      <c r="H165" s="3054">
        <v>563.4</v>
      </c>
      <c r="I165" s="3054">
        <f>G165*H165/10000</f>
        <v>4824.1125000000002</v>
      </c>
      <c r="J165" s="3054"/>
    </row>
    <row r="166" spans="1:43" s="3055" customFormat="1" ht="24" hidden="1" customHeight="1" outlineLevel="2">
      <c r="A166" s="3050">
        <v>3040104</v>
      </c>
      <c r="B166" s="3051" t="s">
        <v>4425</v>
      </c>
      <c r="C166" s="3052" t="s">
        <v>4281</v>
      </c>
      <c r="D166" s="3052" t="s">
        <v>4301</v>
      </c>
      <c r="E166" s="3052"/>
      <c r="F166" s="3057"/>
      <c r="G166" s="3054">
        <v>85625</v>
      </c>
      <c r="H166" s="3054">
        <v>331.72</v>
      </c>
      <c r="I166" s="3054">
        <f>G166*H166/10000</f>
        <v>2840.3525000000004</v>
      </c>
      <c r="J166" s="3054"/>
    </row>
    <row r="167" spans="1:43" s="3049" customFormat="1" ht="23.25" hidden="1" customHeight="1" outlineLevel="2">
      <c r="A167" s="3050">
        <v>3040105</v>
      </c>
      <c r="B167" s="3066" t="s">
        <v>4415</v>
      </c>
      <c r="C167" s="3067"/>
      <c r="D167" s="3067"/>
      <c r="E167" s="3067"/>
      <c r="F167" s="3068"/>
      <c r="G167" s="3054"/>
      <c r="H167" s="3054"/>
      <c r="I167" s="3054"/>
      <c r="J167" s="3054"/>
    </row>
    <row r="168" spans="1:43" s="3049" customFormat="1" ht="23.25" hidden="1" customHeight="1" outlineLevel="2">
      <c r="A168" s="3105" t="s">
        <v>4416</v>
      </c>
      <c r="B168" s="3107" t="s">
        <v>4426</v>
      </c>
      <c r="C168" s="3067" t="s">
        <v>4418</v>
      </c>
      <c r="D168" s="3067" t="s">
        <v>4301</v>
      </c>
      <c r="E168" s="3067"/>
      <c r="F168" s="3068"/>
      <c r="G168" s="3054">
        <v>58090.2</v>
      </c>
      <c r="H168" s="3054">
        <v>2500</v>
      </c>
      <c r="I168" s="3054">
        <f>G168*H168/10000</f>
        <v>14522.55</v>
      </c>
      <c r="J168" s="3054"/>
    </row>
    <row r="169" spans="1:43" s="3049" customFormat="1" ht="23.25" hidden="1" customHeight="1" outlineLevel="2">
      <c r="A169" s="3105" t="s">
        <v>4419</v>
      </c>
      <c r="B169" s="3107" t="s">
        <v>4427</v>
      </c>
      <c r="C169" s="3067" t="s">
        <v>4418</v>
      </c>
      <c r="D169" s="3067" t="s">
        <v>4301</v>
      </c>
      <c r="E169" s="3067"/>
      <c r="F169" s="3068"/>
      <c r="G169" s="3054">
        <v>25373.8</v>
      </c>
      <c r="H169" s="3054">
        <v>1500</v>
      </c>
      <c r="I169" s="3054">
        <f>G169*H169/10000</f>
        <v>3806.07</v>
      </c>
      <c r="J169" s="3054"/>
    </row>
    <row r="170" spans="1:43" s="3049" customFormat="1" ht="23.25" hidden="1" customHeight="1" outlineLevel="2">
      <c r="A170" s="3105" t="s">
        <v>4428</v>
      </c>
      <c r="B170" s="3107" t="s">
        <v>4429</v>
      </c>
      <c r="C170" s="3067" t="s">
        <v>4418</v>
      </c>
      <c r="D170" s="3067" t="s">
        <v>4301</v>
      </c>
      <c r="E170" s="3067"/>
      <c r="F170" s="3068"/>
      <c r="G170" s="3054">
        <v>762.35</v>
      </c>
      <c r="H170" s="3054">
        <v>5000</v>
      </c>
      <c r="I170" s="3054">
        <f>G170*H170/10000</f>
        <v>381.17500000000001</v>
      </c>
      <c r="J170" s="3054"/>
    </row>
    <row r="171" spans="1:43" s="3049" customFormat="1" ht="23.25" hidden="1" customHeight="1" outlineLevel="2">
      <c r="A171" s="3077">
        <v>30402</v>
      </c>
      <c r="B171" s="3078" t="s">
        <v>4403</v>
      </c>
      <c r="C171" s="3040"/>
      <c r="D171" s="3067"/>
      <c r="E171" s="3040"/>
      <c r="F171" s="3079"/>
      <c r="G171" s="3080"/>
      <c r="H171" s="3080"/>
      <c r="I171" s="3080">
        <f>SUM(I172:I180)</f>
        <v>5753.8314063689759</v>
      </c>
      <c r="J171" s="3080"/>
      <c r="AQ171" s="3055"/>
    </row>
    <row r="172" spans="1:43" s="3049" customFormat="1" ht="24.75" hidden="1" customHeight="1" outlineLevel="2">
      <c r="A172" s="3050">
        <v>3040201</v>
      </c>
      <c r="B172" s="3066" t="s">
        <v>4404</v>
      </c>
      <c r="C172" s="3067" t="s">
        <v>4281</v>
      </c>
      <c r="D172" s="3067" t="s">
        <v>4301</v>
      </c>
      <c r="E172" s="3067"/>
      <c r="F172" s="3068"/>
      <c r="G172" s="3054">
        <v>85625</v>
      </c>
      <c r="H172" s="3054">
        <v>53.730319891154558</v>
      </c>
      <c r="I172" s="3054">
        <f t="shared" ref="I172:I179" si="5">G172*H172/10000</f>
        <v>460.06586406801091</v>
      </c>
      <c r="J172" s="3054"/>
      <c r="AQ172" s="3055"/>
    </row>
    <row r="173" spans="1:43" s="3102" customFormat="1" ht="18" hidden="1" customHeight="1" outlineLevel="2">
      <c r="A173" s="3050">
        <v>3040202</v>
      </c>
      <c r="B173" s="3066" t="s">
        <v>4405</v>
      </c>
      <c r="C173" s="3067" t="s">
        <v>4281</v>
      </c>
      <c r="D173" s="3067" t="s">
        <v>4301</v>
      </c>
      <c r="E173" s="3067"/>
      <c r="F173" s="3068"/>
      <c r="G173" s="3054">
        <v>85625</v>
      </c>
      <c r="H173" s="3054">
        <v>8.4770040525074162</v>
      </c>
      <c r="I173" s="3054">
        <f t="shared" si="5"/>
        <v>72.58434719959476</v>
      </c>
      <c r="J173" s="3054"/>
      <c r="AQ173" s="3103"/>
    </row>
    <row r="174" spans="1:43" s="3049" customFormat="1" ht="18" hidden="1" customHeight="1" outlineLevel="2">
      <c r="A174" s="3050">
        <v>3040203</v>
      </c>
      <c r="B174" s="3066" t="s">
        <v>4406</v>
      </c>
      <c r="C174" s="3067" t="s">
        <v>4281</v>
      </c>
      <c r="D174" s="3067" t="s">
        <v>4301</v>
      </c>
      <c r="E174" s="3067"/>
      <c r="F174" s="3068"/>
      <c r="G174" s="3054">
        <v>85625</v>
      </c>
      <c r="H174" s="3054">
        <v>48.132986289211232</v>
      </c>
      <c r="I174" s="3054">
        <f t="shared" si="5"/>
        <v>412.13869510137118</v>
      </c>
      <c r="J174" s="3054"/>
      <c r="AQ174" s="3055"/>
    </row>
    <row r="175" spans="1:43" s="3049" customFormat="1" ht="18" hidden="1" customHeight="1" outlineLevel="2">
      <c r="A175" s="3050">
        <v>3040204</v>
      </c>
      <c r="B175" s="3051" t="s">
        <v>4407</v>
      </c>
      <c r="C175" s="3067" t="s">
        <v>4281</v>
      </c>
      <c r="D175" s="3067" t="s">
        <v>4301</v>
      </c>
      <c r="E175" s="3067"/>
      <c r="F175" s="3068"/>
      <c r="G175" s="3054">
        <v>85625</v>
      </c>
      <c r="H175" s="3054">
        <v>281.13</v>
      </c>
      <c r="I175" s="3054">
        <f>G175*H175/10000</f>
        <v>2407.1756249999999</v>
      </c>
      <c r="J175" s="3054"/>
      <c r="AQ175" s="3055"/>
    </row>
    <row r="176" spans="1:43" s="3055" customFormat="1" ht="26.25" hidden="1" customHeight="1" outlineLevel="2">
      <c r="A176" s="3050">
        <v>3040205</v>
      </c>
      <c r="B176" s="3066" t="s">
        <v>4408</v>
      </c>
      <c r="C176" s="3067" t="s">
        <v>4281</v>
      </c>
      <c r="D176" s="3067" t="s">
        <v>4301</v>
      </c>
      <c r="E176" s="3067"/>
      <c r="F176" s="3068"/>
      <c r="G176" s="3054">
        <v>85625</v>
      </c>
      <c r="H176" s="3054">
        <v>46</v>
      </c>
      <c r="I176" s="3054">
        <f t="shared" si="5"/>
        <v>393.875</v>
      </c>
      <c r="J176" s="3054"/>
    </row>
    <row r="177" spans="1:43" s="3049" customFormat="1" ht="18" hidden="1" customHeight="1" outlineLevel="2">
      <c r="A177" s="3050">
        <v>3040206</v>
      </c>
      <c r="B177" s="3066" t="s">
        <v>4409</v>
      </c>
      <c r="C177" s="3067" t="s">
        <v>4281</v>
      </c>
      <c r="D177" s="3067" t="s">
        <v>4301</v>
      </c>
      <c r="E177" s="3067"/>
      <c r="F177" s="3068"/>
      <c r="G177" s="3054">
        <v>85625</v>
      </c>
      <c r="H177" s="3054">
        <v>55</v>
      </c>
      <c r="I177" s="3054">
        <f t="shared" si="5"/>
        <v>470.9375</v>
      </c>
      <c r="J177" s="3054"/>
    </row>
    <row r="178" spans="1:43" s="3049" customFormat="1" ht="18" hidden="1" customHeight="1" outlineLevel="2">
      <c r="A178" s="3050">
        <v>3040207</v>
      </c>
      <c r="B178" s="3051" t="s">
        <v>4410</v>
      </c>
      <c r="C178" s="3067" t="s">
        <v>4281</v>
      </c>
      <c r="D178" s="3067" t="s">
        <v>4301</v>
      </c>
      <c r="E178" s="3067"/>
      <c r="F178" s="3068"/>
      <c r="G178" s="3054">
        <v>85625</v>
      </c>
      <c r="H178" s="3054">
        <v>25</v>
      </c>
      <c r="I178" s="3054">
        <f t="shared" si="5"/>
        <v>214.0625</v>
      </c>
      <c r="J178" s="3054"/>
    </row>
    <row r="179" spans="1:43" s="3049" customFormat="1" ht="18" hidden="1" customHeight="1" outlineLevel="2">
      <c r="A179" s="3050">
        <v>3040208</v>
      </c>
      <c r="B179" s="3051" t="s">
        <v>4411</v>
      </c>
      <c r="C179" s="3067" t="s">
        <v>4281</v>
      </c>
      <c r="D179" s="3067" t="s">
        <v>4301</v>
      </c>
      <c r="E179" s="3067"/>
      <c r="F179" s="3068"/>
      <c r="G179" s="3054">
        <v>85625</v>
      </c>
      <c r="H179" s="3054">
        <v>44.67</v>
      </c>
      <c r="I179" s="3054">
        <f t="shared" si="5"/>
        <v>382.486875</v>
      </c>
      <c r="J179" s="3054"/>
    </row>
    <row r="180" spans="1:43" s="3055" customFormat="1" ht="18" hidden="1" customHeight="1" outlineLevel="2">
      <c r="A180" s="3050">
        <v>3040209</v>
      </c>
      <c r="B180" s="3051" t="s">
        <v>4412</v>
      </c>
      <c r="C180" s="3067" t="s">
        <v>4281</v>
      </c>
      <c r="D180" s="3067" t="s">
        <v>4301</v>
      </c>
      <c r="E180" s="3104"/>
      <c r="F180" s="3068"/>
      <c r="G180" s="3054">
        <v>85625</v>
      </c>
      <c r="H180" s="3054">
        <v>109.84</v>
      </c>
      <c r="I180" s="3054">
        <f>G180*H180/10000</f>
        <v>940.505</v>
      </c>
      <c r="J180" s="3080"/>
      <c r="K180" s="3103"/>
    </row>
    <row r="181" spans="1:43" s="3055" customFormat="1" ht="24" hidden="1" customHeight="1" outlineLevel="1">
      <c r="A181" s="3072">
        <v>305</v>
      </c>
      <c r="B181" s="3073" t="s">
        <v>4430</v>
      </c>
      <c r="C181" s="3074"/>
      <c r="D181" s="3074" t="s">
        <v>4301</v>
      </c>
      <c r="E181" s="3074"/>
      <c r="F181" s="3075"/>
      <c r="G181" s="3076"/>
      <c r="H181" s="3076"/>
      <c r="I181" s="3076">
        <f>I182+I192</f>
        <v>51174.531219985001</v>
      </c>
      <c r="J181" s="3076"/>
    </row>
    <row r="182" spans="1:43" s="3103" customFormat="1" ht="18" hidden="1" customHeight="1" outlineLevel="2">
      <c r="A182" s="3077">
        <v>30501</v>
      </c>
      <c r="B182" s="3078" t="s">
        <v>4398</v>
      </c>
      <c r="C182" s="3040"/>
      <c r="D182" s="3040"/>
      <c r="E182" s="3040"/>
      <c r="F182" s="3079"/>
      <c r="G182" s="3080"/>
      <c r="H182" s="3080"/>
      <c r="I182" s="3080">
        <f>SUM(I183:I191)</f>
        <v>42415.631999999998</v>
      </c>
      <c r="J182" s="3080"/>
    </row>
    <row r="183" spans="1:43" s="3102" customFormat="1" ht="25.5" hidden="1" customHeight="1" outlineLevel="2">
      <c r="A183" s="3050">
        <v>3050101</v>
      </c>
      <c r="B183" s="3051" t="s">
        <v>4399</v>
      </c>
      <c r="C183" s="3052" t="s">
        <v>4281</v>
      </c>
      <c r="D183" s="3052" t="s">
        <v>4301</v>
      </c>
      <c r="E183" s="3052"/>
      <c r="F183" s="3057"/>
      <c r="G183" s="3054">
        <v>88000</v>
      </c>
      <c r="H183" s="3057">
        <v>64.849999999999994</v>
      </c>
      <c r="I183" s="3054">
        <f>G183*H183/10000</f>
        <v>570.67999999999995</v>
      </c>
      <c r="J183" s="3054"/>
    </row>
    <row r="184" spans="1:43" s="3103" customFormat="1" ht="27" hidden="1" customHeight="1" outlineLevel="2">
      <c r="A184" s="3050">
        <v>3050102</v>
      </c>
      <c r="B184" s="3051" t="s">
        <v>4400</v>
      </c>
      <c r="C184" s="3052" t="s">
        <v>4281</v>
      </c>
      <c r="D184" s="3052" t="s">
        <v>4301</v>
      </c>
      <c r="E184" s="3052"/>
      <c r="F184" s="3057"/>
      <c r="G184" s="3054">
        <v>88000</v>
      </c>
      <c r="H184" s="3054">
        <v>1100</v>
      </c>
      <c r="I184" s="3054">
        <f>G184*H184/10000</f>
        <v>9680</v>
      </c>
      <c r="J184" s="3054"/>
    </row>
    <row r="185" spans="1:43" s="3055" customFormat="1" ht="28.5" hidden="1" customHeight="1" outlineLevel="2">
      <c r="A185" s="3050">
        <v>3050103</v>
      </c>
      <c r="B185" s="3051" t="s">
        <v>4401</v>
      </c>
      <c r="C185" s="3052" t="s">
        <v>4281</v>
      </c>
      <c r="D185" s="3052" t="s">
        <v>4301</v>
      </c>
      <c r="E185" s="3052"/>
      <c r="F185" s="3057"/>
      <c r="G185" s="3054">
        <v>88000</v>
      </c>
      <c r="H185" s="3054">
        <v>779.89</v>
      </c>
      <c r="I185" s="3054">
        <f>G185*H185/10000</f>
        <v>6863.0320000000002</v>
      </c>
      <c r="J185" s="3054"/>
    </row>
    <row r="186" spans="1:43" s="3055" customFormat="1" ht="24" hidden="1" customHeight="1" outlineLevel="2">
      <c r="A186" s="3050">
        <v>3050104</v>
      </c>
      <c r="B186" s="3051" t="s">
        <v>4425</v>
      </c>
      <c r="C186" s="3052" t="s">
        <v>4281</v>
      </c>
      <c r="D186" s="3052" t="s">
        <v>4301</v>
      </c>
      <c r="E186" s="3052"/>
      <c r="F186" s="3057"/>
      <c r="G186" s="3054">
        <v>88000</v>
      </c>
      <c r="H186" s="3054">
        <v>724.49659090909086</v>
      </c>
      <c r="I186" s="3054">
        <f>G186*H186/10000</f>
        <v>6375.57</v>
      </c>
      <c r="J186" s="3054"/>
    </row>
    <row r="187" spans="1:43" s="3049" customFormat="1" ht="23.25" hidden="1" customHeight="1" outlineLevel="2">
      <c r="A187" s="3050">
        <v>3050105</v>
      </c>
      <c r="B187" s="3066" t="s">
        <v>4415</v>
      </c>
      <c r="C187" s="3067"/>
      <c r="D187" s="3067"/>
      <c r="E187" s="3067"/>
      <c r="F187" s="3068"/>
      <c r="G187" s="3054"/>
      <c r="H187" s="3054"/>
      <c r="I187" s="3054"/>
      <c r="J187" s="3054"/>
    </row>
    <row r="188" spans="1:43" s="3049" customFormat="1" ht="24" hidden="1" customHeight="1" outlineLevel="2">
      <c r="A188" s="3105" t="s">
        <v>4416</v>
      </c>
      <c r="B188" s="3107" t="s">
        <v>4426</v>
      </c>
      <c r="C188" s="3067" t="s">
        <v>4418</v>
      </c>
      <c r="D188" s="3067" t="s">
        <v>4301</v>
      </c>
      <c r="E188" s="3067"/>
      <c r="F188" s="3068"/>
      <c r="G188" s="3054">
        <v>59149.999999999993</v>
      </c>
      <c r="H188" s="3054">
        <v>2000</v>
      </c>
      <c r="I188" s="3054">
        <f>G188*H188/10000</f>
        <v>11829.999999999998</v>
      </c>
      <c r="J188" s="3054"/>
    </row>
    <row r="189" spans="1:43" s="3049" customFormat="1" ht="23.25" hidden="1" customHeight="1" outlineLevel="2">
      <c r="A189" s="3105" t="s">
        <v>4419</v>
      </c>
      <c r="B189" s="3107" t="s">
        <v>4427</v>
      </c>
      <c r="C189" s="3067" t="s">
        <v>4418</v>
      </c>
      <c r="D189" s="3067" t="s">
        <v>4301</v>
      </c>
      <c r="E189" s="3067"/>
      <c r="F189" s="3068"/>
      <c r="G189" s="3054">
        <v>25589</v>
      </c>
      <c r="H189" s="3054">
        <v>1500</v>
      </c>
      <c r="I189" s="3054">
        <f>G189*H189/10000</f>
        <v>3838.35</v>
      </c>
      <c r="J189" s="3054"/>
    </row>
    <row r="190" spans="1:43" s="3049" customFormat="1" ht="23.25" hidden="1" customHeight="1" outlineLevel="2">
      <c r="A190" s="3105" t="s">
        <v>4428</v>
      </c>
      <c r="B190" s="3107" t="s">
        <v>4429</v>
      </c>
      <c r="C190" s="3067" t="s">
        <v>4418</v>
      </c>
      <c r="D190" s="3067" t="s">
        <v>4301</v>
      </c>
      <c r="E190" s="3067"/>
      <c r="F190" s="3068"/>
      <c r="G190" s="3054">
        <v>340</v>
      </c>
      <c r="H190" s="3054">
        <v>8000</v>
      </c>
      <c r="I190" s="3054">
        <f>G190*H190/10000</f>
        <v>272</v>
      </c>
      <c r="J190" s="3054"/>
    </row>
    <row r="191" spans="1:43" s="3049" customFormat="1" ht="23.25" hidden="1" customHeight="1" outlineLevel="2">
      <c r="A191" s="3050">
        <v>3050106</v>
      </c>
      <c r="B191" s="3108" t="s">
        <v>4431</v>
      </c>
      <c r="C191" s="3052" t="s">
        <v>4288</v>
      </c>
      <c r="D191" s="3052" t="s">
        <v>4289</v>
      </c>
      <c r="E191" s="3067"/>
      <c r="F191" s="3068"/>
      <c r="G191" s="3054">
        <v>2986</v>
      </c>
      <c r="H191" s="3054"/>
      <c r="I191" s="3054">
        <f>G191</f>
        <v>2986</v>
      </c>
      <c r="J191" s="3054"/>
    </row>
    <row r="192" spans="1:43" s="3049" customFormat="1" ht="23.25" hidden="1" customHeight="1" outlineLevel="2">
      <c r="A192" s="3077">
        <v>30502</v>
      </c>
      <c r="B192" s="3078" t="s">
        <v>4403</v>
      </c>
      <c r="C192" s="3040"/>
      <c r="D192" s="3067"/>
      <c r="E192" s="3040"/>
      <c r="F192" s="3079"/>
      <c r="G192" s="3080"/>
      <c r="H192" s="3080"/>
      <c r="I192" s="3080">
        <f>SUM(I193:I202)</f>
        <v>8758.8992199849999</v>
      </c>
      <c r="J192" s="3080"/>
      <c r="AQ192" s="3055"/>
    </row>
    <row r="193" spans="1:43" s="3049" customFormat="1" ht="24.75" hidden="1" customHeight="1" outlineLevel="2">
      <c r="A193" s="3050">
        <v>3050201</v>
      </c>
      <c r="B193" s="3066" t="s">
        <v>4404</v>
      </c>
      <c r="C193" s="3067" t="s">
        <v>4281</v>
      </c>
      <c r="D193" s="3067" t="s">
        <v>4301</v>
      </c>
      <c r="E193" s="3067"/>
      <c r="F193" s="3068"/>
      <c r="G193" s="3054">
        <v>88000</v>
      </c>
      <c r="H193" s="3054">
        <v>96.903185261363632</v>
      </c>
      <c r="I193" s="3054">
        <f t="shared" ref="I193:I202" si="6">G193*H193/10000</f>
        <v>852.74803029999998</v>
      </c>
      <c r="J193" s="3054"/>
      <c r="AQ193" s="3055"/>
    </row>
    <row r="194" spans="1:43" s="3102" customFormat="1" ht="18" hidden="1" customHeight="1" outlineLevel="2">
      <c r="A194" s="3050">
        <v>3050202</v>
      </c>
      <c r="B194" s="3066" t="s">
        <v>4405</v>
      </c>
      <c r="C194" s="3067" t="s">
        <v>4281</v>
      </c>
      <c r="D194" s="3067" t="s">
        <v>4301</v>
      </c>
      <c r="E194" s="3067"/>
      <c r="F194" s="3068"/>
      <c r="G194" s="3054">
        <v>88000</v>
      </c>
      <c r="H194" s="3054">
        <v>9.5135289090909083</v>
      </c>
      <c r="I194" s="3054">
        <f t="shared" si="6"/>
        <v>83.71905439999999</v>
      </c>
      <c r="J194" s="3054"/>
      <c r="AQ194" s="3103"/>
    </row>
    <row r="195" spans="1:43" s="3049" customFormat="1" ht="18" hidden="1" customHeight="1" outlineLevel="2">
      <c r="A195" s="3050">
        <v>3050203</v>
      </c>
      <c r="B195" s="3066" t="s">
        <v>4406</v>
      </c>
      <c r="C195" s="3067" t="s">
        <v>4281</v>
      </c>
      <c r="D195" s="3067" t="s">
        <v>4301</v>
      </c>
      <c r="E195" s="3067"/>
      <c r="F195" s="3068"/>
      <c r="G195" s="3054">
        <v>88000</v>
      </c>
      <c r="H195" s="3054">
        <v>61.953510034090911</v>
      </c>
      <c r="I195" s="3054">
        <f t="shared" si="6"/>
        <v>545.19088829999998</v>
      </c>
      <c r="J195" s="3054"/>
      <c r="AQ195" s="3055"/>
    </row>
    <row r="196" spans="1:43" s="3049" customFormat="1" ht="18" hidden="1" customHeight="1" outlineLevel="2">
      <c r="A196" s="3050">
        <v>3050204</v>
      </c>
      <c r="B196" s="3051" t="s">
        <v>4407</v>
      </c>
      <c r="C196" s="3067" t="s">
        <v>4281</v>
      </c>
      <c r="D196" s="3067" t="s">
        <v>4301</v>
      </c>
      <c r="E196" s="3067"/>
      <c r="F196" s="3068"/>
      <c r="G196" s="3054">
        <v>88000</v>
      </c>
      <c r="H196" s="3054">
        <v>280</v>
      </c>
      <c r="I196" s="3054">
        <f>G196*H196/10000</f>
        <v>2464</v>
      </c>
      <c r="J196" s="3054"/>
      <c r="AQ196" s="3055"/>
    </row>
    <row r="197" spans="1:43" s="3055" customFormat="1" ht="26.25" hidden="1" customHeight="1" outlineLevel="2">
      <c r="A197" s="3050">
        <v>3050205</v>
      </c>
      <c r="B197" s="3066" t="s">
        <v>4408</v>
      </c>
      <c r="C197" s="3067" t="s">
        <v>4281</v>
      </c>
      <c r="D197" s="3067" t="s">
        <v>4301</v>
      </c>
      <c r="E197" s="3067"/>
      <c r="F197" s="3068"/>
      <c r="G197" s="3054">
        <v>88000</v>
      </c>
      <c r="H197" s="3054">
        <v>38.799999999999997</v>
      </c>
      <c r="I197" s="3054">
        <f t="shared" si="6"/>
        <v>341.43999999999994</v>
      </c>
      <c r="J197" s="3054"/>
    </row>
    <row r="198" spans="1:43" s="3049" customFormat="1" ht="18" hidden="1" customHeight="1" outlineLevel="2">
      <c r="A198" s="3050">
        <v>3050206</v>
      </c>
      <c r="B198" s="3066" t="s">
        <v>4409</v>
      </c>
      <c r="C198" s="3067" t="s">
        <v>4281</v>
      </c>
      <c r="D198" s="3067" t="s">
        <v>4301</v>
      </c>
      <c r="E198" s="3067"/>
      <c r="F198" s="3068"/>
      <c r="G198" s="3054">
        <v>88000</v>
      </c>
      <c r="H198" s="3054">
        <v>27.022723339772725</v>
      </c>
      <c r="I198" s="3054">
        <f t="shared" si="6"/>
        <v>237.79996538999998</v>
      </c>
      <c r="J198" s="3054"/>
    </row>
    <row r="199" spans="1:43" s="3049" customFormat="1" ht="18" hidden="1" customHeight="1" outlineLevel="2">
      <c r="A199" s="3050">
        <v>3050207</v>
      </c>
      <c r="B199" s="3051" t="s">
        <v>4410</v>
      </c>
      <c r="C199" s="3067" t="s">
        <v>4281</v>
      </c>
      <c r="D199" s="3067" t="s">
        <v>4301</v>
      </c>
      <c r="E199" s="3067"/>
      <c r="F199" s="3068"/>
      <c r="G199" s="3054">
        <v>88000</v>
      </c>
      <c r="H199" s="3054">
        <v>38.466509272159094</v>
      </c>
      <c r="I199" s="3054">
        <f t="shared" si="6"/>
        <v>338.50528159500004</v>
      </c>
      <c r="J199" s="3054"/>
    </row>
    <row r="200" spans="1:43" s="3049" customFormat="1" ht="18" hidden="1" customHeight="1" outlineLevel="2">
      <c r="A200" s="3050">
        <v>3050208</v>
      </c>
      <c r="B200" s="3051" t="s">
        <v>4411</v>
      </c>
      <c r="C200" s="3067" t="s">
        <v>4281</v>
      </c>
      <c r="D200" s="3067" t="s">
        <v>4301</v>
      </c>
      <c r="E200" s="3067"/>
      <c r="F200" s="3068"/>
      <c r="G200" s="3054">
        <v>88000</v>
      </c>
      <c r="H200" s="3054">
        <v>44.67</v>
      </c>
      <c r="I200" s="3054">
        <f t="shared" si="6"/>
        <v>393.096</v>
      </c>
      <c r="J200" s="3054"/>
    </row>
    <row r="201" spans="1:43" s="3055" customFormat="1" ht="18" hidden="1" customHeight="1" outlineLevel="2">
      <c r="A201" s="3050">
        <v>3050209</v>
      </c>
      <c r="B201" s="3051" t="s">
        <v>4412</v>
      </c>
      <c r="C201" s="3067" t="s">
        <v>4281</v>
      </c>
      <c r="D201" s="3067" t="s">
        <v>4301</v>
      </c>
      <c r="E201" s="3104"/>
      <c r="F201" s="3068"/>
      <c r="G201" s="3054">
        <v>88000</v>
      </c>
      <c r="H201" s="3054">
        <v>233</v>
      </c>
      <c r="I201" s="3054">
        <f>G201*H201/10000</f>
        <v>2050.4</v>
      </c>
      <c r="J201" s="3080"/>
      <c r="K201" s="3103"/>
    </row>
    <row r="202" spans="1:43" s="3055" customFormat="1" ht="18" hidden="1" customHeight="1" outlineLevel="2">
      <c r="A202" s="3050">
        <v>3050210</v>
      </c>
      <c r="B202" s="3051" t="s">
        <v>4432</v>
      </c>
      <c r="C202" s="3067" t="s">
        <v>4281</v>
      </c>
      <c r="D202" s="3067" t="s">
        <v>4301</v>
      </c>
      <c r="E202" s="3104"/>
      <c r="F202" s="3068"/>
      <c r="G202" s="3054">
        <v>88000</v>
      </c>
      <c r="H202" s="3054">
        <v>165</v>
      </c>
      <c r="I202" s="3054">
        <f t="shared" si="6"/>
        <v>1452</v>
      </c>
      <c r="J202" s="3080"/>
      <c r="K202" s="3103"/>
    </row>
    <row r="203" spans="1:43" s="3055" customFormat="1" ht="24" hidden="1" customHeight="1" outlineLevel="1">
      <c r="A203" s="3072">
        <v>306</v>
      </c>
      <c r="B203" s="3073" t="s">
        <v>4433</v>
      </c>
      <c r="C203" s="3074"/>
      <c r="D203" s="3074"/>
      <c r="E203" s="3074"/>
      <c r="F203" s="3075"/>
      <c r="G203" s="3076"/>
      <c r="H203" s="3076"/>
      <c r="I203" s="3076">
        <f>SUM(I204:I205)</f>
        <v>12000</v>
      </c>
      <c r="J203" s="3076">
        <v>0</v>
      </c>
    </row>
    <row r="204" spans="1:43" s="3049" customFormat="1" ht="30" hidden="1" customHeight="1" outlineLevel="2">
      <c r="A204" s="3050">
        <v>30601</v>
      </c>
      <c r="B204" s="3051" t="s">
        <v>4434</v>
      </c>
      <c r="C204" s="3052" t="s">
        <v>4288</v>
      </c>
      <c r="D204" s="3052" t="s">
        <v>4289</v>
      </c>
      <c r="E204" s="3052"/>
      <c r="F204" s="3057"/>
      <c r="G204" s="3054">
        <v>10000</v>
      </c>
      <c r="H204" s="3054"/>
      <c r="I204" s="3054">
        <f>G204</f>
        <v>10000</v>
      </c>
      <c r="J204" s="3054"/>
    </row>
    <row r="205" spans="1:43" s="3049" customFormat="1" ht="27" hidden="1" customHeight="1" outlineLevel="2">
      <c r="A205" s="3050">
        <v>30601</v>
      </c>
      <c r="B205" s="3051" t="s">
        <v>4435</v>
      </c>
      <c r="C205" s="3052" t="s">
        <v>4288</v>
      </c>
      <c r="D205" s="3052" t="s">
        <v>4289</v>
      </c>
      <c r="E205" s="3052"/>
      <c r="F205" s="3057"/>
      <c r="G205" s="3054">
        <v>2000</v>
      </c>
      <c r="H205" s="3059"/>
      <c r="I205" s="3054">
        <f>G205</f>
        <v>2000</v>
      </c>
      <c r="J205" s="3054"/>
    </row>
    <row r="206" spans="1:43" s="3055" customFormat="1" ht="27" customHeight="1" collapsed="1">
      <c r="A206" s="3044" t="s">
        <v>4436</v>
      </c>
      <c r="B206" s="3045" t="s">
        <v>4437</v>
      </c>
      <c r="C206" s="3046"/>
      <c r="D206" s="3046"/>
      <c r="E206" s="3046"/>
      <c r="F206" s="3047"/>
      <c r="G206" s="3048"/>
      <c r="H206" s="3048"/>
      <c r="I206" s="3048">
        <f>SUM(I207:I209)</f>
        <v>8748.8872049999991</v>
      </c>
      <c r="J206" s="3048">
        <v>315.58999999999997</v>
      </c>
    </row>
    <row r="207" spans="1:43" s="3103" customFormat="1" ht="21" hidden="1" customHeight="1" outlineLevel="1">
      <c r="A207" s="3050">
        <v>401</v>
      </c>
      <c r="B207" s="3051" t="s">
        <v>4438</v>
      </c>
      <c r="C207" s="3052" t="s">
        <v>4288</v>
      </c>
      <c r="D207" s="3052" t="s">
        <v>4289</v>
      </c>
      <c r="E207" s="3052"/>
      <c r="F207" s="3057"/>
      <c r="G207" s="3054">
        <v>1179.57871</v>
      </c>
      <c r="H207" s="3054"/>
      <c r="I207" s="3054">
        <f>G207</f>
        <v>1179.57871</v>
      </c>
      <c r="J207" s="3054"/>
    </row>
    <row r="208" spans="1:43" s="3103" customFormat="1" ht="20.25" hidden="1" customHeight="1" outlineLevel="1">
      <c r="A208" s="3050">
        <v>402</v>
      </c>
      <c r="B208" s="3051" t="s">
        <v>4439</v>
      </c>
      <c r="C208" s="3052" t="s">
        <v>4288</v>
      </c>
      <c r="D208" s="3052" t="s">
        <v>4289</v>
      </c>
      <c r="E208" s="3052"/>
      <c r="F208" s="3057"/>
      <c r="G208" s="3054">
        <v>1526.9084950000001</v>
      </c>
      <c r="H208" s="3054"/>
      <c r="I208" s="3054">
        <f>G208</f>
        <v>1526.9084950000001</v>
      </c>
      <c r="J208" s="3054"/>
    </row>
    <row r="209" spans="1:10" s="3049" customFormat="1" ht="27.75" hidden="1" customHeight="1" outlineLevel="1">
      <c r="A209" s="3050">
        <v>403</v>
      </c>
      <c r="B209" s="3109" t="s">
        <v>4440</v>
      </c>
      <c r="C209" s="3052" t="s">
        <v>4288</v>
      </c>
      <c r="D209" s="3052" t="s">
        <v>4289</v>
      </c>
      <c r="E209" s="3052"/>
      <c r="F209" s="3068"/>
      <c r="G209" s="3069">
        <v>6042.4</v>
      </c>
      <c r="H209" s="3054"/>
      <c r="I209" s="3054">
        <f>G209</f>
        <v>6042.4</v>
      </c>
      <c r="J209" s="3069"/>
    </row>
    <row r="210" spans="1:10" s="3049" customFormat="1" ht="24" customHeight="1" collapsed="1">
      <c r="A210" s="3044" t="s">
        <v>4441</v>
      </c>
      <c r="B210" s="3045" t="s">
        <v>4442</v>
      </c>
      <c r="C210" s="3046"/>
      <c r="D210" s="3046"/>
      <c r="E210" s="3046"/>
      <c r="F210" s="3047"/>
      <c r="G210" s="3048"/>
      <c r="H210" s="3048"/>
      <c r="I210" s="3048">
        <f>SUM(I211:I212)</f>
        <v>1063.9915000000001</v>
      </c>
      <c r="J210" s="3048">
        <v>11.98</v>
      </c>
    </row>
    <row r="211" spans="1:10" s="3049" customFormat="1" ht="21" hidden="1" customHeight="1" outlineLevel="1">
      <c r="A211" s="3050">
        <v>501</v>
      </c>
      <c r="B211" s="3051" t="s">
        <v>4443</v>
      </c>
      <c r="C211" s="3052" t="s">
        <v>4444</v>
      </c>
      <c r="D211" s="3052" t="s">
        <v>4301</v>
      </c>
      <c r="E211" s="3052"/>
      <c r="F211" s="3057"/>
      <c r="G211" s="3054">
        <v>19345.3</v>
      </c>
      <c r="H211" s="3054">
        <v>450</v>
      </c>
      <c r="I211" s="3054">
        <f>G211*H211/10000</f>
        <v>870.5385</v>
      </c>
      <c r="J211" s="3054"/>
    </row>
    <row r="212" spans="1:10" s="3049" customFormat="1" ht="21" hidden="1" customHeight="1" outlineLevel="1">
      <c r="A212" s="3050">
        <v>502</v>
      </c>
      <c r="B212" s="3051" t="s">
        <v>4445</v>
      </c>
      <c r="C212" s="3052" t="s">
        <v>4444</v>
      </c>
      <c r="D212" s="3052" t="s">
        <v>4301</v>
      </c>
      <c r="E212" s="3052"/>
      <c r="F212" s="3057"/>
      <c r="G212" s="3054">
        <v>19345.3</v>
      </c>
      <c r="H212" s="3054">
        <v>100</v>
      </c>
      <c r="I212" s="3054">
        <f>G212*H212/10000</f>
        <v>193.453</v>
      </c>
      <c r="J212" s="3054"/>
    </row>
    <row r="213" spans="1:10" s="3102" customFormat="1" ht="31.5" customHeight="1" collapsed="1">
      <c r="A213" s="3044" t="s">
        <v>4446</v>
      </c>
      <c r="B213" s="3045" t="s">
        <v>4447</v>
      </c>
      <c r="C213" s="3046"/>
      <c r="D213" s="3046"/>
      <c r="E213" s="3046"/>
      <c r="F213" s="3047"/>
      <c r="G213" s="3048"/>
      <c r="H213" s="3110"/>
      <c r="I213" s="3048">
        <f>SUM(I214:I215)</f>
        <v>27761.470927999999</v>
      </c>
      <c r="J213" s="3048">
        <f>SUM(J214:J215)</f>
        <v>2614.9913779999997</v>
      </c>
    </row>
    <row r="214" spans="1:10" s="3049" customFormat="1" ht="30" hidden="1" customHeight="1" outlineLevel="1">
      <c r="A214" s="3050">
        <v>601</v>
      </c>
      <c r="B214" s="3051" t="s">
        <v>4448</v>
      </c>
      <c r="C214" s="3052" t="s">
        <v>4288</v>
      </c>
      <c r="D214" s="3052" t="s">
        <v>4289</v>
      </c>
      <c r="E214" s="3052"/>
      <c r="F214" s="3057"/>
      <c r="G214" s="3054">
        <v>2614.9913779999997</v>
      </c>
      <c r="H214" s="3054"/>
      <c r="I214" s="3054">
        <f>G214</f>
        <v>2614.9913779999997</v>
      </c>
      <c r="J214" s="3054">
        <f>I214</f>
        <v>2614.9913779999997</v>
      </c>
    </row>
    <row r="215" spans="1:10" s="3049" customFormat="1" ht="21" hidden="1" customHeight="1" outlineLevel="1">
      <c r="A215" s="3050">
        <v>602</v>
      </c>
      <c r="B215" s="3051" t="s">
        <v>4449</v>
      </c>
      <c r="C215" s="3052" t="s">
        <v>4450</v>
      </c>
      <c r="D215" s="3052" t="s">
        <v>4289</v>
      </c>
      <c r="E215" s="3052"/>
      <c r="F215" s="3057"/>
      <c r="G215" s="3054">
        <v>838215.98499999999</v>
      </c>
      <c r="H215" s="3059">
        <v>0.03</v>
      </c>
      <c r="I215" s="3054">
        <f>G215*H215</f>
        <v>25146.47955</v>
      </c>
      <c r="J215" s="3054"/>
    </row>
    <row r="216" spans="1:10" s="3102" customFormat="1" ht="24" customHeight="1" collapsed="1">
      <c r="A216" s="3044" t="s">
        <v>4451</v>
      </c>
      <c r="B216" s="3045" t="s">
        <v>4452</v>
      </c>
      <c r="C216" s="3046"/>
      <c r="D216" s="3046"/>
      <c r="E216" s="3046"/>
      <c r="F216" s="3047"/>
      <c r="G216" s="3048">
        <v>378153.11</v>
      </c>
      <c r="H216" s="3110"/>
      <c r="I216" s="3048">
        <f>SUM(I217:I218)</f>
        <v>26264.3197</v>
      </c>
      <c r="J216" s="3048">
        <f>SUM(J217:J218)</f>
        <v>9500</v>
      </c>
    </row>
    <row r="217" spans="1:10" s="3049" customFormat="1" ht="30" hidden="1" customHeight="1" outlineLevel="1">
      <c r="A217" s="3050">
        <v>701</v>
      </c>
      <c r="B217" s="3051" t="s">
        <v>4453</v>
      </c>
      <c r="C217" s="3052" t="s">
        <v>4288</v>
      </c>
      <c r="D217" s="3052" t="s">
        <v>4289</v>
      </c>
      <c r="E217" s="3052"/>
      <c r="F217" s="3057"/>
      <c r="G217" s="3054">
        <v>9500</v>
      </c>
      <c r="H217" s="3054"/>
      <c r="I217" s="3054">
        <f>G217</f>
        <v>9500</v>
      </c>
      <c r="J217" s="3054">
        <v>9500</v>
      </c>
    </row>
    <row r="218" spans="1:10" s="3049" customFormat="1" ht="21" hidden="1" customHeight="1" outlineLevel="1">
      <c r="A218" s="3050">
        <v>702</v>
      </c>
      <c r="B218" s="3051" t="s">
        <v>4454</v>
      </c>
      <c r="C218" s="3052" t="s">
        <v>4450</v>
      </c>
      <c r="D218" s="3052" t="s">
        <v>4289</v>
      </c>
      <c r="E218" s="3052"/>
      <c r="F218" s="3057"/>
      <c r="G218" s="3054">
        <v>838215.98499999999</v>
      </c>
      <c r="H218" s="3059">
        <v>0.02</v>
      </c>
      <c r="I218" s="3054">
        <f>G218*H218</f>
        <v>16764.3197</v>
      </c>
      <c r="J218" s="3054"/>
    </row>
    <row r="219" spans="1:10" s="3103" customFormat="1" ht="41.25" customHeight="1">
      <c r="A219" s="3044" t="s">
        <v>4455</v>
      </c>
      <c r="B219" s="3045" t="s">
        <v>4456</v>
      </c>
      <c r="C219" s="3111" t="s">
        <v>4457</v>
      </c>
      <c r="D219" s="3046" t="s">
        <v>4289</v>
      </c>
      <c r="E219" s="3046"/>
      <c r="F219" s="3047"/>
      <c r="G219" s="3048">
        <v>213168.50474652875</v>
      </c>
      <c r="H219" s="3110">
        <v>0.02</v>
      </c>
      <c r="I219" s="3048">
        <f>G219*H219</f>
        <v>4263.3700949305749</v>
      </c>
      <c r="J219" s="3048">
        <v>0</v>
      </c>
    </row>
    <row r="220" spans="1:10" s="3103" customFormat="1" ht="43.5" customHeight="1" collapsed="1">
      <c r="A220" s="3044" t="s">
        <v>4458</v>
      </c>
      <c r="B220" s="3045" t="s">
        <v>4459</v>
      </c>
      <c r="C220" s="3046" t="s">
        <v>4460</v>
      </c>
      <c r="D220" s="3046" t="s">
        <v>4289</v>
      </c>
      <c r="E220" s="3046"/>
      <c r="F220" s="3047"/>
      <c r="G220" s="3048"/>
      <c r="H220" s="3110"/>
      <c r="I220" s="3048">
        <f>SUM(I221:I222)</f>
        <v>153896</v>
      </c>
      <c r="J220" s="3048">
        <f>I221</f>
        <v>78271</v>
      </c>
    </row>
    <row r="221" spans="1:10" s="3049" customFormat="1" ht="30" hidden="1" customHeight="1" outlineLevel="1">
      <c r="A221" s="3050">
        <v>901</v>
      </c>
      <c r="B221" s="3051" t="s">
        <v>4461</v>
      </c>
      <c r="C221" s="3052" t="s">
        <v>4288</v>
      </c>
      <c r="D221" s="3052" t="s">
        <v>4289</v>
      </c>
      <c r="E221" s="3052"/>
      <c r="F221" s="3057"/>
      <c r="G221" s="3054">
        <v>78271</v>
      </c>
      <c r="H221" s="3054"/>
      <c r="I221" s="3054">
        <f>G221</f>
        <v>78271</v>
      </c>
      <c r="J221" s="3054"/>
    </row>
    <row r="222" spans="1:10" s="3049" customFormat="1" ht="24.75" hidden="1" customHeight="1" outlineLevel="1">
      <c r="A222" s="3050">
        <v>902</v>
      </c>
      <c r="B222" s="3051" t="s">
        <v>4462</v>
      </c>
      <c r="C222" s="3052" t="s">
        <v>4288</v>
      </c>
      <c r="D222" s="3052" t="s">
        <v>4289</v>
      </c>
      <c r="E222" s="3052"/>
      <c r="F222" s="3057"/>
      <c r="G222" s="3054">
        <v>75625</v>
      </c>
      <c r="H222" s="3059"/>
      <c r="I222" s="3054">
        <f>G222</f>
        <v>75625</v>
      </c>
      <c r="J222" s="3054"/>
    </row>
    <row r="223" spans="1:10" s="3103" customFormat="1" ht="27.75" customHeight="1">
      <c r="A223" s="3044" t="s">
        <v>4478</v>
      </c>
      <c r="B223" s="3045" t="s">
        <v>4479</v>
      </c>
      <c r="C223" s="3046"/>
      <c r="D223" s="3046"/>
      <c r="E223" s="3046"/>
      <c r="F223" s="3047"/>
      <c r="G223" s="3048"/>
      <c r="H223" s="3110"/>
      <c r="I223" s="3048"/>
      <c r="J223" s="3048">
        <f>2910820.15/10000</f>
        <v>291.08201500000001</v>
      </c>
    </row>
    <row r="224" spans="1:10" s="3049" customFormat="1" ht="27" customHeight="1">
      <c r="A224" s="3112" t="s">
        <v>4480</v>
      </c>
      <c r="B224" s="3113" t="s">
        <v>4481</v>
      </c>
      <c r="C224" s="3114"/>
      <c r="D224" s="3114"/>
      <c r="E224" s="3114"/>
      <c r="F224" s="3115"/>
      <c r="G224" s="3116"/>
      <c r="H224" s="3116"/>
      <c r="I224" s="3116">
        <f>I4+I13+I107+I206+I210+I213+I216+I219+I220</f>
        <v>566151.70043521503</v>
      </c>
      <c r="J224" s="3116">
        <f>J4+J13+J107+J206+J210+J213+J216+J203+J219+J220+J223</f>
        <v>270683.81132499996</v>
      </c>
    </row>
    <row r="225" spans="1:10" s="3121" customFormat="1" ht="30.75" customHeight="1">
      <c r="A225" s="3146" t="s">
        <v>4482</v>
      </c>
      <c r="B225" s="3117"/>
      <c r="C225" s="3118"/>
      <c r="D225" s="3118"/>
      <c r="E225" s="3118"/>
      <c r="F225" s="3119"/>
      <c r="G225" s="3120"/>
      <c r="H225" s="3120"/>
      <c r="I225" s="3120"/>
    </row>
    <row r="226" spans="1:10" ht="27" hidden="1" customHeight="1">
      <c r="A226" s="3122" t="s">
        <v>4463</v>
      </c>
      <c r="B226" s="3123"/>
      <c r="C226" s="3123"/>
      <c r="D226" s="3123"/>
      <c r="E226" s="3123"/>
      <c r="F226" s="3123"/>
      <c r="G226" s="3123"/>
      <c r="H226" s="3123"/>
      <c r="J226" s="3147"/>
    </row>
    <row r="227" spans="1:10" s="3121" customFormat="1" ht="40.5" hidden="1" customHeight="1">
      <c r="A227" s="3124" t="s">
        <v>4277</v>
      </c>
      <c r="B227" s="3125" t="s">
        <v>4464</v>
      </c>
      <c r="C227" s="3126" t="s">
        <v>4465</v>
      </c>
      <c r="D227" s="3127" t="s">
        <v>4280</v>
      </c>
      <c r="E227" s="3127"/>
      <c r="F227" s="3128" t="s">
        <v>4466</v>
      </c>
      <c r="G227" s="3129" t="s">
        <v>4467</v>
      </c>
      <c r="H227" s="3129"/>
      <c r="J227" s="3142"/>
    </row>
    <row r="228" spans="1:10" s="3121" customFormat="1" ht="24.75" hidden="1" customHeight="1">
      <c r="A228" s="3124">
        <v>1</v>
      </c>
      <c r="B228" s="3130" t="s">
        <v>4468</v>
      </c>
      <c r="C228" s="3126">
        <v>2433</v>
      </c>
      <c r="D228" s="3127" t="s">
        <v>4469</v>
      </c>
      <c r="E228" s="3127"/>
      <c r="F228" s="3127">
        <v>200000</v>
      </c>
      <c r="G228" s="3131">
        <v>48660</v>
      </c>
      <c r="H228" s="3131"/>
      <c r="J228" s="3148"/>
    </row>
    <row r="229" spans="1:10" s="3121" customFormat="1" ht="23.25" hidden="1" customHeight="1">
      <c r="A229" s="3124">
        <v>2</v>
      </c>
      <c r="B229" s="3130" t="s">
        <v>3073</v>
      </c>
      <c r="C229" s="3126">
        <v>31583</v>
      </c>
      <c r="D229" s="3126" t="s">
        <v>4301</v>
      </c>
      <c r="E229" s="3126"/>
      <c r="F229" s="3127">
        <v>20000</v>
      </c>
      <c r="G229" s="3132">
        <v>63166</v>
      </c>
      <c r="H229" s="3132"/>
      <c r="J229" s="3148"/>
    </row>
    <row r="230" spans="1:10" s="3121" customFormat="1" ht="20.25" hidden="1" customHeight="1">
      <c r="A230" s="3124">
        <v>3</v>
      </c>
      <c r="B230" s="3130" t="s">
        <v>3072</v>
      </c>
      <c r="C230" s="3126">
        <v>44726</v>
      </c>
      <c r="D230" s="3127" t="s">
        <v>4301</v>
      </c>
      <c r="E230" s="3127"/>
      <c r="F230" s="3127">
        <v>50000</v>
      </c>
      <c r="G230" s="3132">
        <v>223630</v>
      </c>
      <c r="H230" s="3132"/>
      <c r="J230" s="3148"/>
    </row>
    <row r="231" spans="1:10" s="3121" customFormat="1" ht="20.25" hidden="1" customHeight="1">
      <c r="A231" s="3124">
        <v>4</v>
      </c>
      <c r="B231" s="3130" t="s">
        <v>4470</v>
      </c>
      <c r="C231" s="3126">
        <f>40690+42295</f>
        <v>82985</v>
      </c>
      <c r="D231" s="3127" t="s">
        <v>4301</v>
      </c>
      <c r="E231" s="3127"/>
      <c r="F231" s="3127">
        <v>18000</v>
      </c>
      <c r="G231" s="3132">
        <v>149373</v>
      </c>
      <c r="H231" s="3132"/>
      <c r="J231" s="3148"/>
    </row>
    <row r="232" spans="1:10" s="3121" customFormat="1" ht="20.25" hidden="1" customHeight="1">
      <c r="A232" s="3124">
        <v>5</v>
      </c>
      <c r="B232" s="3130" t="s">
        <v>4471</v>
      </c>
      <c r="C232" s="3126">
        <v>86916.92</v>
      </c>
      <c r="D232" s="3127" t="s">
        <v>4301</v>
      </c>
      <c r="E232" s="3127"/>
      <c r="F232" s="3127">
        <v>22000</v>
      </c>
      <c r="G232" s="3132">
        <v>191217.22399999999</v>
      </c>
      <c r="H232" s="3132"/>
      <c r="J232" s="3148"/>
    </row>
    <row r="233" spans="1:10" s="3121" customFormat="1" ht="20.25" hidden="1" customHeight="1">
      <c r="A233" s="3124">
        <v>6</v>
      </c>
      <c r="B233" s="3130" t="s">
        <v>4472</v>
      </c>
      <c r="C233" s="3126"/>
      <c r="D233" s="3127"/>
      <c r="E233" s="3127"/>
      <c r="F233" s="3127"/>
      <c r="G233" s="3131">
        <v>676046.22399999993</v>
      </c>
      <c r="H233" s="3131"/>
      <c r="J233" s="3148"/>
    </row>
    <row r="234" spans="1:10" s="3121" customFormat="1" ht="20.25" hidden="1" customHeight="1">
      <c r="A234" s="3124">
        <v>7</v>
      </c>
      <c r="B234" s="3129" t="s">
        <v>4473</v>
      </c>
      <c r="C234" s="3126">
        <f>G233</f>
        <v>676046.22399999993</v>
      </c>
      <c r="D234" s="3133">
        <v>0.12</v>
      </c>
      <c r="E234" s="3133"/>
      <c r="F234" s="3127"/>
      <c r="G234" s="3131">
        <v>81125.546879999994</v>
      </c>
      <c r="H234" s="3131"/>
      <c r="J234" s="3148"/>
    </row>
    <row r="235" spans="1:10" s="3121" customFormat="1" ht="20.25" hidden="1" customHeight="1">
      <c r="A235" s="3134">
        <v>8</v>
      </c>
      <c r="B235" s="3135" t="s">
        <v>4474</v>
      </c>
      <c r="C235" s="3136"/>
      <c r="D235" s="3137"/>
      <c r="E235" s="3137"/>
      <c r="F235" s="3137"/>
      <c r="G235" s="3138">
        <v>98799.677119999891</v>
      </c>
      <c r="H235" s="3138"/>
      <c r="J235" s="3148"/>
    </row>
    <row r="236" spans="1:10" ht="12" hidden="1" customHeight="1">
      <c r="J236" s="3148"/>
    </row>
    <row r="237" spans="1:10" ht="12" hidden="1" customHeight="1"/>
    <row r="238" spans="1:10" ht="12" hidden="1" customHeight="1"/>
    <row r="349" spans="1:44" s="3142" customFormat="1">
      <c r="A349" s="3139"/>
      <c r="B349" s="3140"/>
      <c r="C349" s="3141"/>
      <c r="D349" s="3141"/>
      <c r="E349" s="3141"/>
      <c r="F349" s="3034"/>
      <c r="G349" s="3035"/>
      <c r="H349" s="3035"/>
      <c r="I349" s="3035"/>
      <c r="K349" s="3036"/>
      <c r="L349" s="3036"/>
      <c r="M349" s="3036"/>
      <c r="N349" s="3036"/>
      <c r="O349" s="3036"/>
      <c r="P349" s="3036"/>
      <c r="Q349" s="3036"/>
      <c r="R349" s="3036"/>
      <c r="S349" s="3036"/>
      <c r="T349" s="3036"/>
      <c r="U349" s="3036"/>
      <c r="V349" s="3036"/>
      <c r="W349" s="3036"/>
      <c r="X349" s="3036"/>
      <c r="Y349" s="3036"/>
      <c r="Z349" s="3036"/>
      <c r="AA349" s="3036"/>
      <c r="AB349" s="3036"/>
      <c r="AC349" s="3036"/>
      <c r="AD349" s="3036"/>
      <c r="AE349" s="3036"/>
      <c r="AF349" s="3036"/>
      <c r="AG349" s="3036"/>
      <c r="AH349" s="3036"/>
      <c r="AI349" s="3036"/>
      <c r="AJ349" s="3036"/>
      <c r="AK349" s="3036"/>
      <c r="AL349" s="3036"/>
      <c r="AM349" s="3036"/>
      <c r="AN349" s="3036"/>
      <c r="AO349" s="3036"/>
      <c r="AP349" s="3036"/>
      <c r="AQ349" s="3036"/>
      <c r="AR349" s="3036"/>
    </row>
    <row r="351" spans="1:44" ht="14.25" customHeight="1">
      <c r="I351" s="3140"/>
    </row>
    <row r="352" spans="1:44" ht="14.25" customHeight="1">
      <c r="J352" s="3149"/>
    </row>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sheetData>
  <phoneticPr fontId="143" type="noConversion"/>
  <printOptions horizontalCentered="1"/>
  <pageMargins left="0.59" right="0.59" top="0.59" bottom="0.59" header="0.51" footer="0.51"/>
  <pageSetup paperSize="9" scale="43" orientation="portrait"/>
  <headerFooter>
    <oddFooter>第 &amp;P 页，共 &amp;N 页</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28" workbookViewId="0">
      <selection activeCell="C57" sqref="C57"/>
    </sheetView>
  </sheetViews>
  <sheetFormatPr defaultColWidth="8.375" defaultRowHeight="12.75"/>
  <cols>
    <col min="1" max="1" width="10.375" style="309" customWidth="1"/>
    <col min="2" max="2" width="29.125" style="291" customWidth="1"/>
    <col min="3" max="3" width="12.125" style="291" customWidth="1"/>
    <col min="4" max="5" width="11.125" style="312" customWidth="1"/>
    <col min="6" max="6" width="9.5" style="291" customWidth="1"/>
    <col min="7" max="7" width="31.875" style="291" customWidth="1"/>
    <col min="8" max="254" width="9" style="291" customWidth="1"/>
    <col min="255" max="16384" width="8.375" style="291"/>
  </cols>
  <sheetData>
    <row r="1" spans="1:9" s="240" customFormat="1" ht="20.25">
      <c r="A1" s="236" t="s">
        <v>2316</v>
      </c>
      <c r="B1" s="1929"/>
      <c r="C1" s="238"/>
      <c r="D1" s="238"/>
      <c r="E1" s="238"/>
      <c r="F1" s="238"/>
      <c r="G1" s="1372">
        <f>MATCH(B1,'数据-取费表'!A6:A16,0)+5</f>
        <v>11</v>
      </c>
    </row>
    <row r="2" spans="1:9" s="240" customFormat="1" ht="18" customHeight="1">
      <c r="A2" s="241" t="s">
        <v>2317</v>
      </c>
      <c r="B2" s="242">
        <f ca="1">IF(D2="——",C52,C52-E2)</f>
        <v>383261</v>
      </c>
      <c r="C2" s="239" t="s">
        <v>2318</v>
      </c>
      <c r="D2" s="2537" t="s">
        <v>70</v>
      </c>
      <c r="E2" s="1433" t="e">
        <f ca="1">SUMIF(INDIRECT("'"&amp;G2&amp;"'"&amp;"!A:A"),"承租人权益价值",INDIRECT("'"&amp;G2&amp;"'"&amp;"!c:c"))</f>
        <v>#REF!</v>
      </c>
      <c r="F2" s="2538" t="s">
        <v>2318</v>
      </c>
      <c r="G2" s="2539"/>
    </row>
    <row r="3" spans="1:9" s="240" customFormat="1" ht="18" customHeight="1" thickBot="1">
      <c r="A3" s="243" t="s">
        <v>2319</v>
      </c>
      <c r="B3" s="244">
        <f ca="1">ROUND(B2*10000/(IF(B1="",'数据-汇总表'!E3,INDIRECT("'数据-取费表'!k"&amp;$G$1))),0)</f>
        <v>10224</v>
      </c>
      <c r="C3" s="239" t="s">
        <v>2320</v>
      </c>
      <c r="D3" s="239"/>
      <c r="E3" s="239"/>
      <c r="F3" s="239"/>
      <c r="G3" s="239"/>
    </row>
    <row r="4" spans="1:9" s="248" customFormat="1" ht="15.75">
      <c r="A4" s="245" t="s">
        <v>2321</v>
      </c>
      <c r="B4" s="246"/>
      <c r="C4" s="246"/>
      <c r="D4" s="246"/>
      <c r="E4" s="246"/>
      <c r="F4" s="246"/>
      <c r="G4" s="247"/>
    </row>
    <row r="5" spans="1:9" s="254" customFormat="1" ht="13.5" customHeight="1">
      <c r="A5" s="295" t="s">
        <v>2322</v>
      </c>
      <c r="B5" s="250" t="s">
        <v>2323</v>
      </c>
      <c r="C5" s="251">
        <f>C6+C7+C8</f>
        <v>195717</v>
      </c>
      <c r="D5" s="251" t="s">
        <v>2324</v>
      </c>
      <c r="E5" s="252" t="s">
        <v>2325</v>
      </c>
      <c r="F5" s="252" t="s">
        <v>2326</v>
      </c>
      <c r="G5" s="253"/>
    </row>
    <row r="6" spans="1:9" s="254" customFormat="1" ht="13.5" customHeight="1">
      <c r="A6" s="942" t="s">
        <v>2327</v>
      </c>
      <c r="B6" s="255" t="s">
        <v>2328</v>
      </c>
      <c r="C6" s="256">
        <f>ROUND('土地比较法-住宅'!C48*'数据-汇总表'!F22/10000,0)+ROUND('土地比较法-商业'!C48*('数据-汇总表'!F19+'数据-汇总表'!F21)/10000+'土地比较法-商业'!F57+'土地比较法-商业'!F58,0)</f>
        <v>181670</v>
      </c>
      <c r="D6" s="257"/>
      <c r="E6" s="258"/>
      <c r="F6" s="258"/>
      <c r="G6" s="259"/>
    </row>
    <row r="7" spans="1:9" s="254" customFormat="1" ht="13.5" customHeight="1">
      <c r="A7" s="942" t="s">
        <v>2329</v>
      </c>
      <c r="B7" s="255" t="s">
        <v>2330</v>
      </c>
      <c r="C7" s="260">
        <f>ROUND(C6*F7,0)</f>
        <v>5541</v>
      </c>
      <c r="D7" s="260"/>
      <c r="E7" s="258"/>
      <c r="F7" s="261">
        <f>'数据-取费表'!B48+'数据-取费表'!B49</f>
        <v>3.0499999999999999E-2</v>
      </c>
      <c r="G7" s="259"/>
    </row>
    <row r="8" spans="1:9" s="263" customFormat="1">
      <c r="A8" s="942" t="s">
        <v>2331</v>
      </c>
      <c r="B8" s="255" t="s">
        <v>2332</v>
      </c>
      <c r="C8" s="260">
        <f>IF(G8="已包含在土地购买价格中","0",IF(B1="",'数据-取费表'!B29,IF(G9="全部缴纳",C9+C10,H9)))</f>
        <v>8506</v>
      </c>
      <c r="D8" s="262"/>
      <c r="E8" s="260"/>
      <c r="F8" s="261"/>
      <c r="G8" s="2540" t="s">
        <v>3043</v>
      </c>
    </row>
    <row r="9" spans="1:9" s="254" customFormat="1" ht="13.5" customHeight="1">
      <c r="A9" s="943" t="s">
        <v>800</v>
      </c>
      <c r="B9" s="264" t="s">
        <v>2333</v>
      </c>
      <c r="C9" s="265">
        <f ca="1">ROUND(D9*E9/10000,0)</f>
        <v>2451</v>
      </c>
      <c r="D9" s="1025">
        <f ca="1">IF(B1="",'数据-汇总表'!E5,IF(INDIRECT("'数据-取费表'!c"&amp;$G$1)="住宅",INDIRECT("'数据-取费表'!k"&amp;$G$1),0))</f>
        <v>84500</v>
      </c>
      <c r="E9" s="265">
        <f>'数据-取费表'!B27</f>
        <v>290</v>
      </c>
      <c r="F9" s="261"/>
      <c r="G9" s="2541" t="s">
        <v>4269</v>
      </c>
      <c r="H9" s="1383">
        <f>'数据-取费表'!B29</f>
        <v>8506</v>
      </c>
      <c r="I9" s="2542" t="s">
        <v>2334</v>
      </c>
    </row>
    <row r="10" spans="1:9" s="254" customFormat="1" ht="13.5" customHeight="1">
      <c r="A10" s="943" t="s">
        <v>801</v>
      </c>
      <c r="B10" s="264" t="s">
        <v>2335</v>
      </c>
      <c r="C10" s="265">
        <f ca="1">ROUND(D10*E10/10000,0)</f>
        <v>8421</v>
      </c>
      <c r="D10" s="1025">
        <f ca="1">IF(B1="",'数据-汇总表'!E6,IF(INDIRECT("'数据-取费表'!c"&amp;$G$1)="住宅",INDIRECT("'数据-取费表'!s"&amp;$G$1),INDIRECT("'数据-取费表'!k"&amp;$G$1)+INDIRECT("'数据-取费表'!s"&amp;$G$1)))</f>
        <v>290375.08999999997</v>
      </c>
      <c r="E10" s="265">
        <f>'数据-取费表'!B28</f>
        <v>290</v>
      </c>
      <c r="F10" s="261"/>
      <c r="G10" s="266"/>
    </row>
    <row r="11" spans="1:9" s="254" customFormat="1" ht="13.5" hidden="1" customHeight="1">
      <c r="A11" s="267" t="s">
        <v>7</v>
      </c>
      <c r="B11" s="255" t="s">
        <v>2336</v>
      </c>
      <c r="C11" s="251"/>
      <c r="D11" s="1027"/>
      <c r="E11" s="258"/>
      <c r="F11" s="258"/>
      <c r="G11" s="259"/>
    </row>
    <row r="12" spans="1:9" s="254" customFormat="1" ht="13.5" hidden="1" customHeight="1">
      <c r="A12" s="267" t="s">
        <v>8</v>
      </c>
      <c r="B12" s="255" t="s">
        <v>2337</v>
      </c>
      <c r="C12" s="251">
        <v>0</v>
      </c>
      <c r="D12" s="1027"/>
      <c r="E12" s="268"/>
      <c r="F12" s="261">
        <v>3.0499999999999999E-2</v>
      </c>
      <c r="G12" s="259"/>
    </row>
    <row r="13" spans="1:9" s="254" customFormat="1" ht="13.5" hidden="1" customHeight="1">
      <c r="A13" s="267" t="s">
        <v>9</v>
      </c>
      <c r="B13" s="255" t="s">
        <v>2338</v>
      </c>
      <c r="C13" s="251"/>
      <c r="D13" s="1027"/>
      <c r="E13" s="258"/>
      <c r="F13" s="258"/>
      <c r="G13" s="259"/>
    </row>
    <row r="14" spans="1:9" s="254" customFormat="1" ht="13.5" hidden="1" customHeight="1">
      <c r="A14" s="267" t="s">
        <v>10</v>
      </c>
      <c r="B14" s="255" t="s">
        <v>2339</v>
      </c>
      <c r="C14" s="251"/>
      <c r="D14" s="1027"/>
      <c r="E14" s="258"/>
      <c r="F14" s="258"/>
      <c r="G14" s="259" t="s">
        <v>2340</v>
      </c>
    </row>
    <row r="15" spans="1:9" s="254" customFormat="1" ht="13.5" hidden="1" customHeight="1">
      <c r="A15" s="267" t="s">
        <v>11</v>
      </c>
      <c r="B15" s="255" t="s">
        <v>2341</v>
      </c>
      <c r="C15" s="260"/>
      <c r="D15" s="1027"/>
      <c r="E15" s="258"/>
      <c r="F15" s="258"/>
      <c r="G15" s="259" t="s">
        <v>2342</v>
      </c>
    </row>
    <row r="16" spans="1:9" s="254" customFormat="1" ht="13.5" hidden="1" customHeight="1">
      <c r="A16" s="267" t="s">
        <v>12</v>
      </c>
      <c r="B16" s="255" t="s">
        <v>2339</v>
      </c>
      <c r="C16" s="260"/>
      <c r="D16" s="1027"/>
      <c r="E16" s="258"/>
      <c r="F16" s="258"/>
      <c r="G16" s="259"/>
    </row>
    <row r="17" spans="1:7" s="254" customFormat="1" ht="13.5" hidden="1" customHeight="1">
      <c r="A17" s="267" t="s">
        <v>13</v>
      </c>
      <c r="B17" s="255" t="s">
        <v>2343</v>
      </c>
      <c r="C17" s="269"/>
      <c r="D17" s="1028"/>
      <c r="E17" s="269"/>
      <c r="F17" s="269"/>
      <c r="G17" s="259" t="s">
        <v>2342</v>
      </c>
    </row>
    <row r="18" spans="1:7" s="254" customFormat="1" ht="13.5" hidden="1" customHeight="1">
      <c r="A18" s="267" t="s">
        <v>14</v>
      </c>
      <c r="B18" s="255" t="s">
        <v>2344</v>
      </c>
      <c r="C18" s="260">
        <v>0</v>
      </c>
      <c r="D18" s="1027"/>
      <c r="E18" s="258"/>
      <c r="F18" s="261">
        <v>3.0499999999999999E-2</v>
      </c>
      <c r="G18" s="259" t="s">
        <v>2345</v>
      </c>
    </row>
    <row r="19" spans="1:7" s="263" customFormat="1" ht="13.5" customHeight="1">
      <c r="A19" s="295" t="s">
        <v>2346</v>
      </c>
      <c r="B19" s="250" t="s">
        <v>2347</v>
      </c>
      <c r="C19" s="251" t="str">
        <f>IF(G19="已包含在土地取得成本中","0",ROUND(D19*E19/10000,0))</f>
        <v>0</v>
      </c>
      <c r="D19" s="1029">
        <f ca="1">D9+D10</f>
        <v>374875.08999999997</v>
      </c>
      <c r="E19" s="251">
        <f>'数据-取费表'!B31</f>
        <v>200</v>
      </c>
      <c r="F19" s="271"/>
      <c r="G19" s="2540" t="s">
        <v>3044</v>
      </c>
    </row>
    <row r="20" spans="1:7" s="254" customFormat="1" ht="13.5" customHeight="1">
      <c r="A20" s="295" t="s">
        <v>2348</v>
      </c>
      <c r="B20" s="250" t="s">
        <v>2349</v>
      </c>
      <c r="C20" s="272">
        <f>ROUND((C5+C19)*F20,0)</f>
        <v>5872</v>
      </c>
      <c r="D20" s="272"/>
      <c r="E20" s="272"/>
      <c r="F20" s="273">
        <f>'数据-取费表'!B37</f>
        <v>0.03</v>
      </c>
      <c r="G20" s="274" t="s">
        <v>2350</v>
      </c>
    </row>
    <row r="21" spans="1:7" s="254" customFormat="1" ht="13.5" customHeight="1">
      <c r="A21" s="295" t="s">
        <v>2351</v>
      </c>
      <c r="B21" s="250" t="s">
        <v>2352</v>
      </c>
      <c r="C21" s="275">
        <f>F21</f>
        <v>0.03</v>
      </c>
      <c r="D21" s="276" t="s">
        <v>2353</v>
      </c>
      <c r="E21" s="272"/>
      <c r="F21" s="273">
        <f>'数据-取费表'!B38</f>
        <v>0.03</v>
      </c>
      <c r="G21" s="274" t="s">
        <v>2354</v>
      </c>
    </row>
    <row r="22" spans="1:7" s="254" customFormat="1" ht="13.5" customHeight="1">
      <c r="A22" s="295" t="s">
        <v>2355</v>
      </c>
      <c r="B22" s="250" t="s">
        <v>2356</v>
      </c>
      <c r="C22" s="1347">
        <f ca="1">ROUND(SUM(C23:C25),0)</f>
        <v>24427</v>
      </c>
      <c r="D22" s="275">
        <f ca="1">C26</f>
        <v>1.8E-3</v>
      </c>
      <c r="E22" s="276" t="s">
        <v>2353</v>
      </c>
      <c r="F22" s="277">
        <f ca="1">'数据-取费表'!B40</f>
        <v>4.7500000000000001E-2</v>
      </c>
      <c r="G22" s="274" t="str">
        <f>IF('数据-取费表'!B22&lt;=1,"单利计息","复利计息")</f>
        <v>复利计息</v>
      </c>
    </row>
    <row r="23" spans="1:7" s="254" customFormat="1" ht="13.5" customHeight="1">
      <c r="A23" s="944" t="s">
        <v>2357</v>
      </c>
      <c r="B23" s="255" t="s">
        <v>2358</v>
      </c>
      <c r="C23" s="1348">
        <f ca="1">ROUND(IF('数据-取费表'!B22&lt;=1,C5*F22*'数据-取费表'!B23,C5*(POWER((1+F22),'数据-取费表'!B23)-1)),0)</f>
        <v>24076</v>
      </c>
      <c r="D23" s="278"/>
      <c r="E23" s="278"/>
      <c r="F23" s="279"/>
      <c r="G23" s="280" t="s">
        <v>2359</v>
      </c>
    </row>
    <row r="24" spans="1:7" s="254" customFormat="1" ht="13.5" customHeight="1">
      <c r="A24" s="944" t="s">
        <v>2360</v>
      </c>
      <c r="B24" s="255" t="s">
        <v>2361</v>
      </c>
      <c r="C24" s="1348">
        <f ca="1">ROUND(IF('数据-取费表'!B22&lt;=1,C19*F22*('数据-取费表'!B19/2+'数据-取费表'!B21),C19*(POWER((1+F22),('数据-取费表'!B19/2+'数据-取费表'!B21))-1)),0)</f>
        <v>0</v>
      </c>
      <c r="D24" s="278"/>
      <c r="E24" s="278"/>
      <c r="F24" s="279"/>
      <c r="G24" s="280" t="s">
        <v>2362</v>
      </c>
    </row>
    <row r="25" spans="1:7" s="254" customFormat="1" ht="24">
      <c r="A25" s="944" t="s">
        <v>2363</v>
      </c>
      <c r="B25" s="255" t="s">
        <v>2364</v>
      </c>
      <c r="C25" s="1348">
        <f ca="1">ROUND(IF('数据-取费表'!B22&lt;=1,C20*F22*'数据-取费表'!B23/2,C20*(POWER((1+F22),'数据-取费表'!B23/2)-1)),0)</f>
        <v>351</v>
      </c>
      <c r="D25" s="278"/>
      <c r="E25" s="281"/>
      <c r="F25" s="279"/>
      <c r="G25" s="282" t="s">
        <v>2365</v>
      </c>
    </row>
    <row r="26" spans="1:7" s="254" customFormat="1">
      <c r="A26" s="944" t="s">
        <v>795</v>
      </c>
      <c r="B26" s="255" t="s">
        <v>2366</v>
      </c>
      <c r="C26" s="278">
        <f ca="1">ROUND(IF('数据-取费表'!B22&lt;=1,F21*F22*'数据-取费表'!B23/2,F21*(POWER((1+F22),'数据-取费表'!B23/2)-1)),4)</f>
        <v>1.8E-3</v>
      </c>
      <c r="D26" s="278"/>
      <c r="E26" s="281"/>
      <c r="F26" s="279"/>
      <c r="G26" s="283"/>
    </row>
    <row r="27" spans="1:7" s="254" customFormat="1" ht="24.75">
      <c r="A27" s="295" t="s">
        <v>2367</v>
      </c>
      <c r="B27" s="284" t="s">
        <v>2368</v>
      </c>
      <c r="C27" s="285">
        <f ca="1">C28</f>
        <v>18899</v>
      </c>
      <c r="D27" s="275">
        <f ca="1">C29</f>
        <v>2.8E-3</v>
      </c>
      <c r="E27" s="276" t="s">
        <v>2369</v>
      </c>
      <c r="F27" s="286">
        <f ca="1">IF(B1="",'数据-取费表'!Q16,INDIRECT("'数据-取费表'!q"&amp;$G$1))</f>
        <v>0.15</v>
      </c>
      <c r="G27" s="287" t="s">
        <v>2370</v>
      </c>
    </row>
    <row r="28" spans="1:7" s="254" customFormat="1" ht="13.5" customHeight="1">
      <c r="A28" s="944" t="s">
        <v>791</v>
      </c>
      <c r="B28" s="288" t="s">
        <v>2371</v>
      </c>
      <c r="C28" s="289">
        <f ca="1">ROUND((C5+C19+C20)*F27*'数据-取费表'!B21/'数据-取费表'!B20,0)</f>
        <v>18899</v>
      </c>
      <c r="D28" s="275"/>
      <c r="E28" s="276"/>
      <c r="F28" s="286"/>
      <c r="G28" s="287"/>
    </row>
    <row r="29" spans="1:7" s="254" customFormat="1" ht="13.5" customHeight="1">
      <c r="A29" s="944" t="s">
        <v>792</v>
      </c>
      <c r="B29" s="288" t="s">
        <v>2372</v>
      </c>
      <c r="C29" s="278">
        <f ca="1">ROUND(C21*F27*'数据-取费表'!B21/'数据-取费表'!B20,4)</f>
        <v>2.8E-3</v>
      </c>
      <c r="D29" s="275"/>
      <c r="E29" s="276"/>
      <c r="F29" s="286"/>
      <c r="G29" s="287"/>
    </row>
    <row r="30" spans="1:7" s="254" customFormat="1" ht="13.5" customHeight="1">
      <c r="A30" s="295" t="s">
        <v>2373</v>
      </c>
      <c r="B30" s="250" t="s">
        <v>2374</v>
      </c>
      <c r="C30" s="275">
        <f>ROUND(F30/(1+'数据-取费表'!C42),4)</f>
        <v>5.33E-2</v>
      </c>
      <c r="D30" s="276" t="s">
        <v>2369</v>
      </c>
      <c r="E30" s="281"/>
      <c r="F30" s="277">
        <f>'数据-取费表'!B41</f>
        <v>5.6000000000000001E-2</v>
      </c>
      <c r="G30" s="274" t="s">
        <v>2375</v>
      </c>
    </row>
    <row r="31" spans="1:7" ht="16.5" customHeight="1">
      <c r="A31" s="249">
        <v>1</v>
      </c>
      <c r="B31" s="250" t="s">
        <v>2376</v>
      </c>
      <c r="C31" s="251">
        <f ca="1">ROUND((C5+C19+C20+C22+C27)/(1-C21-D22-D27-C30),0)</f>
        <v>268518</v>
      </c>
      <c r="D31" s="270"/>
      <c r="E31" s="251"/>
      <c r="F31" s="290"/>
      <c r="G31" s="274" t="s">
        <v>2377</v>
      </c>
    </row>
    <row r="32" spans="1:7" s="248" customFormat="1" ht="15.75">
      <c r="A32" s="292" t="s">
        <v>2378</v>
      </c>
      <c r="B32" s="293"/>
      <c r="C32" s="293"/>
      <c r="D32" s="293"/>
      <c r="E32" s="293"/>
      <c r="F32" s="293"/>
      <c r="G32" s="294"/>
    </row>
    <row r="33" spans="1:7" s="254" customFormat="1" ht="13.5" customHeight="1">
      <c r="A33" s="295" t="s">
        <v>782</v>
      </c>
      <c r="B33" s="250" t="s">
        <v>2379</v>
      </c>
      <c r="C33" s="296">
        <f ca="1">SUM(C34:C38)</f>
        <v>83837</v>
      </c>
      <c r="D33" s="272"/>
      <c r="E33" s="252"/>
      <c r="F33" s="281"/>
      <c r="G33" s="274"/>
    </row>
    <row r="34" spans="1:7" s="298" customFormat="1" ht="13.5" customHeight="1">
      <c r="A34" s="944" t="s">
        <v>791</v>
      </c>
      <c r="B34" s="255" t="s">
        <v>2380</v>
      </c>
      <c r="C34" s="260">
        <f ca="1">IF(B1="",IF(F34=100%,'数据-取费表'!M16,'数据-取费表'!O16),IF(F34=100%,INDIRECT("'数据-取费表'!m"&amp;$G$1)+INDIRECT("'数据-取费表'!t"&amp;$G$1),INDIRECT("'数据-取费表'!o"&amp;$G$1)+INDIRECT("'数据-取费表'!aq"&amp;$G$1)))</f>
        <v>76819</v>
      </c>
      <c r="D34" s="257"/>
      <c r="E34" s="260"/>
      <c r="F34" s="297">
        <f ca="1">IF('数据-取费表'!B24=0,1,IF(B1="",'数据-取费表'!N16,INDIRECT("'数据-取费表'!n"&amp;$G$1)))</f>
        <v>0.47499999999999998</v>
      </c>
      <c r="G34" s="259" t="s">
        <v>2381</v>
      </c>
    </row>
    <row r="35" spans="1:7" ht="13.5" customHeight="1">
      <c r="A35" s="944" t="s">
        <v>796</v>
      </c>
      <c r="B35" s="255" t="s">
        <v>2382</v>
      </c>
      <c r="C35" s="260">
        <f ca="1">ROUND(C34*F35,0)</f>
        <v>2305</v>
      </c>
      <c r="D35" s="260"/>
      <c r="E35" s="260"/>
      <c r="F35" s="299">
        <f>'数据-取费表'!B33</f>
        <v>0.03</v>
      </c>
      <c r="G35" s="259" t="s">
        <v>2383</v>
      </c>
    </row>
    <row r="36" spans="1:7" ht="24">
      <c r="A36" s="944" t="s">
        <v>797</v>
      </c>
      <c r="B36" s="255" t="s">
        <v>2384</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0.05</v>
      </c>
      <c r="G36" s="300" t="s">
        <v>2385</v>
      </c>
    </row>
    <row r="37" spans="1:7" s="298" customFormat="1" ht="13.5" customHeight="1">
      <c r="A37" s="944" t="s">
        <v>798</v>
      </c>
      <c r="B37" s="255" t="s">
        <v>2386</v>
      </c>
      <c r="C37" s="289">
        <f ca="1">ROUND(E37*D37*F34/10000,0)</f>
        <v>3561</v>
      </c>
      <c r="D37" s="257">
        <f ca="1">D19</f>
        <v>374875.08999999997</v>
      </c>
      <c r="E37" s="289">
        <f>'数据-取费表'!B35</f>
        <v>200</v>
      </c>
      <c r="F37" s="299"/>
      <c r="G37" s="301" t="s">
        <v>2387</v>
      </c>
    </row>
    <row r="38" spans="1:7" ht="13.5" customHeight="1">
      <c r="A38" s="944" t="s">
        <v>799</v>
      </c>
      <c r="B38" s="255" t="s">
        <v>2388</v>
      </c>
      <c r="C38" s="260">
        <f ca="1">ROUND(C34*F38,0)</f>
        <v>1152</v>
      </c>
      <c r="D38" s="260"/>
      <c r="E38" s="260"/>
      <c r="F38" s="299">
        <f>'数据-取费表'!B36</f>
        <v>1.4999999999999999E-2</v>
      </c>
      <c r="G38" s="259" t="s">
        <v>2383</v>
      </c>
    </row>
    <row r="39" spans="1:7" s="254" customFormat="1" ht="13.5" customHeight="1">
      <c r="A39" s="295" t="s">
        <v>2389</v>
      </c>
      <c r="B39" s="250" t="s">
        <v>2390</v>
      </c>
      <c r="C39" s="272">
        <f ca="1">ROUND(C33*F20,0)</f>
        <v>2515</v>
      </c>
      <c r="D39" s="272"/>
      <c r="E39" s="272"/>
      <c r="F39" s="273"/>
      <c r="G39" s="274" t="s">
        <v>2391</v>
      </c>
    </row>
    <row r="40" spans="1:7" s="254" customFormat="1" ht="13.5" customHeight="1">
      <c r="A40" s="295" t="s">
        <v>2392</v>
      </c>
      <c r="B40" s="250" t="s">
        <v>2393</v>
      </c>
      <c r="C40" s="1720">
        <f>F21</f>
        <v>0.03</v>
      </c>
      <c r="D40" s="276" t="s">
        <v>2394</v>
      </c>
      <c r="E40" s="272"/>
      <c r="F40" s="273"/>
      <c r="G40" s="274" t="s">
        <v>2395</v>
      </c>
    </row>
    <row r="41" spans="1:7" s="254" customFormat="1" ht="13.5" customHeight="1">
      <c r="A41" s="295" t="s">
        <v>2396</v>
      </c>
      <c r="B41" s="250" t="s">
        <v>2397</v>
      </c>
      <c r="C41" s="272">
        <f ca="1">ROUND(SUM(C42:C43),0)</f>
        <v>5157</v>
      </c>
      <c r="D41" s="275">
        <f ca="1">C44</f>
        <v>1.8E-3</v>
      </c>
      <c r="E41" s="276" t="s">
        <v>2394</v>
      </c>
      <c r="F41" s="277"/>
      <c r="G41" s="274" t="str">
        <f>IF('数据-取费表'!B22&lt;=1,"单利计息","复利计息")</f>
        <v>复利计息</v>
      </c>
    </row>
    <row r="42" spans="1:7" ht="13.5" customHeight="1">
      <c r="A42" s="944" t="s">
        <v>791</v>
      </c>
      <c r="B42" s="255" t="s">
        <v>2398</v>
      </c>
      <c r="C42" s="278">
        <f ca="1">ROUND(IF('数据-取费表'!B22&lt;=1,C33*F22*'数据-取费表'!B21/2,C33*(POWER((1+F22),'数据-取费表'!B21/2)-1)),0)</f>
        <v>5007</v>
      </c>
      <c r="D42" s="278"/>
      <c r="E42" s="278"/>
      <c r="F42" s="279"/>
      <c r="G42" s="3348" t="s">
        <v>2399</v>
      </c>
    </row>
    <row r="43" spans="1:7" ht="13.5" customHeight="1">
      <c r="A43" s="944" t="s">
        <v>792</v>
      </c>
      <c r="B43" s="255" t="s">
        <v>2400</v>
      </c>
      <c r="C43" s="278">
        <f ca="1">ROUND(IF('数据-取费表'!B22&lt;=1,C39*F22*'数据-取费表'!B21/2,C39*(POWER((1+F22),'数据-取费表'!B21/2)-1)),0)</f>
        <v>150</v>
      </c>
      <c r="D43" s="278"/>
      <c r="E43" s="278"/>
      <c r="F43" s="279"/>
      <c r="G43" s="3349"/>
    </row>
    <row r="44" spans="1:7" ht="13.5" customHeight="1">
      <c r="A44" s="944" t="s">
        <v>793</v>
      </c>
      <c r="B44" s="255" t="s">
        <v>2401</v>
      </c>
      <c r="C44" s="278">
        <f ca="1">ROUND(IF('数据-取费表'!B22&lt;=1,C40*F22*'数据-取费表'!B21/2,C40*(POWER((1+F22),'数据-取费表'!B21/2)-1)),4)</f>
        <v>1.8E-3</v>
      </c>
      <c r="D44" s="278"/>
      <c r="E44" s="278"/>
      <c r="F44" s="279"/>
      <c r="G44" s="3350"/>
    </row>
    <row r="45" spans="1:7" s="254" customFormat="1" ht="13.5" customHeight="1">
      <c r="A45" s="295" t="s">
        <v>2402</v>
      </c>
      <c r="B45" s="284" t="s">
        <v>2368</v>
      </c>
      <c r="C45" s="285">
        <f ca="1">C46</f>
        <v>12953</v>
      </c>
      <c r="D45" s="275">
        <f ca="1">C47</f>
        <v>4.4999999999999997E-3</v>
      </c>
      <c r="E45" s="276" t="s">
        <v>2394</v>
      </c>
      <c r="F45" s="286"/>
      <c r="G45" s="287" t="s">
        <v>2403</v>
      </c>
    </row>
    <row r="46" spans="1:7" s="254" customFormat="1" ht="13.5" customHeight="1">
      <c r="A46" s="944" t="s">
        <v>791</v>
      </c>
      <c r="B46" s="288" t="s">
        <v>2404</v>
      </c>
      <c r="C46" s="289">
        <f ca="1">ROUND((C33+C39)*F27,0)</f>
        <v>12953</v>
      </c>
      <c r="D46" s="303"/>
      <c r="E46" s="276"/>
      <c r="F46" s="286"/>
      <c r="G46" s="287"/>
    </row>
    <row r="47" spans="1:7" s="254" customFormat="1" ht="13.5" customHeight="1">
      <c r="A47" s="944" t="s">
        <v>792</v>
      </c>
      <c r="B47" s="288" t="s">
        <v>2405</v>
      </c>
      <c r="C47" s="278">
        <f ca="1">ROUND(C40*F27,4)</f>
        <v>4.4999999999999997E-3</v>
      </c>
      <c r="D47" s="303"/>
      <c r="E47" s="276"/>
      <c r="F47" s="286"/>
      <c r="G47" s="287"/>
    </row>
    <row r="48" spans="1:7" s="254" customFormat="1" ht="13.5" customHeight="1">
      <c r="A48" s="295" t="s">
        <v>2367</v>
      </c>
      <c r="B48" s="250" t="s">
        <v>2406</v>
      </c>
      <c r="C48" s="1720">
        <f>ROUND(F30/(1+'数据-取费表'!C42),4)</f>
        <v>5.33E-2</v>
      </c>
      <c r="D48" s="276" t="s">
        <v>2394</v>
      </c>
      <c r="E48" s="272"/>
      <c r="F48" s="277"/>
      <c r="G48" s="274" t="s">
        <v>2407</v>
      </c>
    </row>
    <row r="49" spans="1:7" ht="16.5" customHeight="1">
      <c r="A49" s="295" t="s">
        <v>2373</v>
      </c>
      <c r="B49" s="250" t="s">
        <v>2408</v>
      </c>
      <c r="C49" s="272">
        <f ca="1">ROUND((C33+C39+C41+C45)/(1-C40-D41-D45-C48),0)</f>
        <v>114743</v>
      </c>
      <c r="D49" s="272"/>
      <c r="E49" s="272"/>
      <c r="F49" s="304"/>
      <c r="G49" s="274" t="s">
        <v>2409</v>
      </c>
    </row>
    <row r="50" spans="1:7" s="298" customFormat="1" ht="24">
      <c r="A50" s="295" t="s">
        <v>2410</v>
      </c>
      <c r="B50" s="250" t="s">
        <v>2411</v>
      </c>
      <c r="C50" s="272"/>
      <c r="D50" s="272"/>
      <c r="E50" s="272"/>
      <c r="F50" s="304">
        <f>IF('数据-取费表'!B24=0,'数据-取费表'!N16,1)</f>
        <v>1</v>
      </c>
      <c r="G50" s="287" t="s">
        <v>2412</v>
      </c>
    </row>
    <row r="51" spans="1:7" ht="16.5" customHeight="1">
      <c r="A51" s="295" t="s">
        <v>2413</v>
      </c>
      <c r="B51" s="250" t="s">
        <v>2414</v>
      </c>
      <c r="C51" s="272">
        <f ca="1">ROUND(C49*F50,0)</f>
        <v>114743</v>
      </c>
      <c r="D51" s="272"/>
      <c r="E51" s="272"/>
      <c r="F51" s="304"/>
      <c r="G51" s="274" t="s">
        <v>2415</v>
      </c>
    </row>
    <row r="52" spans="1:7" s="248" customFormat="1" ht="16.5" thickBot="1">
      <c r="A52" s="305" t="s">
        <v>2416</v>
      </c>
      <c r="B52" s="306"/>
      <c r="C52" s="307">
        <f ca="1">C31+C51</f>
        <v>383261</v>
      </c>
      <c r="D52" s="306"/>
      <c r="E52" s="306"/>
      <c r="F52" s="306"/>
      <c r="G52" s="308"/>
    </row>
    <row r="55" spans="1:7" ht="15">
      <c r="B55" s="310" t="s">
        <v>2417</v>
      </c>
      <c r="C55" s="311"/>
    </row>
    <row r="56" spans="1:7">
      <c r="B56" s="313" t="s">
        <v>1513</v>
      </c>
      <c r="C56" s="315">
        <f ca="1">1-C57</f>
        <v>0.70100000000000007</v>
      </c>
    </row>
    <row r="57" spans="1:7">
      <c r="B57" s="313" t="s">
        <v>1514</v>
      </c>
      <c r="C57" s="314">
        <f ca="1">ROUND(C51/C52,3)</f>
        <v>0.29899999999999999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125" style="291" customWidth="1"/>
    <col min="3" max="3" width="12.125" style="291" customWidth="1"/>
    <col min="4" max="5" width="11.125" style="312" customWidth="1"/>
    <col min="6" max="6" width="9.5" style="291" customWidth="1"/>
    <col min="7" max="7" width="31.875" style="291" customWidth="1"/>
    <col min="8" max="8" width="10.625" style="291" customWidth="1"/>
    <col min="9" max="254" width="9" style="291" customWidth="1"/>
    <col min="255" max="16384" width="8.375" style="291"/>
  </cols>
  <sheetData>
    <row r="1" spans="1:8" s="240" customFormat="1" ht="20.25">
      <c r="A1" s="236" t="s">
        <v>2316</v>
      </c>
      <c r="B1" s="1929"/>
      <c r="C1" s="2543" t="s">
        <v>2418</v>
      </c>
      <c r="D1" s="238"/>
      <c r="E1" s="238"/>
      <c r="F1" s="238"/>
      <c r="G1" s="1372">
        <f>MATCH(B1,'数据-取费表'!A6:A16,0)+5</f>
        <v>11</v>
      </c>
      <c r="H1" s="1275" t="str">
        <f>IF(ISERROR(FIND("住宅",B1)),"非住宅","住宅")</f>
        <v>非住宅</v>
      </c>
    </row>
    <row r="2" spans="1:8" s="240" customFormat="1" ht="18" customHeight="1">
      <c r="A2" s="241" t="s">
        <v>2317</v>
      </c>
      <c r="B2" s="242">
        <f ca="1">ROUND(IF(D2="——",C52/10000,C52/10000-E2),0)</f>
        <v>280018</v>
      </c>
      <c r="C2" s="239" t="s">
        <v>2318</v>
      </c>
      <c r="D2" s="2537" t="s">
        <v>70</v>
      </c>
      <c r="E2" s="1433" t="e">
        <f ca="1">SUMIF(INDIRECT("'"&amp;G2&amp;"'"&amp;"!A:A"),"承租人权益价值",INDIRECT("'"&amp;G2&amp;"'"&amp;"!c:c"))</f>
        <v>#REF!</v>
      </c>
      <c r="F2" s="2538" t="s">
        <v>2318</v>
      </c>
      <c r="G2" s="2539"/>
    </row>
    <row r="3" spans="1:8" s="240" customFormat="1" ht="18" customHeight="1" thickBot="1">
      <c r="A3" s="243" t="s">
        <v>2319</v>
      </c>
      <c r="B3" s="244">
        <f ca="1">ROUND(B2*10000/(IF(B1="",'数据-汇总表'!E3,INDIRECT("'数据-取费表'!k"&amp;$G$1))),0)</f>
        <v>7470</v>
      </c>
      <c r="C3" s="239" t="s">
        <v>2320</v>
      </c>
      <c r="D3" s="239"/>
      <c r="E3" s="239"/>
      <c r="F3" s="239"/>
      <c r="G3" s="239"/>
    </row>
    <row r="4" spans="1:8" s="248" customFormat="1" ht="15.75">
      <c r="A4" s="245" t="s">
        <v>2321</v>
      </c>
      <c r="B4" s="246"/>
      <c r="C4" s="246"/>
      <c r="D4" s="246"/>
      <c r="E4" s="246"/>
      <c r="F4" s="246"/>
      <c r="G4" s="247"/>
    </row>
    <row r="5" spans="1:8" s="254" customFormat="1" ht="13.5" customHeight="1">
      <c r="A5" s="295" t="s">
        <v>2322</v>
      </c>
      <c r="B5" s="250" t="s">
        <v>2323</v>
      </c>
      <c r="C5" s="251">
        <f ca="1">C6+C7+C8</f>
        <v>108713776</v>
      </c>
      <c r="D5" s="251" t="s">
        <v>2324</v>
      </c>
      <c r="E5" s="252" t="s">
        <v>2325</v>
      </c>
      <c r="F5" s="252" t="s">
        <v>2326</v>
      </c>
      <c r="G5" s="253"/>
    </row>
    <row r="6" spans="1:8" s="254" customFormat="1" ht="13.5" customHeight="1">
      <c r="A6" s="942" t="s">
        <v>2327</v>
      </c>
      <c r="B6" s="255" t="s">
        <v>2328</v>
      </c>
      <c r="C6" s="256"/>
      <c r="D6" s="257"/>
      <c r="E6" s="258"/>
      <c r="F6" s="258"/>
      <c r="G6" s="259"/>
    </row>
    <row r="7" spans="1:8" s="254" customFormat="1" ht="13.5" customHeight="1">
      <c r="A7" s="942" t="s">
        <v>2329</v>
      </c>
      <c r="B7" s="255" t="s">
        <v>2330</v>
      </c>
      <c r="C7" s="260">
        <f>ROUND(C6*F7,0)</f>
        <v>0</v>
      </c>
      <c r="D7" s="260"/>
      <c r="E7" s="258"/>
      <c r="F7" s="261">
        <f>'数据-取费表'!B48+'数据-取费表'!B49</f>
        <v>3.0499999999999999E-2</v>
      </c>
      <c r="G7" s="259"/>
    </row>
    <row r="8" spans="1:8" s="263" customFormat="1">
      <c r="A8" s="942" t="s">
        <v>2331</v>
      </c>
      <c r="B8" s="255" t="s">
        <v>2332</v>
      </c>
      <c r="C8" s="260">
        <f ca="1">IF(G8="已包含在土地购买价格中",0,C9+C10)</f>
        <v>108713776</v>
      </c>
      <c r="D8" s="262"/>
      <c r="E8" s="260"/>
      <c r="F8" s="261"/>
      <c r="G8" s="2540"/>
    </row>
    <row r="9" spans="1:8" s="254" customFormat="1" ht="13.5" customHeight="1">
      <c r="A9" s="943" t="s">
        <v>800</v>
      </c>
      <c r="B9" s="264" t="s">
        <v>2333</v>
      </c>
      <c r="C9" s="265">
        <f ca="1">ROUND(D9*E9,0)</f>
        <v>24505000</v>
      </c>
      <c r="D9" s="1025">
        <f ca="1">IF(B1="",'数据-汇总表'!E5,IF(INDIRECT("'数据-取费表'!c"&amp;$G$1)="住宅",INDIRECT("'数据-取费表'!k"&amp;$G$1),0))</f>
        <v>84500</v>
      </c>
      <c r="E9" s="265">
        <f>'数据-取费表'!B27</f>
        <v>290</v>
      </c>
      <c r="F9" s="261"/>
      <c r="G9" s="266"/>
    </row>
    <row r="10" spans="1:8" s="254" customFormat="1" ht="13.5" customHeight="1">
      <c r="A10" s="943" t="s">
        <v>801</v>
      </c>
      <c r="B10" s="264" t="s">
        <v>2335</v>
      </c>
      <c r="C10" s="265">
        <f ca="1">ROUND(D10*E10,0)</f>
        <v>84208776</v>
      </c>
      <c r="D10" s="1025">
        <f ca="1">IF(B1="",'数据-汇总表'!E6,IF(INDIRECT("'数据-取费表'!c"&amp;$G$1)="住宅",INDIRECT("'数据-取费表'!s"&amp;$G$1),INDIRECT("'数据-取费表'!k"&amp;$G$1)+INDIRECT("'数据-取费表'!s"&amp;$G$1)))</f>
        <v>290375.08999999997</v>
      </c>
      <c r="E10" s="265">
        <f>'数据-取费表'!B28</f>
        <v>290</v>
      </c>
      <c r="F10" s="261"/>
      <c r="G10" s="266"/>
    </row>
    <row r="11" spans="1:8" s="254" customFormat="1" ht="13.5" hidden="1" customHeight="1">
      <c r="A11" s="267" t="s">
        <v>7</v>
      </c>
      <c r="B11" s="255" t="s">
        <v>2336</v>
      </c>
      <c r="C11" s="251"/>
      <c r="D11" s="1027"/>
      <c r="E11" s="258"/>
      <c r="F11" s="258"/>
      <c r="G11" s="259"/>
    </row>
    <row r="12" spans="1:8" s="254" customFormat="1" ht="13.5" hidden="1" customHeight="1">
      <c r="A12" s="267" t="s">
        <v>8</v>
      </c>
      <c r="B12" s="255" t="s">
        <v>2419</v>
      </c>
      <c r="C12" s="251">
        <v>0</v>
      </c>
      <c r="D12" s="1027"/>
      <c r="E12" s="268"/>
      <c r="F12" s="261">
        <v>3.0499999999999999E-2</v>
      </c>
      <c r="G12" s="259"/>
    </row>
    <row r="13" spans="1:8" s="254" customFormat="1" ht="13.5" hidden="1" customHeight="1">
      <c r="A13" s="267" t="s">
        <v>9</v>
      </c>
      <c r="B13" s="255" t="s">
        <v>2420</v>
      </c>
      <c r="C13" s="251"/>
      <c r="D13" s="1027"/>
      <c r="E13" s="258"/>
      <c r="F13" s="258"/>
      <c r="G13" s="259"/>
    </row>
    <row r="14" spans="1:8" s="254" customFormat="1" ht="13.5" hidden="1" customHeight="1">
      <c r="A14" s="267" t="s">
        <v>10</v>
      </c>
      <c r="B14" s="255" t="s">
        <v>2332</v>
      </c>
      <c r="C14" s="251"/>
      <c r="D14" s="1027"/>
      <c r="E14" s="258"/>
      <c r="F14" s="258"/>
      <c r="G14" s="259" t="s">
        <v>2421</v>
      </c>
    </row>
    <row r="15" spans="1:8" s="254" customFormat="1" ht="13.5" hidden="1" customHeight="1">
      <c r="A15" s="267" t="s">
        <v>11</v>
      </c>
      <c r="B15" s="255" t="s">
        <v>2422</v>
      </c>
      <c r="C15" s="260"/>
      <c r="D15" s="1027"/>
      <c r="E15" s="258"/>
      <c r="F15" s="258"/>
      <c r="G15" s="259" t="s">
        <v>2423</v>
      </c>
    </row>
    <row r="16" spans="1:8" s="254" customFormat="1" ht="13.5" hidden="1" customHeight="1">
      <c r="A16" s="267" t="s">
        <v>12</v>
      </c>
      <c r="B16" s="255" t="s">
        <v>2332</v>
      </c>
      <c r="C16" s="260"/>
      <c r="D16" s="1027"/>
      <c r="E16" s="258"/>
      <c r="F16" s="258"/>
      <c r="G16" s="259"/>
    </row>
    <row r="17" spans="1:7" s="254" customFormat="1" ht="13.5" hidden="1" customHeight="1">
      <c r="A17" s="267" t="s">
        <v>13</v>
      </c>
      <c r="B17" s="255" t="s">
        <v>2424</v>
      </c>
      <c r="C17" s="269"/>
      <c r="D17" s="1028"/>
      <c r="E17" s="269"/>
      <c r="F17" s="269"/>
      <c r="G17" s="259" t="s">
        <v>2423</v>
      </c>
    </row>
    <row r="18" spans="1:7" s="254" customFormat="1" ht="13.5" hidden="1" customHeight="1">
      <c r="A18" s="267" t="s">
        <v>14</v>
      </c>
      <c r="B18" s="255" t="s">
        <v>2425</v>
      </c>
      <c r="C18" s="260">
        <v>0</v>
      </c>
      <c r="D18" s="1027"/>
      <c r="E18" s="258"/>
      <c r="F18" s="261">
        <v>3.0499999999999999E-2</v>
      </c>
      <c r="G18" s="259" t="s">
        <v>2426</v>
      </c>
    </row>
    <row r="19" spans="1:7" s="263" customFormat="1" ht="13.5" customHeight="1">
      <c r="A19" s="295" t="s">
        <v>2427</v>
      </c>
      <c r="B19" s="250" t="s">
        <v>2428</v>
      </c>
      <c r="C19" s="251">
        <f ca="1">IF(G19="已包含在土地取得成本中","0",ROUND(D19*E19,0))</f>
        <v>74975018</v>
      </c>
      <c r="D19" s="1029">
        <f ca="1">D9+D10</f>
        <v>374875.08999999997</v>
      </c>
      <c r="E19" s="251">
        <f>'数据-取费表'!B31</f>
        <v>200</v>
      </c>
      <c r="F19" s="271"/>
      <c r="G19" s="2540"/>
    </row>
    <row r="20" spans="1:7" s="254" customFormat="1" ht="13.5" customHeight="1">
      <c r="A20" s="295" t="s">
        <v>2429</v>
      </c>
      <c r="B20" s="250" t="s">
        <v>2430</v>
      </c>
      <c r="C20" s="272">
        <f ca="1">ROUND((C5+C19)*F20,0)</f>
        <v>5510664</v>
      </c>
      <c r="D20" s="272"/>
      <c r="E20" s="272"/>
      <c r="F20" s="273">
        <f>'数据-取费表'!B37</f>
        <v>0.03</v>
      </c>
      <c r="G20" s="274" t="s">
        <v>2431</v>
      </c>
    </row>
    <row r="21" spans="1:7" s="254" customFormat="1" ht="13.5" customHeight="1">
      <c r="A21" s="295" t="s">
        <v>2432</v>
      </c>
      <c r="B21" s="250" t="s">
        <v>2433</v>
      </c>
      <c r="C21" s="275">
        <f>F21</f>
        <v>0.03</v>
      </c>
      <c r="D21" s="276" t="s">
        <v>2434</v>
      </c>
      <c r="E21" s="272"/>
      <c r="F21" s="273">
        <f>'数据-取费表'!B38</f>
        <v>0.03</v>
      </c>
      <c r="G21" s="274" t="s">
        <v>2435</v>
      </c>
    </row>
    <row r="22" spans="1:7" s="254" customFormat="1" ht="13.5" customHeight="1">
      <c r="A22" s="295" t="s">
        <v>2436</v>
      </c>
      <c r="B22" s="250" t="s">
        <v>2437</v>
      </c>
      <c r="C22" s="1373">
        <f ca="1">ROUND(SUM(C23:C25),0)</f>
        <v>38003185</v>
      </c>
      <c r="D22" s="275">
        <f ca="1">C26</f>
        <v>2.8999999999999998E-3</v>
      </c>
      <c r="E22" s="276" t="s">
        <v>2434</v>
      </c>
      <c r="F22" s="277">
        <f ca="1">'数据-取费表'!B40</f>
        <v>4.7500000000000001E-2</v>
      </c>
      <c r="G22" s="274" t="str">
        <f>IF('数据-取费表'!B22&lt;=1,"单利计息","复利计息")</f>
        <v>复利计息</v>
      </c>
    </row>
    <row r="23" spans="1:7" s="254" customFormat="1" ht="13.5" customHeight="1">
      <c r="A23" s="944" t="s">
        <v>2327</v>
      </c>
      <c r="B23" s="255" t="s">
        <v>2438</v>
      </c>
      <c r="C23" s="1374">
        <f ca="1">ROUND(IF('数据-取费表'!B22&lt;=1,C5*F22*'数据-取费表'!B22,C5*(POWER((1+F22),'数据-取费表'!B22)-1)),0)</f>
        <v>22174488</v>
      </c>
      <c r="D23" s="278"/>
      <c r="E23" s="278"/>
      <c r="F23" s="279"/>
      <c r="G23" s="280" t="s">
        <v>2439</v>
      </c>
    </row>
    <row r="24" spans="1:7" s="254" customFormat="1" ht="13.5" customHeight="1">
      <c r="A24" s="944" t="s">
        <v>2329</v>
      </c>
      <c r="B24" s="255" t="s">
        <v>2440</v>
      </c>
      <c r="C24" s="1374">
        <f ca="1">ROUND(IF('数据-取费表'!B22&lt;=1,C19*F22*('数据-取费表'!B19/2+'数据-取费表'!B20),C19*(POWER((1+F22),('数据-取费表'!B19/2+'数据-取费表'!B20))-1)),0)</f>
        <v>15292750</v>
      </c>
      <c r="D24" s="278"/>
      <c r="E24" s="278"/>
      <c r="F24" s="279"/>
      <c r="G24" s="280" t="s">
        <v>2441</v>
      </c>
    </row>
    <row r="25" spans="1:7" s="254" customFormat="1" ht="24">
      <c r="A25" s="944" t="s">
        <v>2331</v>
      </c>
      <c r="B25" s="255" t="s">
        <v>2442</v>
      </c>
      <c r="C25" s="1374">
        <f ca="1">ROUND(IF('数据-取费表'!B22&lt;=1,C20*F22*'数据-取费表'!B22/2,C20*(POWER((1+F22),'数据-取费表'!B22/2)-1)),0)</f>
        <v>535947</v>
      </c>
      <c r="D25" s="278"/>
      <c r="E25" s="281"/>
      <c r="F25" s="279"/>
      <c r="G25" s="282" t="s">
        <v>2443</v>
      </c>
    </row>
    <row r="26" spans="1:7" s="254" customFormat="1">
      <c r="A26" s="944" t="s">
        <v>795</v>
      </c>
      <c r="B26" s="255" t="s">
        <v>2366</v>
      </c>
      <c r="C26" s="278">
        <f ca="1">ROUND(IF('数据-取费表'!B22&lt;=1,F21*F22*'数据-取费表'!B22/2,F21*(POWER((1+F22),'数据-取费表'!B22/2)-1)),4)</f>
        <v>2.8999999999999998E-3</v>
      </c>
      <c r="D26" s="278"/>
      <c r="E26" s="281"/>
      <c r="F26" s="279"/>
      <c r="G26" s="283"/>
    </row>
    <row r="27" spans="1:7" s="254" customFormat="1" ht="24.75">
      <c r="A27" s="295" t="s">
        <v>2367</v>
      </c>
      <c r="B27" s="284" t="s">
        <v>2368</v>
      </c>
      <c r="C27" s="285">
        <f ca="1">C28</f>
        <v>28379919</v>
      </c>
      <c r="D27" s="275">
        <f ca="1">C29</f>
        <v>4.4999999999999997E-3</v>
      </c>
      <c r="E27" s="276" t="s">
        <v>2369</v>
      </c>
      <c r="F27" s="286">
        <f ca="1">IF(B1="",'数据-取费表'!Q16,INDIRECT("'数据-取费表'!q"&amp;$G$1))</f>
        <v>0.15</v>
      </c>
      <c r="G27" s="287" t="s">
        <v>2370</v>
      </c>
    </row>
    <row r="28" spans="1:7" s="254" customFormat="1" ht="13.5" customHeight="1">
      <c r="A28" s="944" t="s">
        <v>791</v>
      </c>
      <c r="B28" s="288" t="s">
        <v>2371</v>
      </c>
      <c r="C28" s="289">
        <f ca="1">ROUND((C5+C19+C20)*F27,0)</f>
        <v>28379919</v>
      </c>
      <c r="D28" s="275"/>
      <c r="E28" s="276"/>
      <c r="F28" s="286"/>
      <c r="G28" s="287"/>
    </row>
    <row r="29" spans="1:7" s="254" customFormat="1" ht="13.5" customHeight="1">
      <c r="A29" s="944" t="s">
        <v>792</v>
      </c>
      <c r="B29" s="288" t="s">
        <v>2372</v>
      </c>
      <c r="C29" s="278">
        <f ca="1">ROUND(C21*F27,4)</f>
        <v>4.4999999999999997E-3</v>
      </c>
      <c r="D29" s="275"/>
      <c r="E29" s="276"/>
      <c r="F29" s="286"/>
      <c r="G29" s="287"/>
    </row>
    <row r="30" spans="1:7" s="254" customFormat="1" ht="13.5" customHeight="1">
      <c r="A30" s="295" t="s">
        <v>2373</v>
      </c>
      <c r="B30" s="250" t="s">
        <v>2374</v>
      </c>
      <c r="C30" s="275">
        <f>ROUND(F30/(1+'数据-取费表'!C42),4)</f>
        <v>5.33E-2</v>
      </c>
      <c r="D30" s="276" t="s">
        <v>2369</v>
      </c>
      <c r="E30" s="281"/>
      <c r="F30" s="277">
        <f>'数据-取费表'!B41</f>
        <v>5.6000000000000001E-2</v>
      </c>
      <c r="G30" s="274" t="s">
        <v>2375</v>
      </c>
    </row>
    <row r="31" spans="1:7" ht="16.5" customHeight="1">
      <c r="A31" s="249">
        <v>1</v>
      </c>
      <c r="B31" s="250" t="s">
        <v>2376</v>
      </c>
      <c r="C31" s="251">
        <f ca="1">ROUND((C5+C19+C20+C22+C27)/(1-C21-D22-D27-C30),0)</f>
        <v>281076171</v>
      </c>
      <c r="D31" s="270"/>
      <c r="E31" s="251"/>
      <c r="F31" s="290"/>
      <c r="G31" s="274" t="s">
        <v>2377</v>
      </c>
    </row>
    <row r="32" spans="1:7" s="248" customFormat="1" ht="15.75">
      <c r="A32" s="292" t="s">
        <v>2444</v>
      </c>
      <c r="B32" s="293"/>
      <c r="C32" s="293"/>
      <c r="D32" s="293"/>
      <c r="E32" s="293"/>
      <c r="F32" s="293"/>
      <c r="G32" s="294"/>
    </row>
    <row r="33" spans="1:7" s="254" customFormat="1" ht="13.5" customHeight="1">
      <c r="A33" s="295" t="s">
        <v>782</v>
      </c>
      <c r="B33" s="250" t="s">
        <v>2445</v>
      </c>
      <c r="C33" s="296">
        <f ca="1">SUM(C34:C38)</f>
        <v>1783037695</v>
      </c>
      <c r="D33" s="272"/>
      <c r="E33" s="252"/>
      <c r="F33" s="281"/>
      <c r="G33" s="274"/>
    </row>
    <row r="34" spans="1:7" s="298" customFormat="1" ht="13.5" customHeight="1">
      <c r="A34" s="944" t="s">
        <v>791</v>
      </c>
      <c r="B34" s="255" t="s">
        <v>2380</v>
      </c>
      <c r="C34" s="260">
        <f ca="1">ROUND(IF(B1="",SUMPRODUCT('数据-取费表'!K6:K14,'数据-取费表'!L6:L14),INDIRECT("'数据-取费表'!l"&amp;$G$1)*INDIRECT("'数据-取费表'!k"&amp;$G$1)+'数据-取费表'!L14*INDIRECT("'数据-取费表'!S"&amp;$G$1)),0)</f>
        <v>1618337490</v>
      </c>
      <c r="D34" s="257"/>
      <c r="E34" s="260"/>
      <c r="F34" s="297"/>
      <c r="G34" s="259"/>
    </row>
    <row r="35" spans="1:7" ht="13.5" customHeight="1">
      <c r="A35" s="944" t="s">
        <v>796</v>
      </c>
      <c r="B35" s="255" t="s">
        <v>2382</v>
      </c>
      <c r="C35" s="260">
        <f ca="1">ROUND(C34*F35,0)</f>
        <v>48550125</v>
      </c>
      <c r="D35" s="260"/>
      <c r="E35" s="260"/>
      <c r="F35" s="299">
        <f>'数据-取费表'!B33</f>
        <v>0.03</v>
      </c>
      <c r="G35" s="259" t="s">
        <v>2383</v>
      </c>
    </row>
    <row r="36" spans="1:7" ht="24">
      <c r="A36" s="944" t="s">
        <v>797</v>
      </c>
      <c r="B36" s="255" t="s">
        <v>2384</v>
      </c>
      <c r="C36" s="260">
        <f ca="1">ROUND(IF(B1="",SUM('数据-取费表'!AP6:AP13)*F36,IF(INDIRECT("'数据-取费表'!c"&amp;$G$1)="住宅",INDIRECT("'数据-取费表'!k"&amp;$G$1)*INDIRECT("'数据-取费表'!l"&amp;$G$1)*F36,0)),0)</f>
        <v>16900000</v>
      </c>
      <c r="D36" s="260"/>
      <c r="E36" s="260"/>
      <c r="F36" s="299">
        <f>'数据-取费表'!B34</f>
        <v>0.05</v>
      </c>
      <c r="G36" s="300" t="s">
        <v>2385</v>
      </c>
    </row>
    <row r="37" spans="1:7" s="298" customFormat="1" ht="13.5" customHeight="1">
      <c r="A37" s="944" t="s">
        <v>798</v>
      </c>
      <c r="B37" s="255" t="s">
        <v>2386</v>
      </c>
      <c r="C37" s="289">
        <f ca="1">ROUND(E37*D37,0)</f>
        <v>74975018</v>
      </c>
      <c r="D37" s="257">
        <f ca="1">D19</f>
        <v>374875.08999999997</v>
      </c>
      <c r="E37" s="289">
        <f>'数据-取费表'!B35</f>
        <v>200</v>
      </c>
      <c r="F37" s="299"/>
      <c r="G37" s="301"/>
    </row>
    <row r="38" spans="1:7" ht="13.5" customHeight="1">
      <c r="A38" s="944" t="s">
        <v>799</v>
      </c>
      <c r="B38" s="255" t="s">
        <v>2388</v>
      </c>
      <c r="C38" s="260">
        <f ca="1">ROUND(C34*F38,0)</f>
        <v>24275062</v>
      </c>
      <c r="D38" s="260"/>
      <c r="E38" s="260"/>
      <c r="F38" s="299">
        <f>'数据-取费表'!B36</f>
        <v>1.4999999999999999E-2</v>
      </c>
      <c r="G38" s="259" t="s">
        <v>2383</v>
      </c>
    </row>
    <row r="39" spans="1:7" s="254" customFormat="1" ht="13.5" customHeight="1">
      <c r="A39" s="295" t="s">
        <v>2389</v>
      </c>
      <c r="B39" s="250" t="s">
        <v>2390</v>
      </c>
      <c r="C39" s="272">
        <f ca="1">ROUND(C33*F20,0)</f>
        <v>53491131</v>
      </c>
      <c r="D39" s="272"/>
      <c r="E39" s="272"/>
      <c r="F39" s="273"/>
      <c r="G39" s="274" t="s">
        <v>2391</v>
      </c>
    </row>
    <row r="40" spans="1:7" s="254" customFormat="1" ht="13.5" customHeight="1">
      <c r="A40" s="295" t="s">
        <v>2392</v>
      </c>
      <c r="B40" s="250" t="s">
        <v>2393</v>
      </c>
      <c r="C40" s="1720">
        <f>F21</f>
        <v>0.03</v>
      </c>
      <c r="D40" s="276" t="s">
        <v>2394</v>
      </c>
      <c r="E40" s="272"/>
      <c r="F40" s="273"/>
      <c r="G40" s="274" t="s">
        <v>2395</v>
      </c>
    </row>
    <row r="41" spans="1:7" s="254" customFormat="1" ht="13.5" customHeight="1">
      <c r="A41" s="295" t="s">
        <v>2396</v>
      </c>
      <c r="B41" s="250" t="s">
        <v>2397</v>
      </c>
      <c r="C41" s="272">
        <f ca="1">ROUND(SUM(C42:C43),0)</f>
        <v>178613907</v>
      </c>
      <c r="D41" s="275">
        <f ca="1">C44</f>
        <v>2.8999999999999998E-3</v>
      </c>
      <c r="E41" s="276" t="s">
        <v>2394</v>
      </c>
      <c r="F41" s="277"/>
      <c r="G41" s="274" t="str">
        <f>IF('数据-取费表'!B22&lt;=1,"单利计息","复利计息")</f>
        <v>复利计息</v>
      </c>
    </row>
    <row r="42" spans="1:7" ht="13.5" customHeight="1">
      <c r="A42" s="944" t="s">
        <v>791</v>
      </c>
      <c r="B42" s="255" t="s">
        <v>2398</v>
      </c>
      <c r="C42" s="278">
        <f ca="1">ROUND(IF('数据-取费表'!B22&lt;=1,C33*F22*'数据-取费表'!B20/2,C33*(POWER((1+F22),'数据-取费表'!B20/2)-1)),0)</f>
        <v>173411560</v>
      </c>
      <c r="D42" s="278"/>
      <c r="E42" s="278"/>
      <c r="F42" s="279"/>
      <c r="G42" s="3348" t="s">
        <v>2446</v>
      </c>
    </row>
    <row r="43" spans="1:7" ht="13.5" customHeight="1">
      <c r="A43" s="944" t="s">
        <v>792</v>
      </c>
      <c r="B43" s="255" t="s">
        <v>2400</v>
      </c>
      <c r="C43" s="278">
        <f ca="1">ROUND(IF('数据-取费表'!B22&lt;=1,C39*F22*'数据-取费表'!B20/2,C39*(POWER((1+F22),'数据-取费表'!B20/2)-1)),0)</f>
        <v>5202347</v>
      </c>
      <c r="D43" s="278"/>
      <c r="E43" s="278"/>
      <c r="F43" s="279"/>
      <c r="G43" s="3349"/>
    </row>
    <row r="44" spans="1:7" ht="13.5" customHeight="1">
      <c r="A44" s="944" t="s">
        <v>793</v>
      </c>
      <c r="B44" s="255" t="s">
        <v>2401</v>
      </c>
      <c r="C44" s="278">
        <f ca="1">ROUND(IF('数据-取费表'!B22&lt;=1,C40*F22*'数据-取费表'!B20/2,C40*(POWER((1+F22),'数据-取费表'!B20/2)-1)),4)</f>
        <v>2.8999999999999998E-3</v>
      </c>
      <c r="D44" s="278"/>
      <c r="E44" s="278"/>
      <c r="F44" s="279"/>
      <c r="G44" s="3350"/>
    </row>
    <row r="45" spans="1:7" s="254" customFormat="1" ht="13.5" customHeight="1">
      <c r="A45" s="295" t="s">
        <v>2402</v>
      </c>
      <c r="B45" s="284" t="s">
        <v>2368</v>
      </c>
      <c r="C45" s="285">
        <f ca="1">C46</f>
        <v>275479324</v>
      </c>
      <c r="D45" s="275">
        <f ca="1">C47</f>
        <v>4.4999999999999997E-3</v>
      </c>
      <c r="E45" s="276" t="s">
        <v>2394</v>
      </c>
      <c r="F45" s="286"/>
      <c r="G45" s="287" t="s">
        <v>2403</v>
      </c>
    </row>
    <row r="46" spans="1:7" s="254" customFormat="1" ht="13.5" customHeight="1">
      <c r="A46" s="944" t="s">
        <v>791</v>
      </c>
      <c r="B46" s="288" t="s">
        <v>2404</v>
      </c>
      <c r="C46" s="289">
        <f ca="1">ROUND((C33+C39)*F27,0)</f>
        <v>275479324</v>
      </c>
      <c r="D46" s="303"/>
      <c r="E46" s="276"/>
      <c r="F46" s="286"/>
      <c r="G46" s="287"/>
    </row>
    <row r="47" spans="1:7" s="254" customFormat="1" ht="13.5" customHeight="1">
      <c r="A47" s="944" t="s">
        <v>792</v>
      </c>
      <c r="B47" s="288" t="s">
        <v>2405</v>
      </c>
      <c r="C47" s="278">
        <f ca="1">ROUND(C40*F27,4)</f>
        <v>4.4999999999999997E-3</v>
      </c>
      <c r="D47" s="303"/>
      <c r="E47" s="276"/>
      <c r="F47" s="286"/>
      <c r="G47" s="287"/>
    </row>
    <row r="48" spans="1:7" s="254" customFormat="1" ht="13.5" customHeight="1">
      <c r="A48" s="295" t="s">
        <v>2367</v>
      </c>
      <c r="B48" s="250" t="s">
        <v>2406</v>
      </c>
      <c r="C48" s="302">
        <f>ROUND(F30/(1+'数据-取费表'!C42),4)</f>
        <v>5.33E-2</v>
      </c>
      <c r="D48" s="276" t="s">
        <v>2394</v>
      </c>
      <c r="E48" s="272"/>
      <c r="F48" s="277"/>
      <c r="G48" s="274" t="s">
        <v>2407</v>
      </c>
    </row>
    <row r="49" spans="1:7" ht="16.5" customHeight="1">
      <c r="A49" s="295" t="s">
        <v>2373</v>
      </c>
      <c r="B49" s="250" t="s">
        <v>2447</v>
      </c>
      <c r="C49" s="272">
        <f ca="1">ROUND((C33+C39+C41+C45)/(1-C40-D41-D45-C48),0)</f>
        <v>2519104869</v>
      </c>
      <c r="D49" s="272"/>
      <c r="E49" s="272"/>
      <c r="F49" s="304"/>
      <c r="G49" s="274" t="s">
        <v>2409</v>
      </c>
    </row>
    <row r="50" spans="1:7" s="298" customFormat="1">
      <c r="A50" s="295" t="s">
        <v>2410</v>
      </c>
      <c r="B50" s="250" t="s">
        <v>2411</v>
      </c>
      <c r="C50" s="272"/>
      <c r="D50" s="272"/>
      <c r="E50" s="272"/>
      <c r="F50" s="304">
        <f>IF('数据-取费表'!B24=0,'数据-取费表'!N16,1)</f>
        <v>1</v>
      </c>
      <c r="G50" s="287"/>
    </row>
    <row r="51" spans="1:7" ht="16.5" customHeight="1">
      <c r="A51" s="295" t="s">
        <v>2413</v>
      </c>
      <c r="B51" s="250" t="s">
        <v>2448</v>
      </c>
      <c r="C51" s="272">
        <f ca="1">ROUND(C49*F50,0)</f>
        <v>2519104869</v>
      </c>
      <c r="D51" s="272"/>
      <c r="E51" s="272"/>
      <c r="F51" s="304"/>
      <c r="G51" s="274" t="s">
        <v>2415</v>
      </c>
    </row>
    <row r="52" spans="1:7" s="248" customFormat="1" ht="16.5" thickBot="1">
      <c r="A52" s="305" t="s">
        <v>2416</v>
      </c>
      <c r="B52" s="306"/>
      <c r="C52" s="307">
        <f ca="1">C31+C51</f>
        <v>2800181040</v>
      </c>
      <c r="D52" s="306"/>
      <c r="E52" s="306"/>
      <c r="F52" s="306"/>
      <c r="G52" s="308"/>
    </row>
    <row r="55" spans="1:7" ht="15">
      <c r="B55" s="310" t="s">
        <v>2417</v>
      </c>
      <c r="C55" s="311"/>
    </row>
    <row r="56" spans="1:7">
      <c r="B56" s="313" t="s">
        <v>1513</v>
      </c>
      <c r="C56" s="315">
        <f ca="1">1-C57</f>
        <v>9.9999999999999978E-2</v>
      </c>
    </row>
    <row r="57" spans="1:7">
      <c r="B57" s="313" t="s">
        <v>1514</v>
      </c>
      <c r="C57" s="314">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topLeftCell="A15" zoomScale="80" zoomScaleNormal="80" zoomScalePageLayoutView="80" workbookViewId="0">
      <selection activeCell="G54" sqref="G54"/>
    </sheetView>
  </sheetViews>
  <sheetFormatPr defaultColWidth="8.875" defaultRowHeight="14.25"/>
  <cols>
    <col min="1" max="1" width="14.375" style="399" customWidth="1"/>
    <col min="2" max="2" width="15.625" style="399" customWidth="1"/>
    <col min="3" max="3" width="14.375" style="399" customWidth="1"/>
    <col min="4" max="4" width="14.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30" s="394" customFormat="1" ht="28.5" customHeight="1">
      <c r="A1" s="390" t="s">
        <v>2731</v>
      </c>
      <c r="B1" s="391"/>
      <c r="C1" s="392" t="s">
        <v>2732</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2317</v>
      </c>
      <c r="B2" s="667">
        <f>F66</f>
        <v>242494</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3"/>
    </row>
    <row r="3" spans="1:30" s="394" customFormat="1" ht="28.5" customHeight="1" thickBot="1">
      <c r="A3" s="243" t="s">
        <v>2319</v>
      </c>
      <c r="B3" s="605">
        <f>ROUND(IF(D3="",B2*10000/'数据-汇总表'!E3,B2*10000/D3),0)</f>
        <v>6469</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7" t="s">
        <v>2632</v>
      </c>
      <c r="B4" s="398"/>
      <c r="C4" s="3369" t="s">
        <v>2633</v>
      </c>
      <c r="D4" s="3370"/>
      <c r="E4" s="3371" t="s">
        <v>2634</v>
      </c>
      <c r="F4" s="3372"/>
      <c r="G4" s="3369" t="s">
        <v>2635</v>
      </c>
      <c r="H4" s="3370"/>
      <c r="I4" s="3369" t="s">
        <v>2636</v>
      </c>
      <c r="J4" s="3370"/>
      <c r="K4" s="606" t="s">
        <v>2637</v>
      </c>
      <c r="L4" s="1123"/>
      <c r="M4" s="1124"/>
      <c r="N4" s="1124"/>
      <c r="O4" s="1124"/>
      <c r="P4" s="3373" t="s">
        <v>2638</v>
      </c>
      <c r="Q4" s="3374"/>
      <c r="R4" s="3356" t="s">
        <v>2634</v>
      </c>
      <c r="S4" s="3357"/>
      <c r="T4" s="3356" t="s">
        <v>2635</v>
      </c>
      <c r="U4" s="3357"/>
      <c r="V4" s="3381" t="s">
        <v>2636</v>
      </c>
      <c r="W4" s="3381"/>
      <c r="X4" s="1805"/>
      <c r="Y4" s="3356" t="s">
        <v>2638</v>
      </c>
      <c r="Z4" s="3357"/>
      <c r="AA4" s="3351" t="s">
        <v>2634</v>
      </c>
      <c r="AB4" s="3352" t="s">
        <v>2635</v>
      </c>
      <c r="AC4" s="3351" t="s">
        <v>2636</v>
      </c>
    </row>
    <row r="5" spans="1:30" ht="45.75" customHeight="1">
      <c r="A5" s="400"/>
      <c r="B5" s="401"/>
      <c r="C5" s="3362" t="s">
        <v>2529</v>
      </c>
      <c r="D5" s="3363"/>
      <c r="E5" s="3360" t="str">
        <f>'土地案例（住宅）'!A32</f>
        <v>江北区大石坝组团E分区E14-2-1/03号宗地</v>
      </c>
      <c r="F5" s="3361"/>
      <c r="G5" s="3362" t="str">
        <f>'土地案例（住宅）'!A58</f>
        <v>九龙坡区大杨石组团G分区G14-5-1/04号宗地</v>
      </c>
      <c r="H5" s="3363"/>
      <c r="I5" s="3362" t="str">
        <f>'土地案例（住宅）'!A70</f>
        <v>江北区大石坝组团G分区G20-1-2/02号宗地</v>
      </c>
      <c r="J5" s="3363"/>
      <c r="K5" s="606"/>
      <c r="L5" s="1123"/>
      <c r="M5" s="1124"/>
      <c r="N5" s="1124"/>
      <c r="O5" s="1124"/>
      <c r="P5" s="3375"/>
      <c r="Q5" s="3376"/>
      <c r="R5" s="3358"/>
      <c r="S5" s="3359"/>
      <c r="T5" s="3358"/>
      <c r="U5" s="3359"/>
      <c r="V5" s="3381"/>
      <c r="W5" s="3381"/>
      <c r="X5" s="1805"/>
      <c r="Y5" s="3358"/>
      <c r="Z5" s="3359"/>
      <c r="AA5" s="3352"/>
      <c r="AB5" s="3352"/>
      <c r="AC5" s="3352"/>
    </row>
    <row r="6" spans="1:30" ht="15.75" thickBot="1">
      <c r="A6" s="402"/>
      <c r="B6" s="403"/>
      <c r="C6" s="3364" t="s">
        <v>2533</v>
      </c>
      <c r="D6" s="3365"/>
      <c r="E6" s="3366">
        <f>'土地案例（住宅）'!E32</f>
        <v>18010</v>
      </c>
      <c r="F6" s="3367"/>
      <c r="G6" s="3364">
        <f>'土地案例（住宅）'!E58</f>
        <v>17113</v>
      </c>
      <c r="H6" s="3365"/>
      <c r="I6" s="3364">
        <f>'土地案例（住宅）'!E70</f>
        <v>17105</v>
      </c>
      <c r="J6" s="3365"/>
      <c r="K6" s="606" t="s">
        <v>2534</v>
      </c>
      <c r="L6" s="1123"/>
      <c r="M6" s="1124"/>
      <c r="N6" s="1124"/>
      <c r="O6" s="1124"/>
      <c r="P6" s="3377"/>
      <c r="Q6" s="3378"/>
      <c r="R6" s="3358"/>
      <c r="S6" s="3359"/>
      <c r="T6" s="3379"/>
      <c r="U6" s="3380"/>
      <c r="V6" s="3381"/>
      <c r="W6" s="3381"/>
      <c r="X6" s="1805"/>
      <c r="Y6" s="3379"/>
      <c r="Z6" s="3380"/>
      <c r="AA6" s="3353"/>
      <c r="AB6" s="3353"/>
      <c r="AC6" s="3353"/>
    </row>
    <row r="7" spans="1:30" s="116" customFormat="1" ht="15.75" thickBot="1">
      <c r="A7" s="404" t="s">
        <v>2535</v>
      </c>
      <c r="B7" s="405"/>
      <c r="C7" s="406">
        <f>'数据-取费表'!B2</f>
        <v>43332</v>
      </c>
      <c r="D7" s="407">
        <v>100</v>
      </c>
      <c r="E7" s="408" t="str">
        <f>'土地案例（住宅）'!I32</f>
        <v>2018-02-13</v>
      </c>
      <c r="F7" s="409">
        <f>SUMIF(70:70,YEAR(E7)&amp;"-"&amp;INT((MONTH(E7)+2)/3),71:71)</f>
        <v>96</v>
      </c>
      <c r="G7" s="2686" t="str">
        <f>'土地案例（住宅）'!I58</f>
        <v>2017-08-31</v>
      </c>
      <c r="H7" s="407">
        <f>SUMIF(70:70,YEAR(G7)&amp;"-"&amp;INT((MONTH(G7)+2)/3),71:71)</f>
        <v>92</v>
      </c>
      <c r="I7" s="2686" t="str">
        <f>'土地案例（住宅）'!I70</f>
        <v>2017-08-22</v>
      </c>
      <c r="J7" s="407">
        <f>SUMIF(70:70,YEAR(I7)&amp;"-"&amp;INT((MONTH(I7)+2)/3),71:71)</f>
        <v>92</v>
      </c>
      <c r="K7" s="607"/>
      <c r="L7" s="1125"/>
      <c r="M7" s="1126"/>
      <c r="N7" s="1126"/>
      <c r="O7" s="1126"/>
      <c r="P7" s="3354" t="s">
        <v>2536</v>
      </c>
      <c r="Q7" s="3382"/>
      <c r="R7" s="766" t="s">
        <v>17</v>
      </c>
      <c r="S7" s="767">
        <f t="shared" ref="S7:S15" si="0">F7</f>
        <v>96</v>
      </c>
      <c r="T7" s="766" t="s">
        <v>17</v>
      </c>
      <c r="U7" s="767">
        <f t="shared" ref="U7:U15" si="1">H7</f>
        <v>92</v>
      </c>
      <c r="V7" s="766" t="s">
        <v>17</v>
      </c>
      <c r="W7" s="767">
        <f t="shared" ref="W7:W15" si="2">J7</f>
        <v>92</v>
      </c>
      <c r="X7" s="768"/>
      <c r="Y7" s="3354" t="s">
        <v>2536</v>
      </c>
      <c r="Z7" s="3355"/>
      <c r="AA7" s="769">
        <f>D7/F7</f>
        <v>1.0416666666666667</v>
      </c>
      <c r="AB7" s="769">
        <f>D7/H7</f>
        <v>1.0869565217391304</v>
      </c>
      <c r="AC7" s="769">
        <f>D7/J7</f>
        <v>1.0869565217391304</v>
      </c>
    </row>
    <row r="8" spans="1:30" s="116" customFormat="1" ht="15.75" thickBot="1">
      <c r="A8" s="404" t="s">
        <v>2537</v>
      </c>
      <c r="B8" s="405"/>
      <c r="C8" s="410" t="s">
        <v>2538</v>
      </c>
      <c r="D8" s="407">
        <v>100</v>
      </c>
      <c r="E8" s="410" t="s">
        <v>3189</v>
      </c>
      <c r="F8" s="409">
        <f>SUMIF(73:73,E8,74:74)-SUMIF(73:73,C8,74:74)+100</f>
        <v>100</v>
      </c>
      <c r="G8" s="410" t="s">
        <v>3189</v>
      </c>
      <c r="H8" s="407">
        <f>SUMIF(73:73,G8,74:74)-SUMIF(73:73,C8,74:74)+100</f>
        <v>100</v>
      </c>
      <c r="I8" s="410" t="s">
        <v>3189</v>
      </c>
      <c r="J8" s="407">
        <f>SUMIF(73:73,I8,74:74)-SUMIF(73:73,C8,74:74)+100</f>
        <v>100</v>
      </c>
      <c r="K8" s="607"/>
      <c r="L8" s="1125"/>
      <c r="M8" s="1126"/>
      <c r="N8" s="1126"/>
      <c r="O8" s="1126"/>
      <c r="P8" s="3354" t="s">
        <v>2539</v>
      </c>
      <c r="Q8" s="3355"/>
      <c r="R8" s="766" t="s">
        <v>17</v>
      </c>
      <c r="S8" s="767">
        <f t="shared" si="0"/>
        <v>100</v>
      </c>
      <c r="T8" s="766" t="s">
        <v>17</v>
      </c>
      <c r="U8" s="767">
        <f t="shared" si="1"/>
        <v>100</v>
      </c>
      <c r="V8" s="766" t="s">
        <v>17</v>
      </c>
      <c r="W8" s="767">
        <f t="shared" si="2"/>
        <v>100</v>
      </c>
      <c r="X8" s="768"/>
      <c r="Y8" s="3354" t="s">
        <v>2539</v>
      </c>
      <c r="Z8" s="3355"/>
      <c r="AA8" s="769">
        <f t="shared" ref="AA8:AA45" si="3">D8/F8</f>
        <v>1</v>
      </c>
      <c r="AB8" s="769">
        <f t="shared" ref="AB8:AB45" si="4">D8/H8</f>
        <v>1</v>
      </c>
      <c r="AC8" s="769">
        <f t="shared" ref="AC8:AC45" si="5">D8/J8</f>
        <v>1</v>
      </c>
    </row>
    <row r="9" spans="1:30" s="116" customFormat="1">
      <c r="A9" s="411" t="s">
        <v>2540</v>
      </c>
      <c r="B9" s="71" t="s">
        <v>2541</v>
      </c>
      <c r="C9" s="2689" t="s">
        <v>3045</v>
      </c>
      <c r="D9" s="132">
        <v>100</v>
      </c>
      <c r="E9" s="2689" t="s">
        <v>3112</v>
      </c>
      <c r="F9" s="132">
        <f>SUMIF(75:75,E9,76:76)-SUMIF(75:75,C9,76:76)+100</f>
        <v>100</v>
      </c>
      <c r="G9" s="2689" t="s">
        <v>3112</v>
      </c>
      <c r="H9" s="132">
        <f>SUMIF(75:75,G9,76:76)-SUMIF(75:75,C9,76:76)+100</f>
        <v>100</v>
      </c>
      <c r="I9" s="2689" t="s">
        <v>3112</v>
      </c>
      <c r="J9" s="132">
        <f>SUMIF(75:75,I9,76:76)-SUMIF(75:75,C9,76:76)+100</f>
        <v>100</v>
      </c>
      <c r="K9" s="607"/>
      <c r="L9" s="1125"/>
      <c r="M9" s="1126"/>
      <c r="N9" s="1126"/>
      <c r="O9" s="1127"/>
      <c r="P9" s="3368" t="s">
        <v>2542</v>
      </c>
      <c r="Q9" s="1787" t="str">
        <f t="shared" ref="Q9:Q15" si="6">B9</f>
        <v>用途</v>
      </c>
      <c r="R9" s="766" t="s">
        <v>17</v>
      </c>
      <c r="S9" s="767">
        <f t="shared" si="0"/>
        <v>100</v>
      </c>
      <c r="T9" s="766" t="s">
        <v>17</v>
      </c>
      <c r="U9" s="767">
        <f t="shared" si="1"/>
        <v>100</v>
      </c>
      <c r="V9" s="766" t="s">
        <v>17</v>
      </c>
      <c r="W9" s="767">
        <f t="shared" si="2"/>
        <v>100</v>
      </c>
      <c r="X9" s="768"/>
      <c r="Y9" s="3224" t="s">
        <v>2543</v>
      </c>
      <c r="Z9" s="55" t="str">
        <f t="shared" ref="Z9:Z15" si="7">Q9</f>
        <v>用途</v>
      </c>
      <c r="AA9" s="769">
        <f t="shared" si="3"/>
        <v>1</v>
      </c>
      <c r="AB9" s="769">
        <f t="shared" si="4"/>
        <v>1</v>
      </c>
      <c r="AC9" s="769">
        <f t="shared" si="5"/>
        <v>1</v>
      </c>
    </row>
    <row r="10" spans="1:30" s="423" customFormat="1" ht="27">
      <c r="A10" s="417"/>
      <c r="B10" s="418" t="s">
        <v>2544</v>
      </c>
      <c r="C10" s="428">
        <f>项目基本情况!F16</f>
        <v>0</v>
      </c>
      <c r="D10" s="133">
        <v>100</v>
      </c>
      <c r="E10" s="2984" t="s">
        <v>4496</v>
      </c>
      <c r="F10" s="3021">
        <f>ROUND(100/'数据-取费表'!G9,0)</f>
        <v>108</v>
      </c>
      <c r="G10" s="2984" t="s">
        <v>4496</v>
      </c>
      <c r="H10" s="3021">
        <f>ROUND(100/'数据-取费表'!G9,0)</f>
        <v>108</v>
      </c>
      <c r="I10" s="2984" t="s">
        <v>4496</v>
      </c>
      <c r="J10" s="3021">
        <f>ROUND(100/'数据-取费表'!G9,0)</f>
        <v>108</v>
      </c>
      <c r="K10" s="668"/>
      <c r="L10" s="1128"/>
      <c r="M10" s="1129"/>
      <c r="N10" s="1129"/>
      <c r="O10" s="1130"/>
      <c r="P10" s="3368"/>
      <c r="Q10" s="1787" t="str">
        <f t="shared" si="6"/>
        <v>土地使用年限（年）</v>
      </c>
      <c r="R10" s="766" t="s">
        <v>17</v>
      </c>
      <c r="S10" s="767">
        <f t="shared" si="0"/>
        <v>108</v>
      </c>
      <c r="T10" s="766" t="s">
        <v>17</v>
      </c>
      <c r="U10" s="767">
        <f t="shared" si="1"/>
        <v>108</v>
      </c>
      <c r="V10" s="766" t="s">
        <v>17</v>
      </c>
      <c r="W10" s="767">
        <f t="shared" si="2"/>
        <v>108</v>
      </c>
      <c r="X10" s="768"/>
      <c r="Y10" s="3224"/>
      <c r="Z10" s="55" t="str">
        <f t="shared" si="7"/>
        <v>土地使用年限（年）</v>
      </c>
      <c r="AA10" s="769">
        <f t="shared" si="3"/>
        <v>0.92592592592592593</v>
      </c>
      <c r="AB10" s="769">
        <f t="shared" si="4"/>
        <v>0.92592592592592593</v>
      </c>
      <c r="AC10" s="769">
        <f t="shared" si="5"/>
        <v>0.92592592592592593</v>
      </c>
    </row>
    <row r="11" spans="1:30" ht="15.75" thickBot="1">
      <c r="A11" s="424"/>
      <c r="B11" s="418" t="s">
        <v>2545</v>
      </c>
      <c r="C11" s="425">
        <f>'数据-汇总表'!I6</f>
        <v>8.73</v>
      </c>
      <c r="D11" s="133">
        <v>100</v>
      </c>
      <c r="E11" s="425">
        <v>3.5</v>
      </c>
      <c r="F11" s="133">
        <f>LOOKUP(E11,80:80,81:81)-LOOKUP(C11,80:80,81:81)+100</f>
        <v>106</v>
      </c>
      <c r="G11" s="426">
        <v>3.5</v>
      </c>
      <c r="H11" s="133">
        <f>LOOKUP(G11,80:80,81:81)-LOOKUP(C11,80:80,81:81)+100</f>
        <v>106</v>
      </c>
      <c r="I11" s="425">
        <v>5.5</v>
      </c>
      <c r="J11" s="133">
        <f>LOOKUP(I11,80:80,81:81)-LOOKUP(C11,80:80,81:81)+100</f>
        <v>104</v>
      </c>
      <c r="K11" s="669">
        <v>2</v>
      </c>
      <c r="L11" s="1131"/>
      <c r="M11" s="1124"/>
      <c r="N11" s="1124"/>
      <c r="O11" s="1132"/>
      <c r="P11" s="3368"/>
      <c r="Q11" s="1787" t="str">
        <f t="shared" si="6"/>
        <v>容积率</v>
      </c>
      <c r="R11" s="766" t="s">
        <v>17</v>
      </c>
      <c r="S11" s="767">
        <f t="shared" si="0"/>
        <v>106</v>
      </c>
      <c r="T11" s="766" t="s">
        <v>17</v>
      </c>
      <c r="U11" s="767">
        <f t="shared" si="1"/>
        <v>106</v>
      </c>
      <c r="V11" s="766" t="s">
        <v>17</v>
      </c>
      <c r="W11" s="767">
        <f t="shared" si="2"/>
        <v>104</v>
      </c>
      <c r="X11" s="768"/>
      <c r="Y11" s="3224"/>
      <c r="Z11" s="55" t="str">
        <f t="shared" si="7"/>
        <v>容积率</v>
      </c>
      <c r="AA11" s="769">
        <f t="shared" si="3"/>
        <v>0.94339622641509435</v>
      </c>
      <c r="AB11" s="769">
        <f t="shared" si="4"/>
        <v>0.94339622641509435</v>
      </c>
      <c r="AC11" s="769">
        <f t="shared" si="5"/>
        <v>0.96153846153846156</v>
      </c>
    </row>
    <row r="12" spans="1:30" s="116" customFormat="1" ht="15" hidden="1">
      <c r="A12" s="427"/>
      <c r="B12" s="2590"/>
      <c r="C12" s="428"/>
      <c r="D12" s="429">
        <v>100</v>
      </c>
      <c r="E12" s="461"/>
      <c r="F12" s="133">
        <f>SUMIF(82:82,E12,83:83)-SUMIF(82:82,C12,83:83)+100</f>
        <v>100</v>
      </c>
      <c r="G12" s="459"/>
      <c r="H12" s="133">
        <f>SUMIF(82:82,G12,83:83)-SUMIF(82:82,C12,83:83)+100</f>
        <v>100</v>
      </c>
      <c r="I12" s="461"/>
      <c r="J12" s="133">
        <f>SUMIF(82:82,I12,83:83)-SUMIF(82:82,C12,83:83)+100</f>
        <v>100</v>
      </c>
      <c r="K12" s="668"/>
      <c r="L12" s="1125"/>
      <c r="M12" s="1126"/>
      <c r="N12" s="1126"/>
      <c r="O12" s="1127"/>
      <c r="P12" s="3368"/>
      <c r="Q12" s="1787">
        <f t="shared" si="6"/>
        <v>0</v>
      </c>
      <c r="R12" s="766" t="s">
        <v>17</v>
      </c>
      <c r="S12" s="767">
        <f t="shared" si="0"/>
        <v>100</v>
      </c>
      <c r="T12" s="766" t="s">
        <v>17</v>
      </c>
      <c r="U12" s="767">
        <f t="shared" si="1"/>
        <v>100</v>
      </c>
      <c r="V12" s="766" t="s">
        <v>17</v>
      </c>
      <c r="W12" s="767">
        <f t="shared" si="2"/>
        <v>100</v>
      </c>
      <c r="X12" s="768"/>
      <c r="Y12" s="3224"/>
      <c r="Z12" s="55">
        <f t="shared" si="7"/>
        <v>0</v>
      </c>
      <c r="AA12" s="769">
        <f>D12/F12</f>
        <v>1</v>
      </c>
      <c r="AB12" s="769">
        <f>D12/H12</f>
        <v>1</v>
      </c>
      <c r="AC12" s="769">
        <f>D12/J12</f>
        <v>1</v>
      </c>
    </row>
    <row r="13" spans="1:30" ht="15" hidden="1">
      <c r="A13" s="424"/>
      <c r="B13" s="2590"/>
      <c r="C13" s="430"/>
      <c r="D13" s="431">
        <v>100</v>
      </c>
      <c r="E13" s="545"/>
      <c r="F13" s="133">
        <f>SUMIF(84:84,E13,85:85)-SUMIF(84:84,C13,85:85)+100</f>
        <v>100</v>
      </c>
      <c r="G13" s="670"/>
      <c r="H13" s="431">
        <f>SUMIF(84:84,G13,85:85)-SUMIF(84:84,C13,85:85)+100</f>
        <v>100</v>
      </c>
      <c r="I13" s="670"/>
      <c r="J13" s="431">
        <f>SUMIF(84:84,I13,85:85)-SUMIF(84:84,C13,85:85)+100</f>
        <v>100</v>
      </c>
      <c r="K13" s="668"/>
      <c r="L13" s="1133"/>
      <c r="M13" s="1124"/>
      <c r="N13" s="1124"/>
      <c r="O13" s="1132"/>
      <c r="P13" s="3368"/>
      <c r="Q13" s="1787">
        <f t="shared" si="6"/>
        <v>0</v>
      </c>
      <c r="R13" s="766" t="s">
        <v>17</v>
      </c>
      <c r="S13" s="767">
        <f t="shared" si="0"/>
        <v>100</v>
      </c>
      <c r="T13" s="766" t="s">
        <v>17</v>
      </c>
      <c r="U13" s="767">
        <f t="shared" si="1"/>
        <v>100</v>
      </c>
      <c r="V13" s="766" t="s">
        <v>17</v>
      </c>
      <c r="W13" s="767">
        <f t="shared" si="2"/>
        <v>100</v>
      </c>
      <c r="X13" s="768"/>
      <c r="Y13" s="3224"/>
      <c r="Z13" s="55">
        <f t="shared" si="7"/>
        <v>0</v>
      </c>
      <c r="AA13" s="769">
        <f>D13/F13</f>
        <v>1</v>
      </c>
      <c r="AB13" s="769">
        <f>D13/H13</f>
        <v>1</v>
      </c>
      <c r="AC13" s="769">
        <f>D13/J13</f>
        <v>1</v>
      </c>
    </row>
    <row r="14" spans="1:30" ht="15.75" hidden="1" thickBot="1">
      <c r="A14" s="432"/>
      <c r="B14" s="2592"/>
      <c r="C14" s="433"/>
      <c r="D14" s="434">
        <v>100</v>
      </c>
      <c r="E14" s="545"/>
      <c r="F14" s="434">
        <f>SUMIF(86:86,E14,87:87)-SUMIF(86:86,C14,87:87)+100</f>
        <v>100</v>
      </c>
      <c r="G14" s="670"/>
      <c r="H14" s="434">
        <f>SUMIF(86:86,G14,87:87)-SUMIF(86:86,C14,87:87)+100</f>
        <v>100</v>
      </c>
      <c r="I14" s="670"/>
      <c r="J14" s="434">
        <f>SUMIF(86:86,I14,87:87)-SUMIF(86:86,C14,87:87)+100</f>
        <v>100</v>
      </c>
      <c r="K14" s="668"/>
      <c r="L14" s="1133"/>
      <c r="M14" s="1124"/>
      <c r="N14" s="1124"/>
      <c r="O14" s="1132"/>
      <c r="P14" s="3368"/>
      <c r="Q14" s="1787">
        <f t="shared" si="6"/>
        <v>0</v>
      </c>
      <c r="R14" s="766" t="s">
        <v>17</v>
      </c>
      <c r="S14" s="767">
        <f t="shared" si="0"/>
        <v>100</v>
      </c>
      <c r="T14" s="766" t="s">
        <v>17</v>
      </c>
      <c r="U14" s="767">
        <f t="shared" si="1"/>
        <v>100</v>
      </c>
      <c r="V14" s="766" t="s">
        <v>17</v>
      </c>
      <c r="W14" s="767">
        <f t="shared" si="2"/>
        <v>100</v>
      </c>
      <c r="X14" s="768"/>
      <c r="Y14" s="3224"/>
      <c r="Z14" s="55">
        <f t="shared" si="7"/>
        <v>0</v>
      </c>
      <c r="AA14" s="769">
        <f>D14/F14</f>
        <v>1</v>
      </c>
      <c r="AB14" s="769">
        <f>D14/H14</f>
        <v>1</v>
      </c>
      <c r="AC14" s="769">
        <f>D14/J14</f>
        <v>1</v>
      </c>
    </row>
    <row r="15" spans="1:30" ht="57">
      <c r="A15" s="436" t="s">
        <v>2546</v>
      </c>
      <c r="B15" s="69" t="s">
        <v>2084</v>
      </c>
      <c r="C15" s="2593" t="str">
        <f>估价对象房地状况!C15</f>
        <v>周边居住用地比例、居住小区规模和社区发展完善程度</v>
      </c>
      <c r="D15" s="437">
        <v>100</v>
      </c>
      <c r="E15" s="438"/>
      <c r="F15" s="437">
        <f>SUMIF(88:88,E16,89:89)-SUMIF(88:88,C16,89:89)+100</f>
        <v>90</v>
      </c>
      <c r="G15" s="438"/>
      <c r="H15" s="437">
        <f>SUMIF(88:88,G16,89:89)-SUMIF(88:88,C16,89:89)+100</f>
        <v>90</v>
      </c>
      <c r="I15" s="440"/>
      <c r="J15" s="437">
        <f>SUMIF(88:88,I16,89:89)-SUMIF(88:88,C16,89:89)+100</f>
        <v>90</v>
      </c>
      <c r="K15" s="669">
        <v>5</v>
      </c>
      <c r="L15" s="1133"/>
      <c r="M15" s="1124"/>
      <c r="N15" s="1124"/>
      <c r="O15" s="1132"/>
      <c r="P15" s="3383" t="s">
        <v>2547</v>
      </c>
      <c r="Q15" s="1802" t="str">
        <f t="shared" si="6"/>
        <v>居住社区成熟度</v>
      </c>
      <c r="R15" s="770" t="s">
        <v>17</v>
      </c>
      <c r="S15" s="771">
        <f t="shared" si="0"/>
        <v>90</v>
      </c>
      <c r="T15" s="770" t="s">
        <v>17</v>
      </c>
      <c r="U15" s="771">
        <f t="shared" si="1"/>
        <v>90</v>
      </c>
      <c r="V15" s="770" t="s">
        <v>17</v>
      </c>
      <c r="W15" s="771">
        <f t="shared" si="2"/>
        <v>90</v>
      </c>
      <c r="X15" s="1805"/>
      <c r="Y15" s="3383" t="s">
        <v>2547</v>
      </c>
      <c r="Z15" s="1806" t="str">
        <f t="shared" si="7"/>
        <v>居住社区成熟度</v>
      </c>
      <c r="AA15" s="1803">
        <f t="shared" si="3"/>
        <v>1.1111111111111112</v>
      </c>
      <c r="AB15" s="1803">
        <f t="shared" si="4"/>
        <v>1.1111111111111112</v>
      </c>
      <c r="AC15" s="1803">
        <f t="shared" si="5"/>
        <v>1.1111111111111112</v>
      </c>
    </row>
    <row r="16" spans="1:30" ht="15">
      <c r="A16" s="424"/>
      <c r="B16" s="442"/>
      <c r="C16" s="443" t="s">
        <v>3191</v>
      </c>
      <c r="D16" s="444"/>
      <c r="E16" s="3501" t="s">
        <v>3190</v>
      </c>
      <c r="F16" s="444"/>
      <c r="G16" s="3501" t="s">
        <v>3190</v>
      </c>
      <c r="H16" s="446"/>
      <c r="I16" s="3500" t="s">
        <v>3190</v>
      </c>
      <c r="J16" s="444"/>
      <c r="K16" s="668"/>
      <c r="L16" s="1133"/>
      <c r="M16" s="1124"/>
      <c r="N16" s="1124"/>
      <c r="O16" s="1132"/>
      <c r="P16" s="3384"/>
      <c r="Q16" s="1802"/>
      <c r="R16" s="770"/>
      <c r="S16" s="771"/>
      <c r="T16" s="770"/>
      <c r="U16" s="771"/>
      <c r="V16" s="770"/>
      <c r="W16" s="771"/>
      <c r="X16" s="1805"/>
      <c r="Y16" s="3384"/>
      <c r="Z16" s="1806"/>
      <c r="AA16" s="1803">
        <v>1</v>
      </c>
      <c r="AB16" s="1803">
        <v>1</v>
      </c>
      <c r="AC16" s="1803">
        <v>1</v>
      </c>
    </row>
    <row r="17" spans="1:29" ht="28.5" hidden="1">
      <c r="A17" s="424"/>
      <c r="B17" s="447" t="s">
        <v>2640</v>
      </c>
      <c r="C17" s="2654" t="str">
        <f>估价对象房地状况!C16</f>
        <v>XX商圈，周边商业氛围，人流量</v>
      </c>
      <c r="D17" s="446">
        <v>100</v>
      </c>
      <c r="E17" s="448"/>
      <c r="F17" s="446">
        <f>SUMIF(90:90,E18,91:91)-SUMIF(90:90,C18,91:91)+100</f>
        <v>100</v>
      </c>
      <c r="G17" s="448"/>
      <c r="H17" s="451">
        <f>SUMIF(90:90,G18,91:91)-SUMIF(90:90,C18,91:91)+100</f>
        <v>100</v>
      </c>
      <c r="I17" s="450"/>
      <c r="J17" s="451">
        <f>SUMIF(90:90,I18,91:91)-SUMIF(90:90,C18,91:91)+100</f>
        <v>100</v>
      </c>
      <c r="K17" s="669">
        <v>5</v>
      </c>
      <c r="L17" s="1133"/>
      <c r="M17" s="1124"/>
      <c r="N17" s="1124"/>
      <c r="O17" s="1132"/>
      <c r="P17" s="3384"/>
      <c r="Q17" s="1802" t="str">
        <f>B17</f>
        <v>商业繁华度</v>
      </c>
      <c r="R17" s="770" t="s">
        <v>17</v>
      </c>
      <c r="S17" s="771">
        <f>F17</f>
        <v>100</v>
      </c>
      <c r="T17" s="770" t="s">
        <v>17</v>
      </c>
      <c r="U17" s="771">
        <f>H17</f>
        <v>100</v>
      </c>
      <c r="V17" s="770" t="s">
        <v>17</v>
      </c>
      <c r="W17" s="771">
        <f>J17</f>
        <v>100</v>
      </c>
      <c r="X17" s="1805"/>
      <c r="Y17" s="3384"/>
      <c r="Z17" s="1806" t="str">
        <f>Q17</f>
        <v>商业繁华度</v>
      </c>
      <c r="AA17" s="1803">
        <f t="shared" si="3"/>
        <v>1</v>
      </c>
      <c r="AB17" s="1803">
        <f t="shared" si="4"/>
        <v>1</v>
      </c>
      <c r="AC17" s="1803">
        <f t="shared" si="5"/>
        <v>1</v>
      </c>
    </row>
    <row r="18" spans="1:29" ht="15" hidden="1">
      <c r="A18" s="424"/>
      <c r="B18" s="452"/>
      <c r="C18" s="2598"/>
      <c r="D18" s="446"/>
      <c r="E18" s="2600"/>
      <c r="F18" s="446"/>
      <c r="G18" s="2600"/>
      <c r="H18" s="444"/>
      <c r="I18" s="2599"/>
      <c r="J18" s="444"/>
      <c r="K18" s="668"/>
      <c r="L18" s="1133"/>
      <c r="M18" s="1124"/>
      <c r="N18" s="1124"/>
      <c r="O18" s="1132"/>
      <c r="P18" s="3384"/>
      <c r="Q18" s="1802"/>
      <c r="R18" s="770"/>
      <c r="S18" s="771"/>
      <c r="T18" s="770"/>
      <c r="U18" s="771"/>
      <c r="V18" s="770"/>
      <c r="W18" s="771"/>
      <c r="X18" s="1805"/>
      <c r="Y18" s="3384"/>
      <c r="Z18" s="1806"/>
      <c r="AA18" s="1803">
        <v>1</v>
      </c>
      <c r="AB18" s="1803">
        <v>1</v>
      </c>
      <c r="AC18" s="1803">
        <v>1</v>
      </c>
    </row>
    <row r="19" spans="1:29" ht="42.75" hidden="1">
      <c r="A19" s="424"/>
      <c r="B19" s="447" t="s">
        <v>2674</v>
      </c>
      <c r="C19" s="2654" t="str">
        <f>估价对象房地状况!C17</f>
        <v>XX商圈，周边办公楼项目，入驻率</v>
      </c>
      <c r="D19" s="451">
        <v>100</v>
      </c>
      <c r="E19" s="453"/>
      <c r="F19" s="451">
        <f>SUMIF(92:92,E20,93:93)-SUMIF(92:92,C20,93:93)+100</f>
        <v>100</v>
      </c>
      <c r="G19" s="453"/>
      <c r="H19" s="446">
        <f>SUMIF(92:92,G20,93:93)-SUMIF(92:92,C20,93:93)+100</f>
        <v>100</v>
      </c>
      <c r="I19" s="455"/>
      <c r="J19" s="446">
        <f>SUMIF(92:92,I20,93:93)-SUMIF(92:92,C20,93:93)+100</f>
        <v>100</v>
      </c>
      <c r="K19" s="669">
        <v>5</v>
      </c>
      <c r="L19" s="1133"/>
      <c r="M19" s="1124"/>
      <c r="N19" s="1124"/>
      <c r="O19" s="1132"/>
      <c r="P19" s="3384"/>
      <c r="Q19" s="1802" t="str">
        <f>B19</f>
        <v>办公集聚程度</v>
      </c>
      <c r="R19" s="770" t="s">
        <v>17</v>
      </c>
      <c r="S19" s="771">
        <f>F19</f>
        <v>100</v>
      </c>
      <c r="T19" s="770" t="s">
        <v>17</v>
      </c>
      <c r="U19" s="771">
        <f>H19</f>
        <v>100</v>
      </c>
      <c r="V19" s="770" t="s">
        <v>17</v>
      </c>
      <c r="W19" s="771">
        <f>J19</f>
        <v>100</v>
      </c>
      <c r="X19" s="1805"/>
      <c r="Y19" s="3384"/>
      <c r="Z19" s="1806" t="str">
        <f>Q19</f>
        <v>办公集聚程度</v>
      </c>
      <c r="AA19" s="1803">
        <f t="shared" si="3"/>
        <v>1</v>
      </c>
      <c r="AB19" s="1803">
        <f t="shared" si="4"/>
        <v>1</v>
      </c>
      <c r="AC19" s="1803">
        <f t="shared" si="5"/>
        <v>1</v>
      </c>
    </row>
    <row r="20" spans="1:29" ht="15" hidden="1">
      <c r="A20" s="424"/>
      <c r="B20" s="452"/>
      <c r="C20" s="443"/>
      <c r="D20" s="444"/>
      <c r="E20" s="2595"/>
      <c r="F20" s="444"/>
      <c r="G20" s="2595"/>
      <c r="H20" s="444"/>
      <c r="I20" s="2594"/>
      <c r="J20" s="444"/>
      <c r="K20" s="668"/>
      <c r="L20" s="1133"/>
      <c r="M20" s="1124"/>
      <c r="N20" s="1124"/>
      <c r="O20" s="1132"/>
      <c r="P20" s="3384"/>
      <c r="Q20" s="1802"/>
      <c r="R20" s="770"/>
      <c r="S20" s="771"/>
      <c r="T20" s="770"/>
      <c r="U20" s="771"/>
      <c r="V20" s="770"/>
      <c r="W20" s="771"/>
      <c r="X20" s="1805"/>
      <c r="Y20" s="3384"/>
      <c r="Z20" s="1806"/>
      <c r="AA20" s="1803">
        <v>1</v>
      </c>
      <c r="AB20" s="1803">
        <v>1</v>
      </c>
      <c r="AC20" s="1803">
        <v>1</v>
      </c>
    </row>
    <row r="21" spans="1:29" ht="71.25">
      <c r="A21" s="424"/>
      <c r="B21" s="447" t="s">
        <v>2696</v>
      </c>
      <c r="C21" s="2597" t="str">
        <f>估价对象房地状况!C18</f>
        <v>周边道路状况、公共交通通达情况、停车便捷程度（地铁三号线观音桥</v>
      </c>
      <c r="D21" s="446">
        <v>100</v>
      </c>
      <c r="E21" s="448" t="s">
        <v>4150</v>
      </c>
      <c r="F21" s="451">
        <f>SUMIF(94:94,E22,95:95)-SUMIF(94:94,C22,95:95)+100</f>
        <v>90</v>
      </c>
      <c r="G21" s="2988" t="s">
        <v>4151</v>
      </c>
      <c r="H21" s="446">
        <f>SUMIF(94:94,G22,95:95)-SUMIF(94:94,C22,95:95)+100</f>
        <v>90</v>
      </c>
      <c r="I21" s="2987"/>
      <c r="J21" s="446">
        <f>SUMIF(94:94,I22,95:95)-SUMIF(94:94,C22,95:95)+100</f>
        <v>90</v>
      </c>
      <c r="K21" s="669">
        <v>5</v>
      </c>
      <c r="L21" s="1133"/>
      <c r="M21" s="1124"/>
      <c r="N21" s="1124"/>
      <c r="O21" s="1132"/>
      <c r="P21" s="3384"/>
      <c r="Q21" s="1802" t="str">
        <f>B21</f>
        <v>交通便捷度</v>
      </c>
      <c r="R21" s="770" t="s">
        <v>17</v>
      </c>
      <c r="S21" s="771">
        <f>F21</f>
        <v>90</v>
      </c>
      <c r="T21" s="770" t="s">
        <v>17</v>
      </c>
      <c r="U21" s="771">
        <f>H21</f>
        <v>90</v>
      </c>
      <c r="V21" s="770" t="s">
        <v>17</v>
      </c>
      <c r="W21" s="771">
        <f>J21</f>
        <v>90</v>
      </c>
      <c r="X21" s="1805"/>
      <c r="Y21" s="3384"/>
      <c r="Z21" s="1806" t="str">
        <f>Q21</f>
        <v>交通便捷度</v>
      </c>
      <c r="AA21" s="1803">
        <f t="shared" si="3"/>
        <v>1.1111111111111112</v>
      </c>
      <c r="AB21" s="1803">
        <f t="shared" si="4"/>
        <v>1.1111111111111112</v>
      </c>
      <c r="AC21" s="1803">
        <f t="shared" si="5"/>
        <v>1.1111111111111112</v>
      </c>
    </row>
    <row r="22" spans="1:29" ht="15">
      <c r="A22" s="424"/>
      <c r="B22" s="1377"/>
      <c r="C22" s="443" t="s">
        <v>3191</v>
      </c>
      <c r="D22" s="446"/>
      <c r="E22" s="2595" t="s">
        <v>3190</v>
      </c>
      <c r="F22" s="444"/>
      <c r="G22" s="2595" t="s">
        <v>3190</v>
      </c>
      <c r="H22" s="444"/>
      <c r="I22" s="2594" t="s">
        <v>3190</v>
      </c>
      <c r="J22" s="444"/>
      <c r="K22" s="668"/>
      <c r="L22" s="1133"/>
      <c r="M22" s="1124"/>
      <c r="N22" s="1124"/>
      <c r="O22" s="1132"/>
      <c r="P22" s="3384"/>
      <c r="Q22" s="1802"/>
      <c r="R22" s="770"/>
      <c r="S22" s="771"/>
      <c r="T22" s="770"/>
      <c r="U22" s="771"/>
      <c r="V22" s="770"/>
      <c r="W22" s="771"/>
      <c r="X22" s="1805"/>
      <c r="Y22" s="3384"/>
      <c r="Z22" s="1806"/>
      <c r="AA22" s="1803">
        <v>1</v>
      </c>
      <c r="AB22" s="1803">
        <v>1</v>
      </c>
      <c r="AC22" s="1803">
        <v>1</v>
      </c>
    </row>
    <row r="23" spans="1:29" ht="15">
      <c r="A23" s="400"/>
      <c r="B23" s="447" t="s">
        <v>2734</v>
      </c>
      <c r="C23" s="1382">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5</v>
      </c>
      <c r="L23" s="1133"/>
      <c r="M23" s="1124"/>
      <c r="N23" s="1124"/>
      <c r="O23" s="1132"/>
      <c r="P23" s="3384"/>
      <c r="Q23" s="1802" t="str">
        <f t="shared" ref="Q23:Q37" si="8">B23</f>
        <v>区域土地利用方向</v>
      </c>
      <c r="R23" s="770" t="s">
        <v>17</v>
      </c>
      <c r="S23" s="771">
        <f>F23</f>
        <v>100</v>
      </c>
      <c r="T23" s="770" t="s">
        <v>17</v>
      </c>
      <c r="U23" s="771">
        <f>H23</f>
        <v>100</v>
      </c>
      <c r="V23" s="770" t="s">
        <v>17</v>
      </c>
      <c r="W23" s="771">
        <f>J23</f>
        <v>100</v>
      </c>
      <c r="X23" s="1805"/>
      <c r="Y23" s="3384"/>
      <c r="Z23" s="1806" t="str">
        <f>Q23</f>
        <v>区域土地利用方向</v>
      </c>
      <c r="AA23" s="1803">
        <f t="shared" si="3"/>
        <v>1</v>
      </c>
      <c r="AB23" s="1803">
        <f t="shared" si="4"/>
        <v>1</v>
      </c>
      <c r="AC23" s="1803">
        <f t="shared" si="5"/>
        <v>1</v>
      </c>
    </row>
    <row r="24" spans="1:29" ht="15">
      <c r="A24" s="400"/>
      <c r="B24" s="452"/>
      <c r="C24" s="612" t="s">
        <v>3174</v>
      </c>
      <c r="D24" s="444"/>
      <c r="E24" s="612" t="s">
        <v>3174</v>
      </c>
      <c r="F24" s="444"/>
      <c r="G24" s="612" t="s">
        <v>3174</v>
      </c>
      <c r="H24" s="444"/>
      <c r="I24" s="612" t="s">
        <v>3174</v>
      </c>
      <c r="J24" s="444"/>
      <c r="K24" s="802"/>
      <c r="L24" s="1133"/>
      <c r="M24" s="1124"/>
      <c r="N24" s="1124"/>
      <c r="O24" s="1132"/>
      <c r="P24" s="3384"/>
      <c r="Q24" s="1802"/>
      <c r="R24" s="770"/>
      <c r="S24" s="771"/>
      <c r="T24" s="770"/>
      <c r="U24" s="771"/>
      <c r="V24" s="770"/>
      <c r="W24" s="771"/>
      <c r="X24" s="1805"/>
      <c r="Y24" s="3384"/>
      <c r="Z24" s="1806"/>
      <c r="AA24" s="1803"/>
      <c r="AB24" s="1803"/>
      <c r="AC24" s="1803"/>
    </row>
    <row r="25" spans="1:29" ht="27">
      <c r="A25" s="400"/>
      <c r="B25" s="1377" t="s">
        <v>2735</v>
      </c>
      <c r="C25" s="2654">
        <f>估价对象房地状况!C20</f>
        <v>0</v>
      </c>
      <c r="D25" s="446">
        <v>100</v>
      </c>
      <c r="E25" s="448"/>
      <c r="F25" s="446">
        <f>SUMIF(98:98,E26,99:99)-SUMIF(98:98,C26,99:99)+100</f>
        <v>95</v>
      </c>
      <c r="G25" s="2988"/>
      <c r="H25" s="446">
        <f>SUMIF(98:98,G26,99:99)-SUMIF(98:98,C26,99:99)+100</f>
        <v>95</v>
      </c>
      <c r="I25" s="2987" t="s">
        <v>3372</v>
      </c>
      <c r="J25" s="446">
        <f>SUMIF(98:98,I26,99:99)-SUMIF(98:98,C26,99:99)+100</f>
        <v>100</v>
      </c>
      <c r="K25" s="669">
        <v>5</v>
      </c>
      <c r="L25" s="1133"/>
      <c r="M25" s="1124"/>
      <c r="N25" s="1124"/>
      <c r="O25" s="1132"/>
      <c r="P25" s="3384"/>
      <c r="Q25" s="1802" t="str">
        <f t="shared" si="8"/>
        <v>自然及人文环境状况</v>
      </c>
      <c r="R25" s="770" t="s">
        <v>17</v>
      </c>
      <c r="S25" s="771">
        <f>F25</f>
        <v>95</v>
      </c>
      <c r="T25" s="770" t="s">
        <v>17</v>
      </c>
      <c r="U25" s="771">
        <f>H25</f>
        <v>95</v>
      </c>
      <c r="V25" s="770" t="s">
        <v>17</v>
      </c>
      <c r="W25" s="771">
        <f>J25</f>
        <v>100</v>
      </c>
      <c r="X25" s="1805"/>
      <c r="Y25" s="3384"/>
      <c r="Z25" s="1806" t="str">
        <f>Q25</f>
        <v>自然及人文环境状况</v>
      </c>
      <c r="AA25" s="1803">
        <f t="shared" si="3"/>
        <v>1.0526315789473684</v>
      </c>
      <c r="AB25" s="1803">
        <f t="shared" si="4"/>
        <v>1.0526315789473684</v>
      </c>
      <c r="AC25" s="1803">
        <f t="shared" si="5"/>
        <v>1</v>
      </c>
    </row>
    <row r="26" spans="1:29" ht="15">
      <c r="A26" s="400"/>
      <c r="B26" s="452"/>
      <c r="C26" s="443" t="s">
        <v>3174</v>
      </c>
      <c r="D26" s="444"/>
      <c r="E26" s="3496" t="s">
        <v>3190</v>
      </c>
      <c r="F26" s="444"/>
      <c r="G26" s="3495" t="s">
        <v>3190</v>
      </c>
      <c r="H26" s="444"/>
      <c r="I26" s="3496" t="s">
        <v>3174</v>
      </c>
      <c r="J26" s="444"/>
      <c r="K26" s="668"/>
      <c r="L26" s="1133"/>
      <c r="M26" s="1124"/>
      <c r="N26" s="1124"/>
      <c r="O26" s="1132"/>
      <c r="P26" s="3384"/>
      <c r="Q26" s="1802"/>
      <c r="R26" s="770"/>
      <c r="S26" s="771"/>
      <c r="T26" s="770"/>
      <c r="U26" s="771"/>
      <c r="V26" s="770"/>
      <c r="W26" s="771"/>
      <c r="X26" s="1805"/>
      <c r="Y26" s="3384"/>
      <c r="Z26" s="1806"/>
      <c r="AA26" s="1803">
        <v>1</v>
      </c>
      <c r="AB26" s="1803">
        <v>1</v>
      </c>
      <c r="AC26" s="1803">
        <v>1</v>
      </c>
    </row>
    <row r="27" spans="1:29" s="116" customFormat="1" ht="15">
      <c r="A27" s="645"/>
      <c r="B27" s="1377" t="s">
        <v>2641</v>
      </c>
      <c r="C27" s="2597">
        <f>估价对象房地状况!C21</f>
        <v>0</v>
      </c>
      <c r="D27" s="446">
        <v>100</v>
      </c>
      <c r="E27" s="448"/>
      <c r="F27" s="446">
        <f>SUMIF(100:100,E28,101:101)-SUMIF(100:100,C28,101:101)+100</f>
        <v>95</v>
      </c>
      <c r="G27" s="448"/>
      <c r="H27" s="446">
        <f>SUMIF(100:100,G28,101:101)-SUMIF(100:100,C28,101:101)+100</f>
        <v>95</v>
      </c>
      <c r="I27" s="450"/>
      <c r="J27" s="446">
        <f>SUMIF(100:100,I28,101:101)-SUMIF(100:100,C28,101:101)+100</f>
        <v>95</v>
      </c>
      <c r="K27" s="669">
        <v>5</v>
      </c>
      <c r="L27" s="1125"/>
      <c r="M27" s="1126"/>
      <c r="N27" s="1126"/>
      <c r="O27" s="1127"/>
      <c r="P27" s="3384"/>
      <c r="Q27" s="1787" t="str">
        <f t="shared" si="8"/>
        <v>公共配套设施</v>
      </c>
      <c r="R27" s="766" t="s">
        <v>17</v>
      </c>
      <c r="S27" s="767">
        <f>F27</f>
        <v>95</v>
      </c>
      <c r="T27" s="766" t="s">
        <v>17</v>
      </c>
      <c r="U27" s="767">
        <f>H27</f>
        <v>95</v>
      </c>
      <c r="V27" s="766" t="s">
        <v>17</v>
      </c>
      <c r="W27" s="767">
        <f>J27</f>
        <v>95</v>
      </c>
      <c r="X27" s="768"/>
      <c r="Y27" s="3384"/>
      <c r="Z27" s="55" t="str">
        <f>Q27</f>
        <v>公共配套设施</v>
      </c>
      <c r="AA27" s="1803">
        <f>D27/F27</f>
        <v>1.0526315789473684</v>
      </c>
      <c r="AB27" s="1803">
        <f>D27/H27</f>
        <v>1.0526315789473684</v>
      </c>
      <c r="AC27" s="1803">
        <f>D27/J27</f>
        <v>1.0526315789473684</v>
      </c>
    </row>
    <row r="28" spans="1:29" s="116" customFormat="1" ht="15">
      <c r="A28" s="645"/>
      <c r="B28" s="452"/>
      <c r="C28" s="2690" t="s">
        <v>3174</v>
      </c>
      <c r="D28" s="444"/>
      <c r="E28" s="2601" t="s">
        <v>3190</v>
      </c>
      <c r="F28" s="444"/>
      <c r="G28" s="2601" t="s">
        <v>3190</v>
      </c>
      <c r="H28" s="444"/>
      <c r="I28" s="443" t="s">
        <v>3190</v>
      </c>
      <c r="J28" s="444"/>
      <c r="K28" s="668"/>
      <c r="L28" s="1125"/>
      <c r="M28" s="1126"/>
      <c r="N28" s="1126"/>
      <c r="O28" s="1127"/>
      <c r="P28" s="3384"/>
      <c r="Q28" s="1787"/>
      <c r="R28" s="766"/>
      <c r="S28" s="767"/>
      <c r="T28" s="766"/>
      <c r="U28" s="767"/>
      <c r="V28" s="766"/>
      <c r="W28" s="767"/>
      <c r="X28" s="768"/>
      <c r="Y28" s="3384"/>
      <c r="Z28" s="55"/>
      <c r="AA28" s="1803">
        <v>1</v>
      </c>
      <c r="AB28" s="1803">
        <v>1</v>
      </c>
      <c r="AC28" s="1803">
        <v>1</v>
      </c>
    </row>
    <row r="29" spans="1:29" s="116" customFormat="1" ht="15">
      <c r="A29" s="645"/>
      <c r="B29" s="1377" t="s">
        <v>2642</v>
      </c>
      <c r="C29" s="2597">
        <f>估价对象房地状况!C22</f>
        <v>0</v>
      </c>
      <c r="D29" s="446">
        <v>100</v>
      </c>
      <c r="E29" s="448"/>
      <c r="F29" s="446">
        <f>SUMIF(102:102,E30,103:103)-SUMIF(102:102,C30,103:103)+100</f>
        <v>100</v>
      </c>
      <c r="G29" s="448"/>
      <c r="H29" s="446">
        <f>SUMIF(102:102,G30,103:103)-SUMIF(102:102,C30,103:103)+100</f>
        <v>100</v>
      </c>
      <c r="I29" s="450"/>
      <c r="J29" s="446">
        <f>SUMIF(102:102,I30,103:103)-SUMIF(102:102,C30,103:103)+100</f>
        <v>100</v>
      </c>
      <c r="K29" s="669">
        <v>2</v>
      </c>
      <c r="L29" s="1125"/>
      <c r="M29" s="1126"/>
      <c r="N29" s="1126"/>
      <c r="O29" s="1127"/>
      <c r="P29" s="3384"/>
      <c r="Q29" s="1787" t="str">
        <f t="shared" ref="Q29" si="9">B29</f>
        <v>基础设施水平</v>
      </c>
      <c r="R29" s="766" t="s">
        <v>17</v>
      </c>
      <c r="S29" s="767">
        <f>F29</f>
        <v>100</v>
      </c>
      <c r="T29" s="766" t="s">
        <v>17</v>
      </c>
      <c r="U29" s="767">
        <f>H29</f>
        <v>100</v>
      </c>
      <c r="V29" s="766" t="s">
        <v>17</v>
      </c>
      <c r="W29" s="767">
        <f>J29</f>
        <v>100</v>
      </c>
      <c r="X29" s="768"/>
      <c r="Y29" s="3384"/>
      <c r="Z29" s="55" t="str">
        <f>Q29</f>
        <v>基础设施水平</v>
      </c>
      <c r="AA29" s="1803">
        <f>D29/F29</f>
        <v>1</v>
      </c>
      <c r="AB29" s="1803">
        <f>D29/H29</f>
        <v>1</v>
      </c>
      <c r="AC29" s="1803">
        <f>D29/J29</f>
        <v>1</v>
      </c>
    </row>
    <row r="30" spans="1:29" s="116" customFormat="1" ht="15">
      <c r="A30" s="645"/>
      <c r="B30" s="452"/>
      <c r="C30" s="2690" t="s">
        <v>3363</v>
      </c>
      <c r="D30" s="444"/>
      <c r="E30" s="2690" t="s">
        <v>3363</v>
      </c>
      <c r="F30" s="444"/>
      <c r="G30" s="2690" t="s">
        <v>3363</v>
      </c>
      <c r="H30" s="444"/>
      <c r="I30" s="2690" t="s">
        <v>3363</v>
      </c>
      <c r="J30" s="444"/>
      <c r="K30" s="668"/>
      <c r="L30" s="1125"/>
      <c r="M30" s="1126"/>
      <c r="N30" s="1126"/>
      <c r="O30" s="1127"/>
      <c r="P30" s="3384"/>
      <c r="Q30" s="1787"/>
      <c r="R30" s="766"/>
      <c r="S30" s="767"/>
      <c r="T30" s="766"/>
      <c r="U30" s="767"/>
      <c r="V30" s="766"/>
      <c r="W30" s="767"/>
      <c r="X30" s="768"/>
      <c r="Y30" s="3384"/>
      <c r="Z30" s="55"/>
      <c r="AA30" s="1803">
        <v>1</v>
      </c>
      <c r="AB30" s="1803">
        <v>1</v>
      </c>
      <c r="AC30" s="1803">
        <v>1</v>
      </c>
    </row>
    <row r="31" spans="1:29" ht="15" hidden="1">
      <c r="A31" s="424"/>
      <c r="B31" s="452" t="s">
        <v>2643</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3"/>
      <c r="M31" s="1124"/>
      <c r="N31" s="1124"/>
      <c r="O31" s="1132"/>
      <c r="P31" s="3384"/>
      <c r="Q31" s="1802" t="str">
        <f t="shared" si="8"/>
        <v>临街状况</v>
      </c>
      <c r="R31" s="770" t="s">
        <v>17</v>
      </c>
      <c r="S31" s="771">
        <f t="shared" ref="S31:S45" si="10">F31</f>
        <v>100</v>
      </c>
      <c r="T31" s="770" t="s">
        <v>17</v>
      </c>
      <c r="U31" s="771">
        <f t="shared" ref="U31:U45" si="11">H31</f>
        <v>100</v>
      </c>
      <c r="V31" s="770" t="s">
        <v>17</v>
      </c>
      <c r="W31" s="771">
        <f t="shared" ref="W31:W45" si="12">J31</f>
        <v>100</v>
      </c>
      <c r="X31" s="1805"/>
      <c r="Y31" s="3384"/>
      <c r="Z31" s="1806" t="str">
        <f t="shared" ref="Z31:Z45" si="13">Q31</f>
        <v>临街状况</v>
      </c>
      <c r="AA31" s="1803">
        <f t="shared" si="3"/>
        <v>1</v>
      </c>
      <c r="AB31" s="1803">
        <f t="shared" si="4"/>
        <v>1</v>
      </c>
      <c r="AC31" s="1803">
        <f t="shared" si="5"/>
        <v>1</v>
      </c>
    </row>
    <row r="32" spans="1:29" ht="27">
      <c r="A32" s="424"/>
      <c r="B32" s="1377" t="s">
        <v>2678</v>
      </c>
      <c r="C32" s="2987" t="s">
        <v>3370</v>
      </c>
      <c r="D32" s="446">
        <v>100</v>
      </c>
      <c r="E32" s="2988" t="s">
        <v>4144</v>
      </c>
      <c r="F32" s="446">
        <f>SUMIF(106:106,E33,107:107)-SUMIF(106:106,C33,107:107)+100</f>
        <v>100</v>
      </c>
      <c r="G32" s="2988" t="s">
        <v>4147</v>
      </c>
      <c r="H32" s="446">
        <f>SUMIF(106:106,G33,107:107)-SUMIF(106:106,C33,107:107)+100</f>
        <v>100</v>
      </c>
      <c r="I32" s="2987" t="s">
        <v>3371</v>
      </c>
      <c r="J32" s="446">
        <f>SUMIF(106:106,I33,107:107)-SUMIF(106:106,C33,107:107)+100</f>
        <v>100</v>
      </c>
      <c r="K32" s="669">
        <v>1</v>
      </c>
      <c r="L32" s="1133"/>
      <c r="M32" s="1124"/>
      <c r="N32" s="1124"/>
      <c r="O32" s="1132"/>
      <c r="P32" s="3384"/>
      <c r="Q32" s="1802" t="str">
        <f t="shared" si="8"/>
        <v>毗邻道路的类型与等级</v>
      </c>
      <c r="R32" s="770" t="s">
        <v>17</v>
      </c>
      <c r="S32" s="771">
        <f t="shared" si="10"/>
        <v>100</v>
      </c>
      <c r="T32" s="770" t="s">
        <v>17</v>
      </c>
      <c r="U32" s="771">
        <f t="shared" si="11"/>
        <v>100</v>
      </c>
      <c r="V32" s="770" t="s">
        <v>17</v>
      </c>
      <c r="W32" s="771">
        <f t="shared" si="12"/>
        <v>100</v>
      </c>
      <c r="X32" s="1805"/>
      <c r="Y32" s="3384"/>
      <c r="Z32" s="1806" t="str">
        <f t="shared" si="13"/>
        <v>毗邻道路的类型与等级</v>
      </c>
      <c r="AA32" s="1803">
        <f t="shared" si="3"/>
        <v>1</v>
      </c>
      <c r="AB32" s="1803">
        <f t="shared" si="4"/>
        <v>1</v>
      </c>
      <c r="AC32" s="1803">
        <f t="shared" si="5"/>
        <v>1</v>
      </c>
    </row>
    <row r="33" spans="1:29" ht="15.75" thickBot="1">
      <c r="A33" s="424"/>
      <c r="B33" s="452"/>
      <c r="C33" s="443" t="s">
        <v>3180</v>
      </c>
      <c r="D33" s="444"/>
      <c r="E33" s="2601" t="s">
        <v>3180</v>
      </c>
      <c r="F33" s="444"/>
      <c r="G33" s="2601" t="s">
        <v>3180</v>
      </c>
      <c r="H33" s="444"/>
      <c r="I33" s="443" t="s">
        <v>3180</v>
      </c>
      <c r="J33" s="444"/>
      <c r="K33" s="609"/>
      <c r="L33" s="1133"/>
      <c r="M33" s="1124"/>
      <c r="N33" s="1124"/>
      <c r="O33" s="1132"/>
      <c r="P33" s="3384"/>
      <c r="Q33" s="1802"/>
      <c r="R33" s="770"/>
      <c r="S33" s="771"/>
      <c r="T33" s="770"/>
      <c r="U33" s="771"/>
      <c r="V33" s="770"/>
      <c r="W33" s="771"/>
      <c r="X33" s="1805"/>
      <c r="Y33" s="3384"/>
      <c r="Z33" s="1806"/>
      <c r="AA33" s="1803">
        <v>1</v>
      </c>
      <c r="AB33" s="1803">
        <v>1</v>
      </c>
      <c r="AC33" s="1803">
        <v>1</v>
      </c>
    </row>
    <row r="34" spans="1:29" ht="15" hidden="1">
      <c r="A34" s="424"/>
      <c r="B34" s="41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3"/>
      <c r="M34" s="1124"/>
      <c r="N34" s="1124"/>
      <c r="O34" s="1132"/>
      <c r="P34" s="3384"/>
      <c r="Q34" s="1802" t="str">
        <f t="shared" si="8"/>
        <v>土地级别</v>
      </c>
      <c r="R34" s="770" t="s">
        <v>17</v>
      </c>
      <c r="S34" s="771">
        <f t="shared" si="10"/>
        <v>100</v>
      </c>
      <c r="T34" s="770" t="s">
        <v>17</v>
      </c>
      <c r="U34" s="771">
        <f t="shared" si="11"/>
        <v>100</v>
      </c>
      <c r="V34" s="770" t="s">
        <v>17</v>
      </c>
      <c r="W34" s="771">
        <f t="shared" si="12"/>
        <v>100</v>
      </c>
      <c r="X34" s="1805"/>
      <c r="Y34" s="3384"/>
      <c r="Z34" s="1806" t="str">
        <f t="shared" si="13"/>
        <v>土地级别</v>
      </c>
      <c r="AA34" s="1803">
        <f t="shared" si="3"/>
        <v>1</v>
      </c>
      <c r="AB34" s="1803">
        <f t="shared" si="4"/>
        <v>1</v>
      </c>
      <c r="AC34" s="1803">
        <f t="shared" si="5"/>
        <v>1</v>
      </c>
    </row>
    <row r="35" spans="1:29" ht="15" hidden="1">
      <c r="A35" s="400"/>
      <c r="B35" s="1379"/>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3"/>
      <c r="M35" s="1124"/>
      <c r="N35" s="1124"/>
      <c r="O35" s="1132"/>
      <c r="P35" s="3384"/>
      <c r="Q35" s="1802">
        <f t="shared" si="8"/>
        <v>0</v>
      </c>
      <c r="R35" s="770" t="s">
        <v>17</v>
      </c>
      <c r="S35" s="771">
        <f t="shared" si="10"/>
        <v>100</v>
      </c>
      <c r="T35" s="770" t="s">
        <v>17</v>
      </c>
      <c r="U35" s="771">
        <f t="shared" si="11"/>
        <v>100</v>
      </c>
      <c r="V35" s="770" t="s">
        <v>17</v>
      </c>
      <c r="W35" s="771">
        <f t="shared" si="12"/>
        <v>100</v>
      </c>
      <c r="X35" s="1805"/>
      <c r="Y35" s="3384"/>
      <c r="Z35" s="1806">
        <f t="shared" si="13"/>
        <v>0</v>
      </c>
      <c r="AA35" s="1803">
        <f t="shared" si="3"/>
        <v>1</v>
      </c>
      <c r="AB35" s="1803">
        <f t="shared" si="4"/>
        <v>1</v>
      </c>
      <c r="AC35" s="1803">
        <f t="shared" si="5"/>
        <v>1</v>
      </c>
    </row>
    <row r="36" spans="1:29" ht="15" hidden="1">
      <c r="A36" s="671"/>
      <c r="B36" s="1380"/>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3"/>
      <c r="M36" s="1124"/>
      <c r="N36" s="1124"/>
      <c r="O36" s="1132"/>
      <c r="P36" s="3385" t="s">
        <v>2552</v>
      </c>
      <c r="Q36" s="1802">
        <f t="shared" si="8"/>
        <v>0</v>
      </c>
      <c r="R36" s="770" t="s">
        <v>17</v>
      </c>
      <c r="S36" s="771">
        <f t="shared" si="10"/>
        <v>100</v>
      </c>
      <c r="T36" s="770" t="s">
        <v>17</v>
      </c>
      <c r="U36" s="771">
        <f t="shared" si="11"/>
        <v>100</v>
      </c>
      <c r="V36" s="770" t="s">
        <v>17</v>
      </c>
      <c r="W36" s="771">
        <f t="shared" si="12"/>
        <v>100</v>
      </c>
      <c r="X36" s="1805"/>
      <c r="Y36" s="3386" t="s">
        <v>2552</v>
      </c>
      <c r="Z36" s="1806">
        <f t="shared" si="13"/>
        <v>0</v>
      </c>
      <c r="AA36" s="1803">
        <f t="shared" si="3"/>
        <v>1</v>
      </c>
      <c r="AB36" s="1803">
        <f t="shared" si="4"/>
        <v>1</v>
      </c>
      <c r="AC36" s="1803">
        <f t="shared" si="5"/>
        <v>1</v>
      </c>
    </row>
    <row r="37" spans="1:29" s="467" customFormat="1" ht="15.75" hidden="1" thickBot="1">
      <c r="A37" s="672"/>
      <c r="B37" s="1381"/>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1"/>
      <c r="M37" s="1134"/>
      <c r="N37" s="1134"/>
      <c r="O37" s="1135"/>
      <c r="P37" s="3386"/>
      <c r="Q37" s="1802">
        <f t="shared" si="8"/>
        <v>0</v>
      </c>
      <c r="R37" s="773" t="s">
        <v>17</v>
      </c>
      <c r="S37" s="774">
        <f t="shared" si="10"/>
        <v>100</v>
      </c>
      <c r="T37" s="773" t="s">
        <v>17</v>
      </c>
      <c r="U37" s="774">
        <f t="shared" si="11"/>
        <v>100</v>
      </c>
      <c r="V37" s="773" t="s">
        <v>17</v>
      </c>
      <c r="W37" s="774">
        <f t="shared" si="12"/>
        <v>100</v>
      </c>
      <c r="X37" s="775"/>
      <c r="Y37" s="3386"/>
      <c r="Z37" s="776">
        <f t="shared" si="13"/>
        <v>0</v>
      </c>
      <c r="AA37" s="1803">
        <f t="shared" si="3"/>
        <v>1</v>
      </c>
      <c r="AB37" s="1803">
        <f t="shared" si="4"/>
        <v>1</v>
      </c>
      <c r="AC37" s="1803">
        <f t="shared" si="5"/>
        <v>1</v>
      </c>
    </row>
    <row r="38" spans="1:29" ht="15">
      <c r="A38" s="468" t="s">
        <v>2550</v>
      </c>
      <c r="B38" s="452" t="s">
        <v>2737</v>
      </c>
      <c r="C38" s="675">
        <f>'数据-汇总表'!D3</f>
        <v>25136</v>
      </c>
      <c r="D38" s="463">
        <v>100</v>
      </c>
      <c r="E38" s="675">
        <f>'土地案例（住宅）'!G32</f>
        <v>4473.8</v>
      </c>
      <c r="F38" s="463">
        <f>LOOKUP(E38,117:117,118:118)-LOOKUP(C38,117:117,118:118)+100</f>
        <v>100</v>
      </c>
      <c r="G38" s="675">
        <f>'土地案例（住宅）'!G58</f>
        <v>14819</v>
      </c>
      <c r="H38" s="463">
        <f>LOOKUP(G38,117:117,118:118)-LOOKUP(C38,117:117,118:118)+100</f>
        <v>100</v>
      </c>
      <c r="I38" s="526">
        <f>'土地案例（住宅）'!G70</f>
        <v>23976</v>
      </c>
      <c r="J38" s="463">
        <f>LOOKUP(I38,117:117,118:118)-LOOKUP(C38,117:117,118:118)+100</f>
        <v>100</v>
      </c>
      <c r="K38" s="609"/>
      <c r="L38" s="1133"/>
      <c r="M38" s="1124"/>
      <c r="N38" s="1124"/>
      <c r="O38" s="1132"/>
      <c r="P38" s="3386"/>
      <c r="Q38" s="1802" t="str">
        <f>B38</f>
        <v>宗地面积</v>
      </c>
      <c r="R38" s="770" t="s">
        <v>17</v>
      </c>
      <c r="S38" s="771">
        <f t="shared" si="10"/>
        <v>100</v>
      </c>
      <c r="T38" s="770" t="s">
        <v>17</v>
      </c>
      <c r="U38" s="771">
        <f t="shared" si="11"/>
        <v>100</v>
      </c>
      <c r="V38" s="770" t="s">
        <v>17</v>
      </c>
      <c r="W38" s="771">
        <f t="shared" si="12"/>
        <v>100</v>
      </c>
      <c r="X38" s="1805"/>
      <c r="Y38" s="3386"/>
      <c r="Z38" s="1806" t="str">
        <f t="shared" si="13"/>
        <v>宗地面积</v>
      </c>
      <c r="AA38" s="1803">
        <f t="shared" si="3"/>
        <v>1</v>
      </c>
      <c r="AB38" s="1803">
        <f t="shared" si="4"/>
        <v>1</v>
      </c>
      <c r="AC38" s="1803">
        <f t="shared" si="5"/>
        <v>1</v>
      </c>
    </row>
    <row r="39" spans="1:29" ht="15">
      <c r="A39" s="468"/>
      <c r="B39" s="418" t="s">
        <v>2738</v>
      </c>
      <c r="C39" s="2603" t="s">
        <v>3169</v>
      </c>
      <c r="D39" s="431">
        <v>100</v>
      </c>
      <c r="E39" s="2603" t="s">
        <v>3169</v>
      </c>
      <c r="F39" s="431">
        <f>SUMIF(119:119,E39,120:120)-SUMIF(119:119,C39,120:120)+100</f>
        <v>100</v>
      </c>
      <c r="G39" s="2603" t="s">
        <v>3169</v>
      </c>
      <c r="H39" s="431">
        <f>SUMIF(119:119,G39,120:120)-SUMIF(119:119,C39,120:120)+100</f>
        <v>100</v>
      </c>
      <c r="I39" s="2603" t="s">
        <v>3169</v>
      </c>
      <c r="J39" s="431">
        <f>SUMIF(119:119,I39,120:120)-SUMIF(119:119,C39,120:120)+100</f>
        <v>100</v>
      </c>
      <c r="K39" s="608">
        <v>2</v>
      </c>
      <c r="L39" s="1133"/>
      <c r="M39" s="1124"/>
      <c r="N39" s="1124"/>
      <c r="O39" s="1132"/>
      <c r="P39" s="3386"/>
      <c r="Q39" s="1802" t="str">
        <f t="shared" ref="Q39:Q45" si="14">B39</f>
        <v>宗地形状</v>
      </c>
      <c r="R39" s="770" t="s">
        <v>17</v>
      </c>
      <c r="S39" s="771">
        <f t="shared" si="10"/>
        <v>100</v>
      </c>
      <c r="T39" s="770" t="s">
        <v>17</v>
      </c>
      <c r="U39" s="771">
        <f t="shared" si="11"/>
        <v>100</v>
      </c>
      <c r="V39" s="770" t="s">
        <v>17</v>
      </c>
      <c r="W39" s="771">
        <f t="shared" si="12"/>
        <v>100</v>
      </c>
      <c r="X39" s="1805"/>
      <c r="Y39" s="3386"/>
      <c r="Z39" s="1806" t="str">
        <f t="shared" si="13"/>
        <v>宗地形状</v>
      </c>
      <c r="AA39" s="1803">
        <f t="shared" si="3"/>
        <v>1</v>
      </c>
      <c r="AB39" s="1803">
        <f t="shared" si="4"/>
        <v>1</v>
      </c>
      <c r="AC39" s="1803">
        <f t="shared" si="5"/>
        <v>1</v>
      </c>
    </row>
    <row r="40" spans="1:29" ht="15" hidden="1">
      <c r="A40" s="468"/>
      <c r="B40" s="418" t="s">
        <v>2739</v>
      </c>
      <c r="C40" s="2603"/>
      <c r="D40" s="431">
        <v>100</v>
      </c>
      <c r="E40" s="2603"/>
      <c r="F40" s="431">
        <f>SUMIF(121:121,E40,122:122)-SUMIF(121:121,C40,122:122)+100</f>
        <v>100</v>
      </c>
      <c r="G40" s="2603"/>
      <c r="H40" s="431">
        <f>SUMIF(121:121,G40,122:122)-SUMIF(121:121,C40,122:122)+100</f>
        <v>100</v>
      </c>
      <c r="I40" s="2603"/>
      <c r="J40" s="431">
        <f>SUMIF(121:121,I40,122:122)-SUMIF(121:121,C40,122:122)+100</f>
        <v>100</v>
      </c>
      <c r="K40" s="608"/>
      <c r="L40" s="1133"/>
      <c r="M40" s="1124"/>
      <c r="N40" s="1124"/>
      <c r="O40" s="1132"/>
      <c r="P40" s="3386"/>
      <c r="Q40" s="1802" t="str">
        <f t="shared" si="14"/>
        <v>临街宽度及深度</v>
      </c>
      <c r="R40" s="770" t="s">
        <v>17</v>
      </c>
      <c r="S40" s="771">
        <f t="shared" si="10"/>
        <v>100</v>
      </c>
      <c r="T40" s="770" t="s">
        <v>17</v>
      </c>
      <c r="U40" s="771">
        <f t="shared" si="11"/>
        <v>100</v>
      </c>
      <c r="V40" s="770" t="s">
        <v>17</v>
      </c>
      <c r="W40" s="771">
        <f t="shared" si="12"/>
        <v>100</v>
      </c>
      <c r="X40" s="1805"/>
      <c r="Y40" s="3386"/>
      <c r="Z40" s="1806" t="str">
        <f t="shared" si="13"/>
        <v>临街宽度及深度</v>
      </c>
      <c r="AA40" s="1803">
        <f t="shared" si="3"/>
        <v>1</v>
      </c>
      <c r="AB40" s="1803">
        <f t="shared" si="4"/>
        <v>1</v>
      </c>
      <c r="AC40" s="1803">
        <f t="shared" si="5"/>
        <v>1</v>
      </c>
    </row>
    <row r="41" spans="1:29" s="116" customFormat="1" ht="15">
      <c r="A41" s="469"/>
      <c r="B41" s="418" t="s">
        <v>2740</v>
      </c>
      <c r="C41" s="2692"/>
      <c r="D41" s="133">
        <v>100</v>
      </c>
      <c r="E41" s="2692"/>
      <c r="F41" s="431">
        <f>SUMIF(123:123,E41,124:124)-SUMIF(123:123,C41,124:124)+100</f>
        <v>100</v>
      </c>
      <c r="G41" s="2692"/>
      <c r="H41" s="431">
        <f>SUMIF(123:123,G41,124:124)-SUMIF(123:123,C41,124:124)+100</f>
        <v>100</v>
      </c>
      <c r="I41" s="2692"/>
      <c r="J41" s="431">
        <f>SUMIF(123:123,I41,124:124)-SUMIF(123:123,C41,124:124)+100</f>
        <v>100</v>
      </c>
      <c r="K41" s="608"/>
      <c r="L41" s="1125"/>
      <c r="M41" s="1126"/>
      <c r="N41" s="1126"/>
      <c r="O41" s="1127"/>
      <c r="P41" s="3386"/>
      <c r="Q41" s="1802" t="str">
        <f t="shared" si="14"/>
        <v>宗地开发程度</v>
      </c>
      <c r="R41" s="766" t="s">
        <v>17</v>
      </c>
      <c r="S41" s="767">
        <f t="shared" si="10"/>
        <v>100</v>
      </c>
      <c r="T41" s="766" t="s">
        <v>17</v>
      </c>
      <c r="U41" s="767">
        <f t="shared" si="11"/>
        <v>100</v>
      </c>
      <c r="V41" s="766" t="s">
        <v>17</v>
      </c>
      <c r="W41" s="767">
        <f t="shared" si="12"/>
        <v>100</v>
      </c>
      <c r="X41" s="768"/>
      <c r="Y41" s="3386"/>
      <c r="Z41" s="55" t="str">
        <f t="shared" si="13"/>
        <v>宗地开发程度</v>
      </c>
      <c r="AA41" s="769">
        <f t="shared" si="3"/>
        <v>1</v>
      </c>
      <c r="AB41" s="769">
        <f t="shared" si="4"/>
        <v>1</v>
      </c>
      <c r="AC41" s="769">
        <f t="shared" si="5"/>
        <v>1</v>
      </c>
    </row>
    <row r="42" spans="1:29" ht="15.75" thickBot="1">
      <c r="A42" s="468"/>
      <c r="B42" s="418" t="s">
        <v>2741</v>
      </c>
      <c r="C42" s="2603" t="s">
        <v>3174</v>
      </c>
      <c r="D42" s="431">
        <v>100</v>
      </c>
      <c r="E42" s="2603" t="s">
        <v>3174</v>
      </c>
      <c r="F42" s="431">
        <f>SUMIF(125:125,E42,126:126)-SUMIF(125:125,C42,126:126)+100</f>
        <v>100</v>
      </c>
      <c r="G42" s="2603" t="s">
        <v>3174</v>
      </c>
      <c r="H42" s="431">
        <f>SUMIF(125:125,G42,126:126)-SUMIF(125:125,C42,126:126)+100</f>
        <v>100</v>
      </c>
      <c r="I42" s="2603" t="s">
        <v>3174</v>
      </c>
      <c r="J42" s="431">
        <f>SUMIF(125:125,I42,126:126)-SUMIF(125:125,C42,126:126)+100</f>
        <v>100</v>
      </c>
      <c r="K42" s="608">
        <v>2</v>
      </c>
      <c r="L42" s="1133"/>
      <c r="M42" s="1124"/>
      <c r="N42" s="1124"/>
      <c r="O42" s="1132"/>
      <c r="P42" s="3386" t="s">
        <v>2552</v>
      </c>
      <c r="Q42" s="1802" t="str">
        <f t="shared" si="14"/>
        <v>工程地质条件</v>
      </c>
      <c r="R42" s="770" t="s">
        <v>17</v>
      </c>
      <c r="S42" s="771">
        <f t="shared" si="10"/>
        <v>100</v>
      </c>
      <c r="T42" s="770" t="s">
        <v>17</v>
      </c>
      <c r="U42" s="771">
        <f t="shared" si="11"/>
        <v>100</v>
      </c>
      <c r="V42" s="770" t="s">
        <v>17</v>
      </c>
      <c r="W42" s="771">
        <f t="shared" si="12"/>
        <v>100</v>
      </c>
      <c r="X42" s="1805"/>
      <c r="Y42" s="3386" t="s">
        <v>2552</v>
      </c>
      <c r="Z42" s="1806" t="str">
        <f t="shared" si="13"/>
        <v>工程地质条件</v>
      </c>
      <c r="AA42" s="1803">
        <f t="shared" si="3"/>
        <v>1</v>
      </c>
      <c r="AB42" s="1803">
        <f t="shared" si="4"/>
        <v>1</v>
      </c>
      <c r="AC42" s="1803">
        <f t="shared" si="5"/>
        <v>1</v>
      </c>
    </row>
    <row r="43" spans="1:29" ht="15" hidden="1">
      <c r="A43" s="468"/>
      <c r="B43" s="1380"/>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3"/>
      <c r="M43" s="1124"/>
      <c r="N43" s="1124"/>
      <c r="O43" s="1132"/>
      <c r="P43" s="3386"/>
      <c r="Q43" s="1802">
        <f t="shared" si="14"/>
        <v>0</v>
      </c>
      <c r="R43" s="770" t="s">
        <v>17</v>
      </c>
      <c r="S43" s="771">
        <f t="shared" si="10"/>
        <v>100</v>
      </c>
      <c r="T43" s="770" t="s">
        <v>17</v>
      </c>
      <c r="U43" s="771">
        <f t="shared" si="11"/>
        <v>100</v>
      </c>
      <c r="V43" s="770" t="s">
        <v>17</v>
      </c>
      <c r="W43" s="771">
        <f t="shared" si="12"/>
        <v>100</v>
      </c>
      <c r="X43" s="1805"/>
      <c r="Y43" s="3386"/>
      <c r="Z43" s="1806">
        <f t="shared" si="13"/>
        <v>0</v>
      </c>
      <c r="AA43" s="1803">
        <f t="shared" si="3"/>
        <v>1</v>
      </c>
      <c r="AB43" s="1803">
        <f t="shared" si="4"/>
        <v>1</v>
      </c>
      <c r="AC43" s="1803">
        <f t="shared" si="5"/>
        <v>1</v>
      </c>
    </row>
    <row r="44" spans="1:29" ht="15" hidden="1">
      <c r="A44" s="468"/>
      <c r="B44" s="1380"/>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3"/>
      <c r="M44" s="1124"/>
      <c r="N44" s="1124"/>
      <c r="O44" s="1132"/>
      <c r="P44" s="3386"/>
      <c r="Q44" s="1802">
        <f t="shared" si="14"/>
        <v>0</v>
      </c>
      <c r="R44" s="770" t="s">
        <v>17</v>
      </c>
      <c r="S44" s="771">
        <f t="shared" si="10"/>
        <v>100</v>
      </c>
      <c r="T44" s="770" t="s">
        <v>17</v>
      </c>
      <c r="U44" s="771">
        <f t="shared" si="11"/>
        <v>100</v>
      </c>
      <c r="V44" s="770" t="s">
        <v>17</v>
      </c>
      <c r="W44" s="771">
        <f t="shared" si="12"/>
        <v>100</v>
      </c>
      <c r="X44" s="1805"/>
      <c r="Y44" s="3386"/>
      <c r="Z44" s="1806">
        <f t="shared" si="13"/>
        <v>0</v>
      </c>
      <c r="AA44" s="1803">
        <f t="shared" si="3"/>
        <v>1</v>
      </c>
      <c r="AB44" s="1803">
        <f t="shared" si="4"/>
        <v>1</v>
      </c>
      <c r="AC44" s="1803">
        <f t="shared" si="5"/>
        <v>1</v>
      </c>
    </row>
    <row r="45" spans="1:29" s="467" customFormat="1" ht="15.75" hidden="1" thickBot="1">
      <c r="A45" s="464"/>
      <c r="B45" s="1380"/>
      <c r="C45" s="2693"/>
      <c r="D45" s="676">
        <v>100</v>
      </c>
      <c r="E45" s="670"/>
      <c r="F45" s="434">
        <f>SUMIF(131:131,E45,132:132)-SUMIF(131:131,C45,132:132)+100</f>
        <v>100</v>
      </c>
      <c r="G45" s="670"/>
      <c r="H45" s="434">
        <f>SUMIF(131:131,G45,132:132)-SUMIF(131:131,C45,132:132)+100</f>
        <v>100</v>
      </c>
      <c r="I45" s="670"/>
      <c r="J45" s="434">
        <f>SUMIF(131:131,I45,132:132)-SUMIF(131:131,C45,132:132)+100</f>
        <v>100</v>
      </c>
      <c r="K45" s="677"/>
      <c r="L45" s="1131"/>
      <c r="M45" s="1134"/>
      <c r="N45" s="1134"/>
      <c r="O45" s="1135"/>
      <c r="P45" s="3386"/>
      <c r="Q45" s="1802">
        <f t="shared" si="14"/>
        <v>0</v>
      </c>
      <c r="R45" s="773" t="s">
        <v>17</v>
      </c>
      <c r="S45" s="774">
        <f t="shared" si="10"/>
        <v>100</v>
      </c>
      <c r="T45" s="773" t="s">
        <v>17</v>
      </c>
      <c r="U45" s="774">
        <f t="shared" si="11"/>
        <v>100</v>
      </c>
      <c r="V45" s="773" t="s">
        <v>17</v>
      </c>
      <c r="W45" s="774">
        <f t="shared" si="12"/>
        <v>100</v>
      </c>
      <c r="X45" s="775"/>
      <c r="Y45" s="3386"/>
      <c r="Z45" s="776">
        <f t="shared" si="13"/>
        <v>0</v>
      </c>
      <c r="AA45" s="1803">
        <f t="shared" si="3"/>
        <v>1</v>
      </c>
      <c r="AB45" s="1803">
        <f t="shared" si="4"/>
        <v>1</v>
      </c>
      <c r="AC45" s="1803">
        <f t="shared" si="5"/>
        <v>1</v>
      </c>
    </row>
    <row r="46" spans="1:29" ht="15">
      <c r="A46" s="475" t="s">
        <v>2707</v>
      </c>
      <c r="B46" s="2694" t="s">
        <v>2742</v>
      </c>
      <c r="C46" s="678" t="s">
        <v>1</v>
      </c>
      <c r="D46" s="477"/>
      <c r="E46" s="478">
        <f>'土地案例（住宅）'!N32</f>
        <v>8366.17</v>
      </c>
      <c r="F46" s="479"/>
      <c r="G46" s="480">
        <f>'土地案例（住宅）'!N58</f>
        <v>9601.56</v>
      </c>
      <c r="H46" s="481"/>
      <c r="I46" s="478">
        <f>'土地案例（住宅）'!N70</f>
        <v>9062.09</v>
      </c>
      <c r="J46" s="481"/>
      <c r="K46" s="779"/>
      <c r="L46" s="1136"/>
      <c r="M46" s="1137"/>
      <c r="N46" s="1124"/>
      <c r="O46" s="1137"/>
      <c r="P46" s="3368" t="str">
        <f>A46</f>
        <v>成交单价</v>
      </c>
      <c r="Q46" s="3368"/>
      <c r="R46" s="3381">
        <f>E46</f>
        <v>8366.17</v>
      </c>
      <c r="S46" s="3381"/>
      <c r="T46" s="3381">
        <f>G46</f>
        <v>9601.56</v>
      </c>
      <c r="U46" s="3381"/>
      <c r="V46" s="3381">
        <f>I46</f>
        <v>9062.09</v>
      </c>
      <c r="W46" s="3381"/>
      <c r="X46" s="755"/>
      <c r="Y46" s="777"/>
      <c r="Z46" s="755"/>
      <c r="AA46" s="755"/>
      <c r="AB46" s="755"/>
      <c r="AC46" s="755"/>
    </row>
    <row r="47" spans="1:29" ht="15.75" thickBot="1">
      <c r="A47" s="482" t="s">
        <v>2656</v>
      </c>
      <c r="B47" s="679"/>
      <c r="C47" s="486">
        <f>R48</f>
        <v>11427</v>
      </c>
      <c r="D47" s="485"/>
      <c r="E47" s="486">
        <f>R47</f>
        <v>10413</v>
      </c>
      <c r="F47" s="487"/>
      <c r="G47" s="484">
        <f>T47</f>
        <v>12471</v>
      </c>
      <c r="H47" s="485"/>
      <c r="I47" s="486">
        <f>V47</f>
        <v>11397</v>
      </c>
      <c r="J47" s="485"/>
      <c r="K47" s="780"/>
      <c r="L47" s="1136"/>
      <c r="M47" s="1137"/>
      <c r="N47" s="1137"/>
      <c r="O47" s="1137"/>
      <c r="P47" s="3368" t="str">
        <f>A47</f>
        <v>比较价值（元/平方米）</v>
      </c>
      <c r="Q47" s="3368"/>
      <c r="R47" s="3387">
        <f>ROUND(PRODUCT(R46,AA7:AA45),0)</f>
        <v>10413</v>
      </c>
      <c r="S47" s="3387"/>
      <c r="T47" s="3387">
        <f>ROUND(PRODUCT(T46,AB7:AB45),0)</f>
        <v>12471</v>
      </c>
      <c r="U47" s="3387"/>
      <c r="V47" s="3387">
        <f>ROUND(PRODUCT(V46,AC7:AC45),0)</f>
        <v>11397</v>
      </c>
      <c r="W47" s="3387"/>
      <c r="X47" s="755"/>
      <c r="Y47" s="755"/>
      <c r="Z47" s="755"/>
      <c r="AA47" s="755"/>
      <c r="AB47" s="755"/>
      <c r="AC47" s="755"/>
    </row>
    <row r="48" spans="1:29" ht="15.75" thickBot="1">
      <c r="A48" s="488" t="s">
        <v>2743</v>
      </c>
      <c r="B48" s="489"/>
      <c r="C48" s="490">
        <f>R48</f>
        <v>11427</v>
      </c>
      <c r="D48" s="490"/>
      <c r="E48" s="490"/>
      <c r="F48" s="490"/>
      <c r="G48" s="490"/>
      <c r="H48" s="490"/>
      <c r="I48" s="490"/>
      <c r="J48" s="490"/>
      <c r="K48" s="781"/>
      <c r="L48" s="1136"/>
      <c r="M48" s="1137"/>
      <c r="N48" s="1137"/>
      <c r="O48" s="1137"/>
      <c r="P48" s="3388" t="str">
        <f>A48</f>
        <v>估价对象XX用房的比较价值（楼面单价，元/平方米）</v>
      </c>
      <c r="Q48" s="3389"/>
      <c r="R48" s="3390">
        <f>ROUND(AVERAGE(R47:V47),0)</f>
        <v>11427</v>
      </c>
      <c r="S48" s="3390"/>
      <c r="T48" s="3390"/>
      <c r="U48" s="3390"/>
      <c r="V48" s="3390"/>
      <c r="W48" s="3390"/>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3" t="s">
        <v>2658</v>
      </c>
      <c r="D51" s="494"/>
      <c r="E51" s="495">
        <f>IF(E46&lt;E47,E47/E46-1,E46/E47-1)</f>
        <v>0.24465555923439286</v>
      </c>
      <c r="F51" s="496" t="str">
        <f>IF(OR(E51&gt;=0.3,E51&lt;=-0.3),"超过30%","")</f>
        <v/>
      </c>
      <c r="G51" s="495">
        <f>IF(G46&lt;G47,G47/G46-1,G46/G47-1)</f>
        <v>0.29885143664154579</v>
      </c>
      <c r="H51" s="496" t="str">
        <f>IF(OR(G51&gt;=0.3,G51&lt;=-0.3),"超过30%","")</f>
        <v/>
      </c>
      <c r="I51" s="495">
        <f>IF(I46&lt;I47,I47/I46-1,I46/I47-1)</f>
        <v>0.25765689813277071</v>
      </c>
      <c r="J51" s="496" t="str">
        <f>IF(OR(I51&gt;=0.3,I51&lt;=-0.3),"超过30%","")</f>
        <v/>
      </c>
      <c r="K51" s="1098"/>
      <c r="L51" s="1099"/>
      <c r="M51" s="1137"/>
      <c r="N51" s="1137"/>
      <c r="O51" s="1137"/>
    </row>
    <row r="52" spans="1:15" ht="13.5" customHeight="1">
      <c r="A52" s="1137"/>
      <c r="B52" s="1137"/>
      <c r="C52" s="493" t="s">
        <v>2659</v>
      </c>
      <c r="D52" s="497"/>
      <c r="E52" s="495">
        <f>IF(E47&lt;G47,G47/E47-1,E47/G47-1)</f>
        <v>0.1976375684240852</v>
      </c>
      <c r="F52" s="496" t="str">
        <f>IF(OR(E52&gt;=0.2,E52&lt;=-0.2),"超过20%","")</f>
        <v/>
      </c>
      <c r="G52" s="495">
        <f>IF(G47&lt;I47,I47/G47-1,G47/I47-1)</f>
        <v>9.4235325085548771E-2</v>
      </c>
      <c r="H52" s="496" t="str">
        <f>IF(OR(G52&gt;=0.2,G52&lt;=-0.2),"超过20%","")</f>
        <v/>
      </c>
      <c r="I52" s="495">
        <f>IF(I47&lt;E47,E47/I47-1,I47/E47-1)</f>
        <v>9.4497263036588786E-2</v>
      </c>
      <c r="J52" s="496" t="str">
        <f>IF(OR(I52&gt;=0.2,I52&lt;=-0.2),"超过20%","")</f>
        <v/>
      </c>
      <c r="K52" s="1098"/>
      <c r="L52" s="1099"/>
      <c r="M52" s="1137"/>
      <c r="N52" s="1137"/>
      <c r="O52" s="1137"/>
    </row>
    <row r="53" spans="1:15" s="498" customFormat="1" ht="13.5" customHeight="1">
      <c r="A53" s="1138"/>
      <c r="B53" s="1138"/>
      <c r="C53" s="493" t="s">
        <v>2660</v>
      </c>
      <c r="D53" s="497"/>
      <c r="E53" s="495">
        <f>IF(E46&lt;G46,G46/E46-1,E46/G46-1)</f>
        <v>0.14766494106622252</v>
      </c>
      <c r="F53" s="496" t="str">
        <f>IF(OR(E53&gt;=0.3,E53&lt;=-0.3),"超过30%","")</f>
        <v/>
      </c>
      <c r="G53" s="495">
        <f>IF(G46&lt;I46,I46/G46-1,G46/I46-1)</f>
        <v>5.9530417376123967E-2</v>
      </c>
      <c r="H53" s="496" t="str">
        <f>IF(OR(G53&gt;=0.3,G53&lt;=-0.3),"超过30%","")</f>
        <v/>
      </c>
      <c r="I53" s="495">
        <f>IF(I46&lt;E46,E46/I46-1,I46/E46-1)</f>
        <v>8.3182627175876211E-2</v>
      </c>
      <c r="J53" s="496" t="str">
        <f>IF(OR(I53&gt;=0.3,I53&lt;=-0.3),"超过30%","")</f>
        <v/>
      </c>
      <c r="K53" s="1141"/>
      <c r="L53" s="1142"/>
      <c r="M53" s="1138"/>
      <c r="N53" s="1138"/>
      <c r="O53" s="1138"/>
    </row>
    <row r="54" spans="1:15" s="498" customFormat="1" ht="15" thickBot="1">
      <c r="A54" s="1138"/>
      <c r="B54" s="1139"/>
      <c r="C54" s="758"/>
      <c r="D54" s="756"/>
      <c r="E54" s="756"/>
      <c r="F54" s="756"/>
      <c r="G54" s="756"/>
      <c r="H54" s="756"/>
      <c r="I54" s="756"/>
      <c r="J54" s="756"/>
      <c r="K54" s="1141"/>
      <c r="L54" s="1142"/>
      <c r="M54" s="1138"/>
      <c r="N54" s="1138"/>
      <c r="O54" s="1138"/>
    </row>
    <row r="55" spans="1:15" ht="27" customHeight="1">
      <c r="A55" s="680" t="s">
        <v>2744</v>
      </c>
      <c r="B55" s="681" t="s">
        <v>2745</v>
      </c>
      <c r="C55" s="2695" t="s">
        <v>2746</v>
      </c>
      <c r="D55" s="2696" t="s">
        <v>2747</v>
      </c>
      <c r="E55" s="682" t="s">
        <v>2748</v>
      </c>
      <c r="F55" s="1100" t="s">
        <v>2749</v>
      </c>
      <c r="G55" s="3369" t="s">
        <v>2750</v>
      </c>
      <c r="H55" s="3391"/>
      <c r="I55" s="141" t="s">
        <v>2751</v>
      </c>
      <c r="J55" s="2697" t="str">
        <f>项目基本情况!F35</f>
        <v>重庆市</v>
      </c>
      <c r="K55" s="2698" t="s">
        <v>2752</v>
      </c>
      <c r="L55" s="1099"/>
      <c r="M55" s="1137"/>
      <c r="N55" s="1137"/>
      <c r="O55" s="1137"/>
    </row>
    <row r="56" spans="1:15" s="688" customFormat="1">
      <c r="A56" s="684" t="s">
        <v>2753</v>
      </c>
      <c r="B56" s="685">
        <f>C48</f>
        <v>11427</v>
      </c>
      <c r="C56" s="686">
        <v>1</v>
      </c>
      <c r="D56" s="1156">
        <v>1</v>
      </c>
      <c r="E56" s="686">
        <f>'数据-汇总表'!E8+'数据-汇总表'!E9</f>
        <v>212211.57</v>
      </c>
      <c r="F56" s="1096">
        <f t="shared" ref="F56:F65" si="15">ROUND(B56*E56/10000,0)</f>
        <v>242494</v>
      </c>
      <c r="G56" s="3392"/>
      <c r="H56" s="3368"/>
      <c r="I56" s="1101">
        <v>1</v>
      </c>
      <c r="J56" s="1104">
        <v>1</v>
      </c>
      <c r="K56" s="1138"/>
      <c r="L56" s="934"/>
      <c r="M56" s="934"/>
      <c r="N56" s="934"/>
      <c r="O56" s="934"/>
    </row>
    <row r="57" spans="1:15" s="688" customFormat="1">
      <c r="A57" s="689" t="s">
        <v>2754</v>
      </c>
      <c r="B57" s="258">
        <f>ROUND($C$48*C57*D57,0)</f>
        <v>0</v>
      </c>
      <c r="C57" s="196">
        <f t="shared" ref="C57:C65" si="16">IF($C$55="北京市系数",I57,J57)</f>
        <v>0</v>
      </c>
      <c r="D57" s="1157">
        <v>0.25</v>
      </c>
      <c r="E57" s="690"/>
      <c r="F57" s="1096">
        <f t="shared" si="15"/>
        <v>0</v>
      </c>
      <c r="G57" s="3393" t="s">
        <v>2755</v>
      </c>
      <c r="H57" s="1097">
        <f>项目基本情况!B37</f>
        <v>0</v>
      </c>
      <c r="I57" s="1101">
        <f>SUMIF(修正!A45:A56,H57,修正!B45:B56)</f>
        <v>0</v>
      </c>
      <c r="J57" s="1105"/>
      <c r="K57" s="1137"/>
      <c r="L57" s="934"/>
      <c r="M57" s="934"/>
      <c r="N57" s="934"/>
      <c r="O57" s="934"/>
    </row>
    <row r="58" spans="1:15" s="688" customFormat="1">
      <c r="A58" s="689" t="s">
        <v>2756</v>
      </c>
      <c r="B58" s="258">
        <f t="shared" ref="B58:B65" si="17">ROUND($C$48*C58*D58,0)</f>
        <v>0</v>
      </c>
      <c r="C58" s="196">
        <f t="shared" si="16"/>
        <v>0</v>
      </c>
      <c r="D58" s="1157">
        <v>0.25</v>
      </c>
      <c r="E58" s="690"/>
      <c r="F58" s="1096">
        <f t="shared" si="15"/>
        <v>0</v>
      </c>
      <c r="G58" s="3393"/>
      <c r="H58" s="1097">
        <f>项目基本情况!B37</f>
        <v>0</v>
      </c>
      <c r="I58" s="1101">
        <f>SUMIF(修正!A45:A56,H58,修正!C45:C56)</f>
        <v>0</v>
      </c>
      <c r="J58" s="1105"/>
      <c r="K58" s="1138"/>
      <c r="L58" s="934"/>
      <c r="M58" s="934"/>
      <c r="N58" s="934"/>
      <c r="O58" s="934"/>
    </row>
    <row r="59" spans="1:15" s="688" customFormat="1">
      <c r="A59" s="689" t="s">
        <v>2757</v>
      </c>
      <c r="B59" s="258">
        <f t="shared" si="17"/>
        <v>0</v>
      </c>
      <c r="C59" s="196">
        <f t="shared" si="16"/>
        <v>0</v>
      </c>
      <c r="D59" s="1157">
        <v>0.25</v>
      </c>
      <c r="E59" s="690"/>
      <c r="F59" s="1096">
        <f t="shared" si="15"/>
        <v>0</v>
      </c>
      <c r="G59" s="3393"/>
      <c r="H59" s="1097">
        <f>项目基本情况!B37</f>
        <v>0</v>
      </c>
      <c r="I59" s="1101">
        <f>SUMIF(修正!A45:A56,H59,修正!D45:D56)</f>
        <v>0</v>
      </c>
      <c r="J59" s="1105"/>
      <c r="K59" s="1137"/>
      <c r="L59" s="934"/>
      <c r="M59" s="934"/>
      <c r="N59" s="934"/>
      <c r="O59" s="934"/>
    </row>
    <row r="60" spans="1:15" s="688" customFormat="1">
      <c r="A60" s="689" t="s">
        <v>2758</v>
      </c>
      <c r="B60" s="258">
        <f t="shared" si="17"/>
        <v>0</v>
      </c>
      <c r="C60" s="196">
        <f t="shared" si="16"/>
        <v>0</v>
      </c>
      <c r="D60" s="1157">
        <v>0.25</v>
      </c>
      <c r="E60" s="690"/>
      <c r="F60" s="1096">
        <f t="shared" si="15"/>
        <v>0</v>
      </c>
      <c r="G60" s="3393"/>
      <c r="H60" s="1097">
        <f>项目基本情况!B37</f>
        <v>0</v>
      </c>
      <c r="I60" s="1101">
        <f>SUMIF(修正!A45:A56,H60,修正!E45:E56)</f>
        <v>0</v>
      </c>
      <c r="J60" s="1105"/>
      <c r="K60" s="1138"/>
      <c r="L60" s="934"/>
      <c r="M60" s="934"/>
      <c r="N60" s="934"/>
      <c r="O60" s="934"/>
    </row>
    <row r="61" spans="1:15" s="688" customFormat="1">
      <c r="A61" s="689" t="s">
        <v>2759</v>
      </c>
      <c r="B61" s="258">
        <f t="shared" si="17"/>
        <v>0</v>
      </c>
      <c r="C61" s="196">
        <f t="shared" si="16"/>
        <v>0</v>
      </c>
      <c r="D61" s="1157">
        <v>0.25</v>
      </c>
      <c r="E61" s="257">
        <f>'数据-汇总表'!E11</f>
        <v>0</v>
      </c>
      <c r="F61" s="1096">
        <f t="shared" si="15"/>
        <v>0</v>
      </c>
      <c r="G61" s="2699" t="s">
        <v>2760</v>
      </c>
      <c r="H61" s="1097">
        <f>项目基本情况!C37</f>
        <v>0</v>
      </c>
      <c r="I61" s="1101">
        <f>SUMIF(修正!A45:A56,H61,修正!F45:F56)</f>
        <v>0</v>
      </c>
      <c r="J61" s="1105"/>
      <c r="K61" s="1137"/>
      <c r="L61" s="934"/>
      <c r="M61" s="934"/>
      <c r="N61" s="934"/>
      <c r="O61" s="934"/>
    </row>
    <row r="62" spans="1:15" s="688" customFormat="1">
      <c r="A62" s="689" t="s">
        <v>2761</v>
      </c>
      <c r="B62" s="258">
        <f t="shared" si="17"/>
        <v>0</v>
      </c>
      <c r="C62" s="196">
        <f t="shared" si="16"/>
        <v>0</v>
      </c>
      <c r="D62" s="1157">
        <v>0.25</v>
      </c>
      <c r="E62" s="257">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8" customFormat="1">
      <c r="A63" s="689" t="s">
        <v>2763</v>
      </c>
      <c r="B63" s="258">
        <f t="shared" si="17"/>
        <v>0</v>
      </c>
      <c r="C63" s="196">
        <f t="shared" si="16"/>
        <v>0</v>
      </c>
      <c r="D63" s="1157">
        <v>0.25</v>
      </c>
      <c r="E63" s="257">
        <f>'数据-汇总表'!E13</f>
        <v>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8" customFormat="1">
      <c r="A64" s="689" t="s">
        <v>2765</v>
      </c>
      <c r="B64" s="258">
        <f t="shared" si="17"/>
        <v>0</v>
      </c>
      <c r="C64" s="196">
        <f t="shared" si="16"/>
        <v>0</v>
      </c>
      <c r="D64" s="1157">
        <v>0.25</v>
      </c>
      <c r="E64" s="257">
        <f>'数据-汇总表'!E14</f>
        <v>115386.06</v>
      </c>
      <c r="F64" s="1096">
        <f t="shared" si="15"/>
        <v>0</v>
      </c>
      <c r="G64" s="2699" t="s">
        <v>2755</v>
      </c>
      <c r="H64" s="1097">
        <f>项目基本情况!B37</f>
        <v>0</v>
      </c>
      <c r="I64" s="1101">
        <f>SUMIF(修正!A45:A56,H64,修正!H45:H56)</f>
        <v>0</v>
      </c>
      <c r="J64" s="1105"/>
      <c r="K64" s="1138"/>
      <c r="L64" s="934"/>
      <c r="M64" s="934"/>
      <c r="N64" s="934"/>
      <c r="O64" s="934"/>
    </row>
    <row r="65" spans="1:17" s="688" customFormat="1" ht="15" thickBot="1">
      <c r="A65" s="689" t="s">
        <v>2766</v>
      </c>
      <c r="B65" s="258">
        <f t="shared" si="17"/>
        <v>0</v>
      </c>
      <c r="C65" s="196">
        <f t="shared" si="16"/>
        <v>0</v>
      </c>
      <c r="D65" s="1157">
        <v>0.25</v>
      </c>
      <c r="E65" s="257">
        <f>'数据-汇总表'!E15</f>
        <v>0</v>
      </c>
      <c r="F65" s="1096">
        <f t="shared" si="15"/>
        <v>0</v>
      </c>
      <c r="G65" s="2700" t="s">
        <v>2760</v>
      </c>
      <c r="H65" s="1107">
        <f>项目基本情况!C37</f>
        <v>0</v>
      </c>
      <c r="I65" s="1103">
        <f>SUMIF(修正!A45:A56,H65,修正!H45:H56)</f>
        <v>0</v>
      </c>
      <c r="J65" s="1106"/>
      <c r="K65" s="1137"/>
      <c r="L65" s="934"/>
      <c r="M65" s="934"/>
      <c r="N65" s="934"/>
      <c r="O65" s="934"/>
    </row>
    <row r="66" spans="1:17" s="688" customFormat="1" ht="13.5" thickBot="1">
      <c r="A66" s="691" t="s">
        <v>2767</v>
      </c>
      <c r="B66" s="692" t="s">
        <v>28</v>
      </c>
      <c r="C66" s="692" t="s">
        <v>29</v>
      </c>
      <c r="D66" s="692" t="s">
        <v>1029</v>
      </c>
      <c r="E66" s="692">
        <f>IF(B46="楼面地价",SUM(E56:E65),'数据-汇总表'!D3)</f>
        <v>327597.63</v>
      </c>
      <c r="F66" s="693">
        <f>IF(B46="楼面地价",SUM(F56:F65),ROUND(C48*E66/10000,0))</f>
        <v>242494</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2018-8-1</v>
      </c>
      <c r="D68" s="757">
        <f>EDATE(C68,-3)</f>
        <v>43221</v>
      </c>
      <c r="E68" s="757">
        <f>EDATE(D68,-3)</f>
        <v>43132</v>
      </c>
      <c r="F68" s="757">
        <f t="shared" ref="F68:O68" si="18">EDATE(E68,-3)</f>
        <v>43040</v>
      </c>
      <c r="G68" s="757">
        <f t="shared" si="18"/>
        <v>42948</v>
      </c>
      <c r="H68" s="757">
        <f t="shared" si="18"/>
        <v>42856</v>
      </c>
      <c r="I68" s="757">
        <f t="shared" si="18"/>
        <v>42767</v>
      </c>
      <c r="J68" s="757">
        <f t="shared" si="18"/>
        <v>42675</v>
      </c>
      <c r="K68" s="757">
        <f t="shared" si="18"/>
        <v>42583</v>
      </c>
      <c r="L68" s="757">
        <f t="shared" si="18"/>
        <v>42491</v>
      </c>
      <c r="M68" s="757">
        <f t="shared" si="18"/>
        <v>42401</v>
      </c>
      <c r="N68" s="757">
        <f t="shared" si="18"/>
        <v>42309</v>
      </c>
      <c r="O68" s="757">
        <f t="shared" si="18"/>
        <v>42217</v>
      </c>
    </row>
    <row r="69" spans="1:17" ht="21.75" thickBot="1">
      <c r="A69" s="759" t="s">
        <v>2661</v>
      </c>
      <c r="B69" s="755"/>
      <c r="C69" s="760"/>
      <c r="D69" s="760"/>
      <c r="E69" s="760"/>
      <c r="F69" s="761"/>
      <c r="G69" s="761"/>
      <c r="H69" s="760"/>
      <c r="I69" s="760"/>
      <c r="J69" s="1152"/>
      <c r="K69" s="1153"/>
      <c r="L69" s="1154"/>
      <c r="M69" s="1152"/>
      <c r="N69" s="1152"/>
      <c r="O69" s="1152"/>
      <c r="P69" s="499"/>
      <c r="Q69" s="500"/>
    </row>
    <row r="70" spans="1:17" s="504" customFormat="1" ht="15">
      <c r="A70" s="2701" t="s">
        <v>2768</v>
      </c>
      <c r="B70" s="1352"/>
      <c r="C70" s="1564" t="str">
        <f>YEAR(C68)&amp;"-"&amp;ROUNDUP(MONTH(C68)/3,0)</f>
        <v>2018-3</v>
      </c>
      <c r="D70" s="1564" t="str">
        <f>YEAR(D68)&amp;"-"&amp;ROUNDUP(MONTH(D68)/3,0)</f>
        <v>2018-2</v>
      </c>
      <c r="E70" s="1564" t="str">
        <f t="shared" ref="E70:O70" si="19">YEAR(E68)&amp;"-"&amp;ROUNDUP(MONTH(E68)/3,0)</f>
        <v>2018-1</v>
      </c>
      <c r="F70" s="1564" t="str">
        <f t="shared" si="19"/>
        <v>2017-4</v>
      </c>
      <c r="G70" s="1564" t="str">
        <f t="shared" si="19"/>
        <v>2017-3</v>
      </c>
      <c r="H70" s="1564" t="str">
        <f t="shared" si="19"/>
        <v>2017-2</v>
      </c>
      <c r="I70" s="1564" t="str">
        <f t="shared" si="19"/>
        <v>2017-1</v>
      </c>
      <c r="J70" s="1564" t="str">
        <f t="shared" si="19"/>
        <v>2016-4</v>
      </c>
      <c r="K70" s="1564" t="str">
        <f t="shared" si="19"/>
        <v>2016-3</v>
      </c>
      <c r="L70" s="1564" t="str">
        <f t="shared" si="19"/>
        <v>2016-2</v>
      </c>
      <c r="M70" s="1564" t="str">
        <f t="shared" si="19"/>
        <v>2016-1</v>
      </c>
      <c r="N70" s="1564" t="str">
        <f t="shared" si="19"/>
        <v>2015-4</v>
      </c>
      <c r="O70" s="1564" t="str">
        <f t="shared" si="19"/>
        <v>2015-3</v>
      </c>
      <c r="P70" s="503"/>
    </row>
    <row r="71" spans="1:17" s="116" customFormat="1" ht="30" customHeight="1">
      <c r="A71" s="2702" t="s">
        <v>3045</v>
      </c>
      <c r="B71" s="328" t="str">
        <f>"北京市平均增长率"&amp;TEXT(SUMIF(基准地价修正!N21:N25,A71,基准地价修正!P21:P25),"0.00%")</f>
        <v>北京市平均增长率2.45%</v>
      </c>
      <c r="C71" s="599">
        <v>100</v>
      </c>
      <c r="D71" s="591">
        <f>C71-$C$72</f>
        <v>98</v>
      </c>
      <c r="E71" s="591">
        <f t="shared" ref="E71:O71" si="20">D71-$C$72</f>
        <v>96</v>
      </c>
      <c r="F71" s="591">
        <f t="shared" si="20"/>
        <v>94</v>
      </c>
      <c r="G71" s="591">
        <f t="shared" si="20"/>
        <v>92</v>
      </c>
      <c r="H71" s="591">
        <f t="shared" si="20"/>
        <v>90</v>
      </c>
      <c r="I71" s="591">
        <f t="shared" si="20"/>
        <v>88</v>
      </c>
      <c r="J71" s="591">
        <f t="shared" si="20"/>
        <v>86</v>
      </c>
      <c r="K71" s="591">
        <f t="shared" si="20"/>
        <v>84</v>
      </c>
      <c r="L71" s="591">
        <f t="shared" si="20"/>
        <v>82</v>
      </c>
      <c r="M71" s="591">
        <f t="shared" si="20"/>
        <v>80</v>
      </c>
      <c r="N71" s="591">
        <f t="shared" si="20"/>
        <v>78</v>
      </c>
      <c r="O71" s="591">
        <f t="shared" si="20"/>
        <v>76</v>
      </c>
      <c r="P71" s="500"/>
    </row>
    <row r="72" spans="1:17" s="116" customFormat="1" ht="15.75" thickBot="1">
      <c r="A72" s="511" t="s">
        <v>2572</v>
      </c>
      <c r="B72" s="512"/>
      <c r="C72" s="513">
        <v>2</v>
      </c>
      <c r="D72" s="514"/>
      <c r="E72" s="514"/>
      <c r="F72" s="514"/>
      <c r="G72" s="514"/>
      <c r="H72" s="514"/>
      <c r="I72" s="514"/>
      <c r="J72" s="514"/>
      <c r="K72" s="514"/>
      <c r="L72" s="514"/>
      <c r="M72" s="515"/>
      <c r="N72" s="514"/>
      <c r="O72" s="1155"/>
      <c r="P72" s="500"/>
      <c r="Q72" s="500"/>
    </row>
    <row r="73" spans="1:17" s="116" customFormat="1" ht="15">
      <c r="A73" s="517" t="s">
        <v>2537</v>
      </c>
      <c r="B73" s="506"/>
      <c r="C73" s="518" t="s">
        <v>2639</v>
      </c>
      <c r="D73" s="519"/>
      <c r="E73" s="519"/>
      <c r="F73" s="519"/>
      <c r="G73" s="519"/>
      <c r="H73" s="519"/>
      <c r="I73" s="519"/>
      <c r="J73" s="519"/>
      <c r="K73" s="519"/>
      <c r="L73" s="520"/>
      <c r="M73" s="521"/>
      <c r="N73" s="1144"/>
      <c r="O73" s="1144"/>
      <c r="P73" s="522"/>
      <c r="Q73" s="500"/>
    </row>
    <row r="74" spans="1:17" s="116" customFormat="1" ht="15.75" thickBot="1">
      <c r="A74" s="517"/>
      <c r="B74" s="506"/>
      <c r="C74" s="635">
        <v>100</v>
      </c>
      <c r="D74" s="508"/>
      <c r="E74" s="508"/>
      <c r="F74" s="508"/>
      <c r="G74" s="508"/>
      <c r="H74" s="508"/>
      <c r="I74" s="508"/>
      <c r="J74" s="508"/>
      <c r="K74" s="508"/>
      <c r="L74" s="508"/>
      <c r="M74" s="510"/>
      <c r="N74" s="1144"/>
      <c r="O74" s="1144"/>
      <c r="P74" s="500"/>
      <c r="Q74" s="500"/>
    </row>
    <row r="75" spans="1:17">
      <c r="A75" s="523" t="s">
        <v>2575</v>
      </c>
      <c r="B75" s="524" t="s">
        <v>2541</v>
      </c>
      <c r="C75" s="2982" t="s">
        <v>3192</v>
      </c>
      <c r="D75" s="526" t="str">
        <f>'土地案例（住宅）'!F32</f>
        <v>二类居住用地</v>
      </c>
      <c r="E75" s="526"/>
      <c r="F75" s="526"/>
      <c r="G75" s="526"/>
      <c r="H75" s="526"/>
      <c r="I75" s="526"/>
      <c r="J75" s="526"/>
      <c r="K75" s="527"/>
      <c r="L75" s="528"/>
      <c r="M75" s="529"/>
      <c r="N75" s="1145"/>
      <c r="O75" s="1145"/>
      <c r="P75" s="45"/>
      <c r="Q75" s="500"/>
    </row>
    <row r="76" spans="1:17" ht="15.75" thickBot="1">
      <c r="A76" s="530"/>
      <c r="B76" s="531"/>
      <c r="C76" s="532">
        <v>100</v>
      </c>
      <c r="D76" s="532">
        <v>100</v>
      </c>
      <c r="E76" s="532"/>
      <c r="F76" s="532"/>
      <c r="G76" s="532"/>
      <c r="H76" s="532"/>
      <c r="I76" s="532"/>
      <c r="J76" s="532"/>
      <c r="K76" s="532"/>
      <c r="L76" s="532"/>
      <c r="M76" s="533"/>
      <c r="N76" s="1146"/>
      <c r="O76" s="1146"/>
      <c r="P76" s="45"/>
      <c r="Q76" s="500"/>
    </row>
    <row r="77" spans="1:17" ht="27.75" thickTop="1">
      <c r="A77" s="530"/>
      <c r="B77" s="534" t="s">
        <v>2544</v>
      </c>
      <c r="C77" s="535"/>
      <c r="D77" s="535"/>
      <c r="E77" s="535"/>
      <c r="F77" s="535"/>
      <c r="G77" s="535"/>
      <c r="H77" s="535"/>
      <c r="I77" s="535"/>
      <c r="J77" s="535"/>
      <c r="K77" s="536"/>
      <c r="L77" s="537"/>
      <c r="M77" s="538"/>
      <c r="N77" s="1145"/>
      <c r="O77" s="1145"/>
      <c r="P77" s="45"/>
      <c r="Q77" s="500"/>
    </row>
    <row r="78" spans="1:17" ht="15.75" thickBot="1">
      <c r="A78" s="530"/>
      <c r="B78" s="539"/>
      <c r="C78" s="540"/>
      <c r="D78" s="540"/>
      <c r="E78" s="540"/>
      <c r="F78" s="540"/>
      <c r="G78" s="540"/>
      <c r="H78" s="540"/>
      <c r="I78" s="540"/>
      <c r="J78" s="540"/>
      <c r="K78" s="540"/>
      <c r="L78" s="540"/>
      <c r="M78" s="541"/>
      <c r="N78" s="1146"/>
      <c r="O78" s="1146"/>
      <c r="P78" s="45"/>
      <c r="Q78" s="500"/>
    </row>
    <row r="79" spans="1:17" ht="15.75" thickTop="1">
      <c r="A79" s="530"/>
      <c r="B79" s="542" t="s">
        <v>2545</v>
      </c>
      <c r="C79" s="543" t="str">
        <f>C80&amp;"（含）"&amp;"-"&amp;D80</f>
        <v>0（含）-2</v>
      </c>
      <c r="D79" s="543" t="str">
        <f t="shared" ref="D79:L79" si="21">D80&amp;"（含）"&amp;"-"&amp;E80</f>
        <v>2（含）-4</v>
      </c>
      <c r="E79" s="543" t="str">
        <f t="shared" si="21"/>
        <v>4（含）-6</v>
      </c>
      <c r="F79" s="543" t="str">
        <f t="shared" si="21"/>
        <v>6（含）-8</v>
      </c>
      <c r="G79" s="543" t="str">
        <f t="shared" si="21"/>
        <v>8（含）-10</v>
      </c>
      <c r="H79" s="543" t="str">
        <f t="shared" si="21"/>
        <v>10（含）-12</v>
      </c>
      <c r="I79" s="543" t="str">
        <f t="shared" si="21"/>
        <v>12（含）-14</v>
      </c>
      <c r="J79" s="543" t="str">
        <f t="shared" si="21"/>
        <v>14（含）-16</v>
      </c>
      <c r="K79" s="543" t="str">
        <f t="shared" si="21"/>
        <v>16（含）-18</v>
      </c>
      <c r="L79" s="543" t="str">
        <f t="shared" si="21"/>
        <v>18（含）-20</v>
      </c>
      <c r="M79" s="444" t="str">
        <f>M80&amp;"（含）"&amp;"-"&amp;P80</f>
        <v>20（含）-</v>
      </c>
      <c r="N79" s="1146"/>
      <c r="O79" s="1146"/>
      <c r="P79" s="45"/>
      <c r="Q79" s="500"/>
    </row>
    <row r="80" spans="1:17" ht="15">
      <c r="A80" s="530"/>
      <c r="B80" s="544"/>
      <c r="C80" s="545">
        <v>0</v>
      </c>
      <c r="D80" s="545">
        <f>C80+2</f>
        <v>2</v>
      </c>
      <c r="E80" s="545">
        <f t="shared" ref="E80:M80" si="22">D80+2</f>
        <v>4</v>
      </c>
      <c r="F80" s="545">
        <f t="shared" si="22"/>
        <v>6</v>
      </c>
      <c r="G80" s="545">
        <f t="shared" si="22"/>
        <v>8</v>
      </c>
      <c r="H80" s="545">
        <f t="shared" si="22"/>
        <v>10</v>
      </c>
      <c r="I80" s="545">
        <f t="shared" si="22"/>
        <v>12</v>
      </c>
      <c r="J80" s="545">
        <f t="shared" si="22"/>
        <v>14</v>
      </c>
      <c r="K80" s="545">
        <f t="shared" si="22"/>
        <v>16</v>
      </c>
      <c r="L80" s="545">
        <f>K80+2</f>
        <v>18</v>
      </c>
      <c r="M80" s="545">
        <f t="shared" si="22"/>
        <v>20</v>
      </c>
      <c r="N80" s="1145"/>
      <c r="O80" s="1145"/>
      <c r="P80" s="45"/>
      <c r="Q80" s="500"/>
    </row>
    <row r="81" spans="1:17" ht="15.75" thickBot="1">
      <c r="A81" s="530"/>
      <c r="B81" s="531"/>
      <c r="C81" s="540">
        <v>100</v>
      </c>
      <c r="D81" s="540">
        <f t="shared" ref="D81:M81" si="23">IF($B$46="单位面积地价",C81+$K11,C81-$K11)</f>
        <v>98</v>
      </c>
      <c r="E81" s="540">
        <f t="shared" si="23"/>
        <v>96</v>
      </c>
      <c r="F81" s="540">
        <f t="shared" si="23"/>
        <v>94</v>
      </c>
      <c r="G81" s="540">
        <f t="shared" si="23"/>
        <v>92</v>
      </c>
      <c r="H81" s="540">
        <f t="shared" si="23"/>
        <v>90</v>
      </c>
      <c r="I81" s="540">
        <f t="shared" si="23"/>
        <v>88</v>
      </c>
      <c r="J81" s="540">
        <f t="shared" si="23"/>
        <v>86</v>
      </c>
      <c r="K81" s="540">
        <f t="shared" si="23"/>
        <v>84</v>
      </c>
      <c r="L81" s="540">
        <f t="shared" si="23"/>
        <v>82</v>
      </c>
      <c r="M81" s="540">
        <f t="shared" si="23"/>
        <v>80</v>
      </c>
      <c r="N81" s="1146"/>
      <c r="O81" s="1146"/>
      <c r="P81" s="45"/>
      <c r="Q81" s="500"/>
    </row>
    <row r="82" spans="1:17" s="467" customFormat="1" ht="15.75" hidden="1" thickTop="1">
      <c r="A82" s="549"/>
      <c r="B82" s="534">
        <f>B12</f>
        <v>0</v>
      </c>
      <c r="C82" s="550"/>
      <c r="D82" s="550"/>
      <c r="E82" s="550"/>
      <c r="F82" s="550"/>
      <c r="G82" s="550"/>
      <c r="H82" s="551"/>
      <c r="I82" s="551"/>
      <c r="J82" s="551"/>
      <c r="K82" s="551"/>
      <c r="L82" s="552"/>
      <c r="M82" s="553"/>
      <c r="N82" s="1147"/>
      <c r="O82" s="1147"/>
      <c r="P82" s="554"/>
      <c r="Q82" s="555"/>
    </row>
    <row r="83" spans="1:17" s="467" customFormat="1" ht="15.75" hidden="1" thickBot="1">
      <c r="A83" s="549"/>
      <c r="B83" s="539"/>
      <c r="C83" s="556"/>
      <c r="D83" s="532"/>
      <c r="E83" s="532"/>
      <c r="F83" s="532"/>
      <c r="G83" s="532"/>
      <c r="H83" s="532"/>
      <c r="I83" s="532"/>
      <c r="J83" s="532"/>
      <c r="K83" s="532"/>
      <c r="L83" s="532"/>
      <c r="M83" s="533"/>
      <c r="N83" s="1146"/>
      <c r="O83" s="1146"/>
      <c r="P83" s="554"/>
      <c r="Q83" s="555"/>
    </row>
    <row r="84" spans="1:17" s="467" customFormat="1" ht="15.75" hidden="1" thickTop="1">
      <c r="A84" s="549"/>
      <c r="B84" s="534">
        <f>B13</f>
        <v>0</v>
      </c>
      <c r="C84" s="550"/>
      <c r="D84" s="550"/>
      <c r="E84" s="550"/>
      <c r="F84" s="550"/>
      <c r="G84" s="550"/>
      <c r="H84" s="551"/>
      <c r="I84" s="551"/>
      <c r="J84" s="551"/>
      <c r="K84" s="551"/>
      <c r="L84" s="552"/>
      <c r="M84" s="553"/>
      <c r="N84" s="1147"/>
      <c r="O84" s="1147"/>
      <c r="P84" s="466"/>
      <c r="Q84" s="557"/>
    </row>
    <row r="85" spans="1:17" s="467" customFormat="1" ht="15.75" hidden="1" thickBot="1">
      <c r="A85" s="549"/>
      <c r="B85" s="539"/>
      <c r="C85" s="556"/>
      <c r="D85" s="556"/>
      <c r="E85" s="556"/>
      <c r="F85" s="556"/>
      <c r="G85" s="556"/>
      <c r="H85" s="558"/>
      <c r="I85" s="558"/>
      <c r="J85" s="558"/>
      <c r="K85" s="558"/>
      <c r="L85" s="558"/>
      <c r="M85" s="559"/>
      <c r="N85" s="1147"/>
      <c r="O85" s="1147"/>
      <c r="P85" s="554"/>
      <c r="Q85" s="555"/>
    </row>
    <row r="86" spans="1:17" s="467" customFormat="1" ht="15.75" hidden="1" thickTop="1">
      <c r="A86" s="549"/>
      <c r="B86" s="542">
        <f>B14</f>
        <v>0</v>
      </c>
      <c r="C86" s="519"/>
      <c r="D86" s="519"/>
      <c r="E86" s="519"/>
      <c r="F86" s="519"/>
      <c r="G86" s="519"/>
      <c r="H86" s="560"/>
      <c r="I86" s="560"/>
      <c r="J86" s="560"/>
      <c r="K86" s="560"/>
      <c r="L86" s="561"/>
      <c r="M86" s="562"/>
      <c r="N86" s="1147"/>
      <c r="O86" s="1147"/>
      <c r="P86" s="563"/>
      <c r="Q86" s="555"/>
    </row>
    <row r="87" spans="1:17" s="467" customFormat="1" ht="15.75" hidden="1" thickBot="1">
      <c r="A87" s="564"/>
      <c r="B87" s="565"/>
      <c r="C87" s="566"/>
      <c r="D87" s="566"/>
      <c r="E87" s="566"/>
      <c r="F87" s="566"/>
      <c r="G87" s="566"/>
      <c r="H87" s="567"/>
      <c r="I87" s="567"/>
      <c r="J87" s="567"/>
      <c r="K87" s="567"/>
      <c r="L87" s="567"/>
      <c r="M87" s="568"/>
      <c r="N87" s="1147"/>
      <c r="O87" s="1147"/>
      <c r="P87" s="554"/>
      <c r="Q87" s="555"/>
    </row>
    <row r="88" spans="1:17" ht="15" thickTop="1">
      <c r="A88" s="523" t="s">
        <v>2546</v>
      </c>
      <c r="B88" s="524" t="s">
        <v>2583</v>
      </c>
      <c r="C88" s="569" t="s">
        <v>2584</v>
      </c>
      <c r="D88" s="569" t="s">
        <v>2585</v>
      </c>
      <c r="E88" s="569" t="s">
        <v>2586</v>
      </c>
      <c r="F88" s="569" t="s">
        <v>2587</v>
      </c>
      <c r="G88" s="569" t="s">
        <v>2588</v>
      </c>
      <c r="H88" s="525"/>
      <c r="I88" s="525"/>
      <c r="J88" s="525"/>
      <c r="K88" s="570"/>
      <c r="L88" s="571"/>
      <c r="M88" s="572"/>
      <c r="N88" s="1145"/>
      <c r="O88" s="1145"/>
      <c r="P88" s="573"/>
      <c r="Q88" s="500"/>
    </row>
    <row r="89" spans="1:17" ht="15.75" thickBot="1">
      <c r="A89" s="530"/>
      <c r="B89" s="539"/>
      <c r="C89" s="540">
        <v>100</v>
      </c>
      <c r="D89" s="540">
        <f>C89-$K15</f>
        <v>95</v>
      </c>
      <c r="E89" s="540">
        <f>D89-$K15</f>
        <v>90</v>
      </c>
      <c r="F89" s="540">
        <f>E89-$K15</f>
        <v>85</v>
      </c>
      <c r="G89" s="540">
        <f>F89-$K15</f>
        <v>80</v>
      </c>
      <c r="H89" s="540"/>
      <c r="I89" s="540"/>
      <c r="J89" s="540"/>
      <c r="K89" s="540"/>
      <c r="L89" s="540"/>
      <c r="M89" s="541"/>
      <c r="N89" s="1146"/>
      <c r="O89" s="1146"/>
      <c r="P89" s="45"/>
      <c r="Q89" s="500"/>
    </row>
    <row r="90" spans="1:17" ht="15.75" thickTop="1">
      <c r="A90" s="530"/>
      <c r="B90" s="534" t="s">
        <v>2769</v>
      </c>
      <c r="C90" s="574" t="s">
        <v>2584</v>
      </c>
      <c r="D90" s="574" t="s">
        <v>2585</v>
      </c>
      <c r="E90" s="574" t="s">
        <v>2586</v>
      </c>
      <c r="F90" s="574" t="s">
        <v>2587</v>
      </c>
      <c r="G90" s="574" t="s">
        <v>2588</v>
      </c>
      <c r="H90" s="535"/>
      <c r="I90" s="535"/>
      <c r="J90" s="535"/>
      <c r="K90" s="536"/>
      <c r="L90" s="537"/>
      <c r="M90" s="538"/>
      <c r="N90" s="1145"/>
      <c r="O90" s="1145"/>
      <c r="P90" s="45"/>
      <c r="Q90" s="500"/>
    </row>
    <row r="91" spans="1:17" ht="15.75" thickBot="1">
      <c r="A91" s="530"/>
      <c r="B91" s="539"/>
      <c r="C91" s="540">
        <v>100</v>
      </c>
      <c r="D91" s="540">
        <f>C91-$K17</f>
        <v>95</v>
      </c>
      <c r="E91" s="540">
        <f>D91-$K17</f>
        <v>90</v>
      </c>
      <c r="F91" s="540">
        <f>E91-$K17</f>
        <v>85</v>
      </c>
      <c r="G91" s="540">
        <f>F91-$K17</f>
        <v>80</v>
      </c>
      <c r="H91" s="540"/>
      <c r="I91" s="540"/>
      <c r="J91" s="540"/>
      <c r="K91" s="540"/>
      <c r="L91" s="540"/>
      <c r="M91" s="541"/>
      <c r="N91" s="1146"/>
      <c r="O91" s="1146"/>
      <c r="P91" s="45"/>
      <c r="Q91" s="500"/>
    </row>
    <row r="92" spans="1:17" ht="15.75" thickTop="1">
      <c r="A92" s="530"/>
      <c r="B92" s="534" t="s">
        <v>2684</v>
      </c>
      <c r="C92" s="574" t="s">
        <v>2584</v>
      </c>
      <c r="D92" s="574" t="s">
        <v>2585</v>
      </c>
      <c r="E92" s="574" t="s">
        <v>2586</v>
      </c>
      <c r="F92" s="574" t="s">
        <v>2587</v>
      </c>
      <c r="G92" s="574" t="s">
        <v>2588</v>
      </c>
      <c r="H92" s="535"/>
      <c r="I92" s="535"/>
      <c r="J92" s="535"/>
      <c r="K92" s="536"/>
      <c r="L92" s="537"/>
      <c r="M92" s="538"/>
      <c r="N92" s="1145"/>
      <c r="O92" s="1145"/>
      <c r="P92" s="45"/>
      <c r="Q92" s="500"/>
    </row>
    <row r="93" spans="1:17" ht="15.75" thickBot="1">
      <c r="A93" s="530"/>
      <c r="B93" s="539"/>
      <c r="C93" s="540">
        <v>100</v>
      </c>
      <c r="D93" s="540">
        <f>C93-$K19</f>
        <v>95</v>
      </c>
      <c r="E93" s="540">
        <f>D93-$K19</f>
        <v>90</v>
      </c>
      <c r="F93" s="540">
        <f>E93-$K19</f>
        <v>85</v>
      </c>
      <c r="G93" s="540">
        <f>F93-$K19</f>
        <v>80</v>
      </c>
      <c r="H93" s="540"/>
      <c r="I93" s="540"/>
      <c r="J93" s="540"/>
      <c r="K93" s="540"/>
      <c r="L93" s="540"/>
      <c r="M93" s="541"/>
      <c r="N93" s="1146"/>
      <c r="O93" s="1146"/>
      <c r="P93" s="45"/>
      <c r="Q93" s="500"/>
    </row>
    <row r="94" spans="1:17" ht="15.75" thickTop="1">
      <c r="A94" s="530"/>
      <c r="B94" s="534" t="s">
        <v>2589</v>
      </c>
      <c r="C94" s="574" t="s">
        <v>2584</v>
      </c>
      <c r="D94" s="574" t="s">
        <v>2585</v>
      </c>
      <c r="E94" s="574" t="s">
        <v>2586</v>
      </c>
      <c r="F94" s="574" t="s">
        <v>2587</v>
      </c>
      <c r="G94" s="574" t="s">
        <v>2588</v>
      </c>
      <c r="H94" s="535"/>
      <c r="I94" s="535"/>
      <c r="J94" s="535"/>
      <c r="K94" s="536"/>
      <c r="L94" s="537"/>
      <c r="M94" s="538"/>
      <c r="N94" s="1145"/>
      <c r="O94" s="1145"/>
      <c r="P94" s="45"/>
      <c r="Q94" s="500"/>
    </row>
    <row r="95" spans="1:17" ht="15.75" thickBot="1">
      <c r="A95" s="530"/>
      <c r="B95" s="539"/>
      <c r="C95" s="540">
        <v>100</v>
      </c>
      <c r="D95" s="540">
        <f>C95-$K21</f>
        <v>95</v>
      </c>
      <c r="E95" s="540">
        <f>D95-$K21</f>
        <v>90</v>
      </c>
      <c r="F95" s="540">
        <f>E95-$K21</f>
        <v>85</v>
      </c>
      <c r="G95" s="540">
        <f>F95-$K21</f>
        <v>80</v>
      </c>
      <c r="H95" s="540"/>
      <c r="I95" s="540"/>
      <c r="J95" s="540"/>
      <c r="K95" s="540"/>
      <c r="L95" s="540"/>
      <c r="M95" s="541"/>
      <c r="N95" s="1146"/>
      <c r="O95" s="1146"/>
      <c r="P95" s="45"/>
      <c r="Q95" s="500"/>
    </row>
    <row r="96" spans="1:17" s="116" customFormat="1" ht="15.75" thickTop="1">
      <c r="A96" s="575"/>
      <c r="B96" s="534" t="s">
        <v>2770</v>
      </c>
      <c r="C96" s="574" t="s">
        <v>2584</v>
      </c>
      <c r="D96" s="574" t="s">
        <v>2585</v>
      </c>
      <c r="E96" s="574" t="s">
        <v>2586</v>
      </c>
      <c r="F96" s="574" t="s">
        <v>2587</v>
      </c>
      <c r="G96" s="574" t="s">
        <v>2588</v>
      </c>
      <c r="H96" s="574"/>
      <c r="I96" s="574"/>
      <c r="J96" s="574"/>
      <c r="K96" s="574"/>
      <c r="L96" s="694"/>
      <c r="M96" s="618"/>
      <c r="N96" s="1144"/>
      <c r="O96" s="1144"/>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6"/>
      <c r="O97" s="1146"/>
      <c r="P97" s="45"/>
      <c r="Q97" s="500"/>
    </row>
    <row r="98" spans="1:17" s="116" customFormat="1" ht="27.75" thickTop="1">
      <c r="A98" s="575"/>
      <c r="B98" s="534" t="s">
        <v>2771</v>
      </c>
      <c r="C98" s="569" t="s">
        <v>2584</v>
      </c>
      <c r="D98" s="569" t="s">
        <v>2585</v>
      </c>
      <c r="E98" s="569" t="s">
        <v>2586</v>
      </c>
      <c r="F98" s="569" t="s">
        <v>2587</v>
      </c>
      <c r="G98" s="569" t="s">
        <v>2588</v>
      </c>
      <c r="H98" s="574"/>
      <c r="I98" s="574"/>
      <c r="J98" s="574"/>
      <c r="K98" s="574"/>
      <c r="L98" s="574"/>
      <c r="M98" s="618"/>
      <c r="N98" s="1144"/>
      <c r="O98" s="1144"/>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6"/>
      <c r="O99" s="1146"/>
      <c r="P99" s="45"/>
      <c r="Q99" s="500"/>
    </row>
    <row r="100" spans="1:17" s="467" customFormat="1" ht="15.75" thickTop="1">
      <c r="A100" s="549"/>
      <c r="B100" s="534" t="s">
        <v>2641</v>
      </c>
      <c r="C100" s="569" t="s">
        <v>2584</v>
      </c>
      <c r="D100" s="569" t="s">
        <v>2585</v>
      </c>
      <c r="E100" s="569" t="s">
        <v>2586</v>
      </c>
      <c r="F100" s="569" t="s">
        <v>2587</v>
      </c>
      <c r="G100" s="569" t="s">
        <v>2588</v>
      </c>
      <c r="H100" s="596"/>
      <c r="I100" s="596"/>
      <c r="J100" s="596"/>
      <c r="K100" s="596"/>
      <c r="L100" s="597"/>
      <c r="M100" s="598"/>
      <c r="N100" s="1147"/>
      <c r="O100" s="1147"/>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7"/>
      <c r="O101" s="1147"/>
      <c r="P101" s="554"/>
      <c r="Q101" s="555"/>
    </row>
    <row r="102" spans="1:17" s="467" customFormat="1" ht="15.75" thickTop="1">
      <c r="A102" s="549"/>
      <c r="B102" s="542" t="s">
        <v>2642</v>
      </c>
      <c r="C102" s="656" t="s">
        <v>2662</v>
      </c>
      <c r="D102" s="656" t="s">
        <v>2663</v>
      </c>
      <c r="E102" s="656" t="s">
        <v>2664</v>
      </c>
      <c r="F102" s="656" t="s">
        <v>2665</v>
      </c>
      <c r="G102" s="656" t="s">
        <v>2666</v>
      </c>
      <c r="H102" s="596"/>
      <c r="I102" s="596"/>
      <c r="J102" s="596"/>
      <c r="K102" s="596"/>
      <c r="L102" s="596"/>
      <c r="M102" s="1378"/>
      <c r="N102" s="1147"/>
      <c r="O102" s="1147"/>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78"/>
      <c r="N103" s="1147"/>
      <c r="O103" s="1147"/>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45"/>
      <c r="O104" s="1145"/>
      <c r="P104" s="45"/>
      <c r="Q104" s="500"/>
    </row>
    <row r="105" spans="1:17" ht="15.75"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6"/>
      <c r="O105" s="1146"/>
      <c r="P105" s="45"/>
      <c r="Q105" s="500"/>
    </row>
    <row r="106" spans="1:17" ht="27.75" thickTop="1">
      <c r="A106" s="530"/>
      <c r="B106" s="534" t="s">
        <v>2678</v>
      </c>
      <c r="C106" s="2966" t="s">
        <v>3176</v>
      </c>
      <c r="D106" s="2966" t="s">
        <v>3177</v>
      </c>
      <c r="E106" s="2966" t="s">
        <v>3179</v>
      </c>
      <c r="F106" s="2966" t="s">
        <v>3181</v>
      </c>
      <c r="G106" s="550"/>
      <c r="H106" s="579"/>
      <c r="I106" s="579"/>
      <c r="J106" s="579"/>
      <c r="K106" s="580"/>
      <c r="L106" s="581"/>
      <c r="M106" s="582"/>
      <c r="N106" s="1145"/>
      <c r="O106" s="1145"/>
      <c r="P106" s="45"/>
      <c r="Q106" s="500"/>
    </row>
    <row r="107" spans="1:17" ht="15.75" thickBot="1">
      <c r="A107" s="530"/>
      <c r="B107" s="539"/>
      <c r="C107" s="540">
        <v>100</v>
      </c>
      <c r="D107" s="540">
        <f>C107-$K32</f>
        <v>99</v>
      </c>
      <c r="E107" s="540">
        <f t="shared" ref="E107:M107" si="25">D107-$K32</f>
        <v>98</v>
      </c>
      <c r="F107" s="540">
        <f t="shared" si="25"/>
        <v>97</v>
      </c>
      <c r="G107" s="540">
        <f t="shared" si="25"/>
        <v>96</v>
      </c>
      <c r="H107" s="540">
        <f t="shared" si="25"/>
        <v>95</v>
      </c>
      <c r="I107" s="540">
        <f t="shared" si="25"/>
        <v>94</v>
      </c>
      <c r="J107" s="540">
        <f t="shared" si="25"/>
        <v>93</v>
      </c>
      <c r="K107" s="540">
        <f t="shared" si="25"/>
        <v>92</v>
      </c>
      <c r="L107" s="540">
        <f t="shared" si="25"/>
        <v>91</v>
      </c>
      <c r="M107" s="540">
        <f t="shared" si="25"/>
        <v>90</v>
      </c>
      <c r="N107" s="1146"/>
      <c r="O107" s="1146"/>
      <c r="P107" s="45"/>
      <c r="Q107" s="500"/>
    </row>
    <row r="108" spans="1:17" ht="15.75" hidden="1" thickTop="1">
      <c r="A108" s="530"/>
      <c r="B108" s="534" t="s">
        <v>2736</v>
      </c>
      <c r="C108" s="579"/>
      <c r="D108" s="579"/>
      <c r="E108" s="579"/>
      <c r="F108" s="579"/>
      <c r="G108" s="579"/>
      <c r="H108" s="579"/>
      <c r="I108" s="579"/>
      <c r="J108" s="579"/>
      <c r="K108" s="580"/>
      <c r="L108" s="581"/>
      <c r="M108" s="582"/>
      <c r="N108" s="1145"/>
      <c r="O108" s="1145"/>
      <c r="P108" s="45"/>
      <c r="Q108" s="500"/>
    </row>
    <row r="109" spans="1:17" ht="15.75" hidden="1"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6"/>
      <c r="O109" s="1146"/>
      <c r="P109" s="45"/>
      <c r="Q109" s="500"/>
    </row>
    <row r="110" spans="1:17" ht="15.75" hidden="1" thickTop="1">
      <c r="A110" s="530"/>
      <c r="B110" s="542">
        <f>B35</f>
        <v>0</v>
      </c>
      <c r="C110" s="550"/>
      <c r="D110" s="550"/>
      <c r="E110" s="550"/>
      <c r="F110" s="550"/>
      <c r="G110" s="583"/>
      <c r="H110" s="583"/>
      <c r="I110" s="583"/>
      <c r="J110" s="583"/>
      <c r="K110" s="584"/>
      <c r="L110" s="585"/>
      <c r="M110" s="586"/>
      <c r="N110" s="1145"/>
      <c r="O110" s="1145"/>
      <c r="P110" s="45"/>
      <c r="Q110" s="500"/>
    </row>
    <row r="111" spans="1:17" ht="15.75" hidden="1" thickBot="1">
      <c r="A111" s="530"/>
      <c r="B111" s="565"/>
      <c r="C111" s="556"/>
      <c r="D111" s="556"/>
      <c r="E111" s="556"/>
      <c r="F111" s="556"/>
      <c r="G111" s="587"/>
      <c r="H111" s="587"/>
      <c r="I111" s="587"/>
      <c r="J111" s="587"/>
      <c r="K111" s="587"/>
      <c r="L111" s="587"/>
      <c r="M111" s="588"/>
      <c r="N111" s="1146"/>
      <c r="O111" s="1146"/>
      <c r="P111" s="45"/>
      <c r="Q111" s="500"/>
    </row>
    <row r="112" spans="1:17" ht="15" hidden="1" thickTop="1">
      <c r="A112" s="671"/>
      <c r="B112" s="534">
        <f>B36</f>
        <v>0</v>
      </c>
      <c r="C112" s="519"/>
      <c r="D112" s="519"/>
      <c r="E112" s="519"/>
      <c r="F112" s="519"/>
      <c r="G112" s="579"/>
      <c r="H112" s="579"/>
      <c r="I112" s="579"/>
      <c r="J112" s="579"/>
      <c r="K112" s="580"/>
      <c r="L112" s="581"/>
      <c r="M112" s="582"/>
      <c r="N112" s="1145"/>
      <c r="O112" s="1145"/>
      <c r="P112" s="45"/>
      <c r="Q112" s="500"/>
    </row>
    <row r="113" spans="1:17" ht="15.75" hidden="1" thickBot="1">
      <c r="A113" s="530"/>
      <c r="B113" s="539"/>
      <c r="C113" s="566"/>
      <c r="D113" s="566"/>
      <c r="E113" s="566"/>
      <c r="F113" s="566"/>
      <c r="G113" s="532"/>
      <c r="H113" s="532"/>
      <c r="I113" s="532"/>
      <c r="J113" s="532"/>
      <c r="K113" s="532"/>
      <c r="L113" s="532"/>
      <c r="M113" s="533"/>
      <c r="N113" s="1146"/>
      <c r="O113" s="1146"/>
      <c r="P113" s="45"/>
      <c r="Q113" s="500"/>
    </row>
    <row r="114" spans="1:17" s="467" customFormat="1" ht="15" hidden="1" thickTop="1">
      <c r="A114" s="589"/>
      <c r="B114" s="590">
        <f>B37</f>
        <v>0</v>
      </c>
      <c r="C114" s="591"/>
      <c r="D114" s="591"/>
      <c r="E114" s="591"/>
      <c r="F114" s="591"/>
      <c r="G114" s="591"/>
      <c r="H114" s="591"/>
      <c r="I114" s="591"/>
      <c r="J114" s="592"/>
      <c r="K114" s="592"/>
      <c r="L114" s="593"/>
      <c r="M114" s="594"/>
      <c r="N114" s="1147"/>
      <c r="O114" s="1147"/>
      <c r="P114" s="554"/>
      <c r="Q114" s="555"/>
    </row>
    <row r="115" spans="1:17" s="467" customFormat="1" ht="15.75" hidden="1" thickBot="1">
      <c r="A115" s="549"/>
      <c r="B115" s="542"/>
      <c r="C115" s="508"/>
      <c r="D115" s="673"/>
      <c r="E115" s="673"/>
      <c r="F115" s="673"/>
      <c r="G115" s="673"/>
      <c r="H115" s="673"/>
      <c r="I115" s="673"/>
      <c r="J115" s="673"/>
      <c r="K115" s="673"/>
      <c r="L115" s="673"/>
      <c r="M115" s="695"/>
      <c r="N115" s="1146"/>
      <c r="O115" s="1146"/>
      <c r="P115" s="554"/>
      <c r="Q115" s="555"/>
    </row>
    <row r="116" spans="1:17" ht="15" thickTop="1">
      <c r="A116" s="523" t="s">
        <v>2550</v>
      </c>
      <c r="B116" s="524" t="s">
        <v>2776</v>
      </c>
      <c r="C116" s="525" t="str">
        <f>C117&amp;"(含)"&amp;"-"&amp;D117</f>
        <v>0(含)-</v>
      </c>
      <c r="D116" s="525" t="str">
        <f t="shared" ref="D116:M116" si="27">D117&amp;"(含)"&amp;"-"&amp;E117</f>
        <v>(含)-</v>
      </c>
      <c r="E116" s="525" t="str">
        <f t="shared" si="27"/>
        <v>(含)-</v>
      </c>
      <c r="F116" s="525" t="str">
        <f t="shared" si="27"/>
        <v>(含)-</v>
      </c>
      <c r="G116" s="525" t="str">
        <f t="shared" si="27"/>
        <v>(含)-</v>
      </c>
      <c r="H116" s="525" t="str">
        <f t="shared" si="27"/>
        <v>(含)-</v>
      </c>
      <c r="I116" s="525" t="str">
        <f t="shared" si="27"/>
        <v>(含)-</v>
      </c>
      <c r="J116" s="525" t="str">
        <f t="shared" si="27"/>
        <v>(含)-</v>
      </c>
      <c r="K116" s="525" t="str">
        <f t="shared" si="27"/>
        <v>(含)-</v>
      </c>
      <c r="L116" s="525" t="str">
        <f t="shared" si="27"/>
        <v>(含)-</v>
      </c>
      <c r="M116" s="525" t="str">
        <f t="shared" si="27"/>
        <v>(含)-</v>
      </c>
      <c r="N116" s="1145"/>
      <c r="O116" s="1145"/>
      <c r="P116" s="45"/>
      <c r="Q116" s="500"/>
    </row>
    <row r="117" spans="1:17" ht="15">
      <c r="A117" s="530"/>
      <c r="B117" s="542"/>
      <c r="C117" s="591">
        <v>0</v>
      </c>
      <c r="D117" s="591"/>
      <c r="E117" s="591"/>
      <c r="F117" s="591"/>
      <c r="G117" s="591"/>
      <c r="H117" s="591"/>
      <c r="I117" s="591"/>
      <c r="J117" s="592"/>
      <c r="K117" s="592"/>
      <c r="L117" s="593"/>
      <c r="M117" s="594"/>
      <c r="N117" s="1145"/>
      <c r="O117" s="1145"/>
      <c r="P117" s="45"/>
      <c r="Q117" s="500"/>
    </row>
    <row r="118" spans="1:17" ht="15.75" thickBot="1">
      <c r="A118" s="530"/>
      <c r="B118" s="539"/>
      <c r="C118" s="566"/>
      <c r="D118" s="587"/>
      <c r="E118" s="587"/>
      <c r="F118" s="587"/>
      <c r="G118" s="587"/>
      <c r="H118" s="587"/>
      <c r="I118" s="587"/>
      <c r="J118" s="587"/>
      <c r="K118" s="587"/>
      <c r="L118" s="587"/>
      <c r="M118" s="588"/>
      <c r="N118" s="1146"/>
      <c r="O118" s="1146"/>
      <c r="P118" s="45"/>
      <c r="Q118" s="500"/>
    </row>
    <row r="119" spans="1:17" ht="15" thickTop="1">
      <c r="A119" s="595"/>
      <c r="B119" s="534" t="s">
        <v>2777</v>
      </c>
      <c r="C119" s="2965" t="s">
        <v>3170</v>
      </c>
      <c r="D119" s="579"/>
      <c r="E119" s="579"/>
      <c r="F119" s="579"/>
      <c r="G119" s="579"/>
      <c r="H119" s="579"/>
      <c r="I119" s="579"/>
      <c r="J119" s="579"/>
      <c r="K119" s="580"/>
      <c r="L119" s="581"/>
      <c r="M119" s="582"/>
      <c r="N119" s="1145"/>
      <c r="O119" s="1145"/>
      <c r="P119" s="45"/>
      <c r="Q119" s="500"/>
    </row>
    <row r="120" spans="1:17" ht="15.75" thickBot="1">
      <c r="A120" s="530"/>
      <c r="B120" s="539"/>
      <c r="C120" s="540">
        <v>100</v>
      </c>
      <c r="D120" s="540">
        <f t="shared" ref="D120:M120" si="28">C120-$K39</f>
        <v>98</v>
      </c>
      <c r="E120" s="540">
        <f t="shared" si="28"/>
        <v>96</v>
      </c>
      <c r="F120" s="540">
        <f t="shared" si="28"/>
        <v>94</v>
      </c>
      <c r="G120" s="540">
        <f t="shared" si="28"/>
        <v>92</v>
      </c>
      <c r="H120" s="540">
        <f t="shared" si="28"/>
        <v>90</v>
      </c>
      <c r="I120" s="540">
        <f t="shared" si="28"/>
        <v>88</v>
      </c>
      <c r="J120" s="540">
        <f t="shared" si="28"/>
        <v>86</v>
      </c>
      <c r="K120" s="540">
        <f t="shared" si="28"/>
        <v>84</v>
      </c>
      <c r="L120" s="540">
        <f t="shared" si="28"/>
        <v>82</v>
      </c>
      <c r="M120" s="541">
        <f t="shared" si="28"/>
        <v>80</v>
      </c>
      <c r="N120" s="1146"/>
      <c r="O120" s="1146"/>
      <c r="P120" s="45"/>
      <c r="Q120" s="500"/>
    </row>
    <row r="121" spans="1:17" ht="15" hidden="1" thickTop="1">
      <c r="A121" s="595"/>
      <c r="B121" s="534" t="s">
        <v>2778</v>
      </c>
      <c r="C121" s="550"/>
      <c r="D121" s="550"/>
      <c r="E121" s="550"/>
      <c r="F121" s="579"/>
      <c r="G121" s="579"/>
      <c r="H121" s="579"/>
      <c r="I121" s="579"/>
      <c r="J121" s="579"/>
      <c r="K121" s="580"/>
      <c r="L121" s="581"/>
      <c r="M121" s="582"/>
      <c r="N121" s="1145"/>
      <c r="O121" s="1145"/>
      <c r="P121" s="45"/>
      <c r="Q121" s="500"/>
    </row>
    <row r="122" spans="1:17" ht="15.75" hidden="1"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6"/>
      <c r="O122" s="1146"/>
      <c r="P122" s="45"/>
      <c r="Q122" s="500"/>
    </row>
    <row r="123" spans="1:17" s="467" customFormat="1" ht="15" thickTop="1">
      <c r="A123" s="589"/>
      <c r="B123" s="534" t="s">
        <v>2779</v>
      </c>
      <c r="C123" s="2966" t="s">
        <v>3171</v>
      </c>
      <c r="D123" s="2966" t="s">
        <v>3172</v>
      </c>
      <c r="E123" s="2966" t="s">
        <v>3173</v>
      </c>
      <c r="F123" s="550"/>
      <c r="G123" s="550"/>
      <c r="H123" s="579"/>
      <c r="I123" s="579"/>
      <c r="J123" s="579"/>
      <c r="K123" s="580"/>
      <c r="L123" s="581"/>
      <c r="M123" s="582"/>
      <c r="N123" s="1147"/>
      <c r="O123" s="1147"/>
      <c r="P123" s="554"/>
      <c r="Q123" s="555"/>
    </row>
    <row r="124" spans="1:17" s="467" customFormat="1" ht="15.75" thickBot="1">
      <c r="A124" s="549"/>
      <c r="B124" s="539"/>
      <c r="C124" s="540">
        <v>100</v>
      </c>
      <c r="D124" s="540">
        <f>C124-$K41</f>
        <v>100</v>
      </c>
      <c r="E124" s="540">
        <f t="shared" ref="E124:M124" si="30">D124-$K41</f>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7"/>
      <c r="O124" s="1147"/>
      <c r="P124" s="554"/>
      <c r="Q124" s="555"/>
    </row>
    <row r="125" spans="1:17" ht="15" thickTop="1">
      <c r="A125" s="595"/>
      <c r="B125" s="534" t="s">
        <v>2780</v>
      </c>
      <c r="C125" s="2966" t="s">
        <v>3175</v>
      </c>
      <c r="D125" s="550"/>
      <c r="E125" s="579"/>
      <c r="F125" s="579"/>
      <c r="G125" s="579"/>
      <c r="H125" s="579"/>
      <c r="I125" s="579"/>
      <c r="J125" s="579"/>
      <c r="K125" s="580"/>
      <c r="L125" s="581"/>
      <c r="M125" s="582"/>
      <c r="N125" s="1145"/>
      <c r="O125" s="1145"/>
      <c r="P125" s="45"/>
      <c r="Q125" s="500"/>
    </row>
    <row r="126" spans="1:17" ht="15.75" thickBot="1">
      <c r="A126" s="530"/>
      <c r="B126" s="539"/>
      <c r="C126" s="540">
        <v>100</v>
      </c>
      <c r="D126" s="540">
        <f t="shared" ref="D126:M126" si="31">C126-$K42</f>
        <v>98</v>
      </c>
      <c r="E126" s="540">
        <f t="shared" si="31"/>
        <v>96</v>
      </c>
      <c r="F126" s="540">
        <f t="shared" si="31"/>
        <v>94</v>
      </c>
      <c r="G126" s="540">
        <f t="shared" si="31"/>
        <v>92</v>
      </c>
      <c r="H126" s="540">
        <f t="shared" si="31"/>
        <v>90</v>
      </c>
      <c r="I126" s="540">
        <f t="shared" si="31"/>
        <v>88</v>
      </c>
      <c r="J126" s="540">
        <f t="shared" si="31"/>
        <v>86</v>
      </c>
      <c r="K126" s="540">
        <f t="shared" si="31"/>
        <v>84</v>
      </c>
      <c r="L126" s="540">
        <f t="shared" si="31"/>
        <v>82</v>
      </c>
      <c r="M126" s="541">
        <f t="shared" si="31"/>
        <v>80</v>
      </c>
      <c r="N126" s="1146"/>
      <c r="O126" s="1146"/>
      <c r="P126" s="45"/>
      <c r="Q126" s="500"/>
    </row>
    <row r="127" spans="1:17" ht="15" hidden="1" thickTop="1">
      <c r="A127" s="595"/>
      <c r="B127" s="534">
        <f>B43</f>
        <v>0</v>
      </c>
      <c r="C127" s="550"/>
      <c r="D127" s="550"/>
      <c r="E127" s="550"/>
      <c r="F127" s="550"/>
      <c r="G127" s="550"/>
      <c r="H127" s="579"/>
      <c r="I127" s="579"/>
      <c r="J127" s="579"/>
      <c r="K127" s="580"/>
      <c r="L127" s="581"/>
      <c r="M127" s="582"/>
      <c r="N127" s="1145"/>
      <c r="O127" s="1145"/>
      <c r="P127" s="45"/>
      <c r="Q127" s="500"/>
    </row>
    <row r="128" spans="1:17" ht="15.75" hidden="1" thickBot="1">
      <c r="A128" s="530"/>
      <c r="B128" s="539"/>
      <c r="C128" s="556"/>
      <c r="D128" s="556"/>
      <c r="E128" s="556"/>
      <c r="F128" s="556"/>
      <c r="G128" s="532"/>
      <c r="H128" s="532"/>
      <c r="I128" s="532"/>
      <c r="J128" s="532"/>
      <c r="K128" s="532"/>
      <c r="L128" s="532"/>
      <c r="M128" s="533"/>
      <c r="N128" s="1146"/>
      <c r="O128" s="1146"/>
      <c r="P128" s="45"/>
      <c r="Q128" s="500"/>
    </row>
    <row r="129" spans="1:17" ht="15" hidden="1" thickTop="1">
      <c r="A129" s="595"/>
      <c r="B129" s="534">
        <f>B44</f>
        <v>0</v>
      </c>
      <c r="C129" s="519"/>
      <c r="D129" s="519"/>
      <c r="E129" s="519"/>
      <c r="F129" s="519"/>
      <c r="G129" s="579"/>
      <c r="H129" s="579"/>
      <c r="I129" s="579"/>
      <c r="J129" s="579"/>
      <c r="K129" s="580"/>
      <c r="L129" s="581"/>
      <c r="M129" s="582"/>
      <c r="N129" s="1145"/>
      <c r="O129" s="1145"/>
      <c r="P129" s="45"/>
      <c r="Q129" s="500"/>
    </row>
    <row r="130" spans="1:17" ht="15.75" hidden="1" thickBot="1">
      <c r="A130" s="530"/>
      <c r="B130" s="539"/>
      <c r="C130" s="566"/>
      <c r="D130" s="566"/>
      <c r="E130" s="566"/>
      <c r="F130" s="566"/>
      <c r="G130" s="532"/>
      <c r="H130" s="532"/>
      <c r="I130" s="532"/>
      <c r="J130" s="532"/>
      <c r="K130" s="532"/>
      <c r="L130" s="532"/>
      <c r="M130" s="533"/>
      <c r="N130" s="1146"/>
      <c r="O130" s="1146"/>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7"/>
      <c r="O131" s="1147"/>
      <c r="P131" s="554"/>
      <c r="Q131" s="555"/>
    </row>
    <row r="132" spans="1:17" s="467" customFormat="1" ht="15.75" hidden="1" thickBot="1">
      <c r="A132" s="564"/>
      <c r="B132" s="696"/>
      <c r="C132" s="566"/>
      <c r="D132" s="566"/>
      <c r="E132" s="566"/>
      <c r="F132" s="566"/>
      <c r="G132" s="587"/>
      <c r="H132" s="587"/>
      <c r="I132" s="587"/>
      <c r="J132" s="587"/>
      <c r="K132" s="587"/>
      <c r="L132" s="587"/>
      <c r="M132" s="588"/>
      <c r="N132" s="1147"/>
      <c r="O132" s="1147"/>
      <c r="P132" s="554"/>
      <c r="Q132" s="555"/>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9" priority="14" stopIfTrue="1" operator="containsText" text="超过">
      <formula>NOT(ISERROR(SEARCH("超过",F51)))</formula>
    </cfRule>
  </conditionalFormatting>
  <conditionalFormatting sqref="J53">
    <cfRule type="containsText" dxfId="188" priority="13" stopIfTrue="1" operator="containsText" text="超过">
      <formula>NOT(ISERROR(SEARCH("超过",J53)))</formula>
    </cfRule>
  </conditionalFormatting>
  <conditionalFormatting sqref="H53">
    <cfRule type="containsText" dxfId="187" priority="12" stopIfTrue="1" operator="containsText" text="超过">
      <formula>NOT(ISERROR(SEARCH("超过",H53)))</formula>
    </cfRule>
  </conditionalFormatting>
  <conditionalFormatting sqref="F53">
    <cfRule type="containsText" dxfId="186" priority="11" stopIfTrue="1" operator="containsText" text="超过">
      <formula>NOT(ISERROR(SEARCH("超过",F53)))</formula>
    </cfRule>
  </conditionalFormatting>
  <conditionalFormatting sqref="F52 H52 J52">
    <cfRule type="containsText" dxfId="185" priority="10" stopIfTrue="1" operator="containsText" text="超过">
      <formula>NOT(ISERROR(SEARCH("超过",F52)))</formula>
    </cfRule>
  </conditionalFormatting>
  <conditionalFormatting sqref="E51">
    <cfRule type="expression" dxfId="184" priority="9" stopIfTrue="1">
      <formula>$F$51="超过30%"</formula>
    </cfRule>
  </conditionalFormatting>
  <conditionalFormatting sqref="G53">
    <cfRule type="expression" dxfId="183" priority="8" stopIfTrue="1">
      <formula>$H$53="超过30%"</formula>
    </cfRule>
  </conditionalFormatting>
  <conditionalFormatting sqref="E52">
    <cfRule type="expression" dxfId="182" priority="7" stopIfTrue="1">
      <formula>$F$52="超过20%"</formula>
    </cfRule>
  </conditionalFormatting>
  <conditionalFormatting sqref="E53">
    <cfRule type="expression" dxfId="181" priority="6" stopIfTrue="1">
      <formula>$F$53="超过30%"</formula>
    </cfRule>
  </conditionalFormatting>
  <conditionalFormatting sqref="G51">
    <cfRule type="expression" dxfId="180" priority="5" stopIfTrue="1">
      <formula>$H$53+$H$51="超过30%"</formula>
    </cfRule>
  </conditionalFormatting>
  <conditionalFormatting sqref="G52">
    <cfRule type="expression" dxfId="179" priority="4" stopIfTrue="1">
      <formula>$H$52="超过20%"</formula>
    </cfRule>
  </conditionalFormatting>
  <conditionalFormatting sqref="I51">
    <cfRule type="expression" dxfId="178" priority="3" stopIfTrue="1">
      <formula>$J$51="超过30%"</formula>
    </cfRule>
  </conditionalFormatting>
  <conditionalFormatting sqref="I52">
    <cfRule type="expression" dxfId="177" priority="2" stopIfTrue="1">
      <formula>$J$52="超过20%"</formula>
    </cfRule>
  </conditionalFormatting>
  <conditionalFormatting sqref="I53">
    <cfRule type="expression" dxfId="17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R208"/>
  <sheetViews>
    <sheetView topLeftCell="G1" workbookViewId="0">
      <selection activeCell="K104" sqref="K104"/>
    </sheetView>
  </sheetViews>
  <sheetFormatPr defaultColWidth="8.875" defaultRowHeight="13.5"/>
  <cols>
    <col min="1" max="1" width="100.125" style="2964" customWidth="1"/>
    <col min="2" max="4" width="0" style="2964" hidden="1" customWidth="1"/>
    <col min="5" max="5" width="8.875" style="2964"/>
    <col min="6" max="6" width="41.375" style="2964" customWidth="1"/>
    <col min="7" max="8" width="22.125" style="2964" customWidth="1"/>
    <col min="9" max="9" width="13.5" style="2964" customWidth="1"/>
    <col min="10" max="10" width="14.625" style="2964" customWidth="1"/>
    <col min="11" max="11" width="50.875" style="2964" customWidth="1"/>
    <col min="12" max="12" width="13.625" style="2964" customWidth="1"/>
    <col min="13" max="13" width="17.125" style="2964" customWidth="1"/>
    <col min="14" max="14" width="14.875" style="2964" customWidth="1"/>
    <col min="15" max="15" width="7.375" style="2964" customWidth="1"/>
    <col min="16" max="16" width="11.625" style="2964" customWidth="1"/>
    <col min="17" max="18" width="26.5" customWidth="1"/>
  </cols>
  <sheetData>
    <row r="1" spans="1:16">
      <c r="A1" s="2994" t="s">
        <v>3086</v>
      </c>
      <c r="B1" s="2994" t="s">
        <v>3087</v>
      </c>
      <c r="C1" s="2994" t="s">
        <v>3088</v>
      </c>
      <c r="D1" s="2994" t="s">
        <v>3089</v>
      </c>
      <c r="E1" s="2994" t="s">
        <v>3193</v>
      </c>
      <c r="F1" s="2994" t="s">
        <v>3090</v>
      </c>
      <c r="G1" s="2993" t="s">
        <v>3091</v>
      </c>
      <c r="H1" s="2993" t="s">
        <v>3092</v>
      </c>
      <c r="I1" s="2994" t="s">
        <v>3093</v>
      </c>
      <c r="J1" s="2994" t="s">
        <v>3194</v>
      </c>
      <c r="K1" s="2994" t="s">
        <v>3094</v>
      </c>
      <c r="L1" s="2994" t="s">
        <v>3095</v>
      </c>
      <c r="M1" s="2994" t="s">
        <v>3096</v>
      </c>
      <c r="N1" s="2994" t="s">
        <v>3097</v>
      </c>
      <c r="O1" s="2994" t="s">
        <v>3098</v>
      </c>
      <c r="P1" s="2994" t="s">
        <v>3099</v>
      </c>
    </row>
    <row r="2" spans="1:16" hidden="1">
      <c r="A2" s="2994" t="s">
        <v>3454</v>
      </c>
      <c r="B2" s="2994" t="s">
        <v>3101</v>
      </c>
      <c r="C2" s="2994" t="s">
        <v>3110</v>
      </c>
      <c r="D2" s="2994" t="s">
        <v>3111</v>
      </c>
      <c r="E2" s="2994">
        <v>18068</v>
      </c>
      <c r="F2" s="2994" t="s">
        <v>3112</v>
      </c>
      <c r="G2" s="2994">
        <v>61448</v>
      </c>
      <c r="H2" s="2994" t="s">
        <v>3455</v>
      </c>
      <c r="I2" s="2994" t="s">
        <v>3456</v>
      </c>
      <c r="J2" s="2994" t="s">
        <v>3457</v>
      </c>
      <c r="K2" s="2994" t="s">
        <v>3458</v>
      </c>
      <c r="L2" s="2994">
        <v>74000</v>
      </c>
      <c r="M2" s="2994">
        <v>802.85</v>
      </c>
      <c r="N2" s="2994">
        <v>6181.71</v>
      </c>
      <c r="O2" s="2994">
        <v>10.54</v>
      </c>
      <c r="P2" s="2994" t="s">
        <v>3108</v>
      </c>
    </row>
    <row r="3" spans="1:16" hidden="1">
      <c r="A3" s="2994" t="s">
        <v>3593</v>
      </c>
      <c r="B3" s="2994" t="s">
        <v>3101</v>
      </c>
      <c r="C3" s="2994" t="s">
        <v>3102</v>
      </c>
      <c r="D3" s="2994" t="s">
        <v>3103</v>
      </c>
      <c r="E3" s="2994">
        <v>18065</v>
      </c>
      <c r="F3" s="2994" t="s">
        <v>3594</v>
      </c>
      <c r="G3" s="2994">
        <v>161748.70000000001</v>
      </c>
      <c r="H3" s="2994" t="s">
        <v>3595</v>
      </c>
      <c r="I3" s="2994" t="s">
        <v>3460</v>
      </c>
      <c r="J3" s="2994" t="s">
        <v>3596</v>
      </c>
      <c r="K3" s="2994" t="s">
        <v>3597</v>
      </c>
      <c r="L3" s="2994">
        <v>232000</v>
      </c>
      <c r="M3" s="2994">
        <v>956.22</v>
      </c>
      <c r="N3" s="2994">
        <v>5990.06</v>
      </c>
      <c r="O3" s="2994">
        <v>0</v>
      </c>
      <c r="P3" s="2994" t="s">
        <v>3108</v>
      </c>
    </row>
    <row r="4" spans="1:16" hidden="1">
      <c r="A4" s="2994" t="s">
        <v>3459</v>
      </c>
      <c r="B4" s="2994" t="s">
        <v>3101</v>
      </c>
      <c r="C4" s="2994" t="s">
        <v>3110</v>
      </c>
      <c r="D4" s="2994" t="s">
        <v>3111</v>
      </c>
      <c r="E4" s="2994">
        <v>18064</v>
      </c>
      <c r="F4" s="2994" t="s">
        <v>3112</v>
      </c>
      <c r="G4" s="2994">
        <v>74609</v>
      </c>
      <c r="H4" s="2994" t="s">
        <v>3117</v>
      </c>
      <c r="I4" s="2994" t="s">
        <v>3460</v>
      </c>
      <c r="J4" s="2994" t="s">
        <v>3461</v>
      </c>
      <c r="K4" s="2994" t="s">
        <v>3462</v>
      </c>
      <c r="L4" s="2994">
        <v>80500</v>
      </c>
      <c r="M4" s="2994">
        <v>719.31</v>
      </c>
      <c r="N4" s="2994">
        <v>7193.06</v>
      </c>
      <c r="O4" s="2994">
        <v>49.85</v>
      </c>
      <c r="P4" s="2994" t="s">
        <v>3108</v>
      </c>
    </row>
    <row r="5" spans="1:16" hidden="1">
      <c r="A5" s="2994" t="s">
        <v>3598</v>
      </c>
      <c r="B5" s="2994" t="s">
        <v>3101</v>
      </c>
      <c r="C5" s="2994" t="s">
        <v>3102</v>
      </c>
      <c r="D5" s="2994" t="s">
        <v>3103</v>
      </c>
      <c r="E5" s="2994">
        <v>18061</v>
      </c>
      <c r="F5" s="2994" t="s">
        <v>3599</v>
      </c>
      <c r="G5" s="2994">
        <v>161962.20000000001</v>
      </c>
      <c r="H5" s="2994" t="s">
        <v>3600</v>
      </c>
      <c r="I5" s="2994" t="s">
        <v>3601</v>
      </c>
      <c r="J5" s="2994" t="s">
        <v>3602</v>
      </c>
      <c r="K5" s="2994" t="s">
        <v>3603</v>
      </c>
      <c r="L5" s="2994">
        <v>245000</v>
      </c>
      <c r="M5" s="2994">
        <v>1008.47</v>
      </c>
      <c r="N5" s="2994">
        <v>5510</v>
      </c>
      <c r="O5" s="2994">
        <v>0</v>
      </c>
      <c r="P5" s="2994" t="s">
        <v>3108</v>
      </c>
    </row>
    <row r="6" spans="1:16" hidden="1">
      <c r="A6" s="2994" t="s">
        <v>3604</v>
      </c>
      <c r="B6" s="2994" t="s">
        <v>3101</v>
      </c>
      <c r="C6" s="2994" t="s">
        <v>3102</v>
      </c>
      <c r="D6" s="2994" t="s">
        <v>3103</v>
      </c>
      <c r="E6" s="2994">
        <v>18059</v>
      </c>
      <c r="F6" s="2994" t="s">
        <v>3155</v>
      </c>
      <c r="G6" s="2994">
        <v>155378</v>
      </c>
      <c r="H6" s="2994" t="s">
        <v>3605</v>
      </c>
      <c r="I6" s="2994" t="s">
        <v>3375</v>
      </c>
      <c r="J6" s="2994" t="s">
        <v>3606</v>
      </c>
      <c r="K6" s="2994" t="s">
        <v>3607</v>
      </c>
      <c r="L6" s="2994">
        <v>119331</v>
      </c>
      <c r="M6" s="2994">
        <v>512</v>
      </c>
      <c r="N6" s="2994">
        <v>3339.15</v>
      </c>
      <c r="O6" s="2994">
        <v>0</v>
      </c>
      <c r="P6" s="2994" t="s">
        <v>3108</v>
      </c>
    </row>
    <row r="7" spans="1:16" hidden="1">
      <c r="A7" s="2994" t="s">
        <v>3463</v>
      </c>
      <c r="B7" s="2994" t="s">
        <v>3101</v>
      </c>
      <c r="C7" s="2994" t="s">
        <v>3110</v>
      </c>
      <c r="D7" s="2994" t="s">
        <v>3103</v>
      </c>
      <c r="E7" s="2994">
        <v>18052</v>
      </c>
      <c r="F7" s="2994" t="s">
        <v>3112</v>
      </c>
      <c r="G7" s="2994">
        <v>150048</v>
      </c>
      <c r="H7" s="2994" t="s">
        <v>3464</v>
      </c>
      <c r="I7" s="2994" t="s">
        <v>3465</v>
      </c>
      <c r="J7" s="2994" t="s">
        <v>3466</v>
      </c>
      <c r="K7" s="2994" t="s">
        <v>3467</v>
      </c>
      <c r="L7" s="2994">
        <v>215024</v>
      </c>
      <c r="M7" s="2994">
        <v>955.36</v>
      </c>
      <c r="N7" s="2994">
        <v>8009.06</v>
      </c>
      <c r="O7" s="2994">
        <v>0</v>
      </c>
      <c r="P7" s="2994" t="s">
        <v>3108</v>
      </c>
    </row>
    <row r="8" spans="1:16" hidden="1">
      <c r="A8" s="2994" t="s">
        <v>3792</v>
      </c>
      <c r="B8" s="2994" t="s">
        <v>3101</v>
      </c>
      <c r="C8" s="2994" t="s">
        <v>3110</v>
      </c>
      <c r="D8" s="2994" t="s">
        <v>3103</v>
      </c>
      <c r="E8" s="2994">
        <v>18044</v>
      </c>
      <c r="F8" s="2994" t="s">
        <v>3112</v>
      </c>
      <c r="G8" s="2994">
        <v>163979.4</v>
      </c>
      <c r="H8" s="2994" t="s">
        <v>3793</v>
      </c>
      <c r="I8" s="2994" t="s">
        <v>3794</v>
      </c>
      <c r="J8" s="2994" t="s">
        <v>3795</v>
      </c>
      <c r="K8" s="2994" t="s">
        <v>3796</v>
      </c>
      <c r="L8" s="2994">
        <v>206614</v>
      </c>
      <c r="M8" s="2994">
        <v>840</v>
      </c>
      <c r="N8" s="2994">
        <v>6000</v>
      </c>
      <c r="O8" s="2994">
        <v>0</v>
      </c>
      <c r="P8" s="2994" t="s">
        <v>3108</v>
      </c>
    </row>
    <row r="9" spans="1:16" hidden="1">
      <c r="A9" s="2994" t="s">
        <v>3797</v>
      </c>
      <c r="B9" s="2994" t="s">
        <v>3101</v>
      </c>
      <c r="C9" s="2994" t="s">
        <v>3110</v>
      </c>
      <c r="D9" s="2994" t="s">
        <v>3111</v>
      </c>
      <c r="E9" s="2994">
        <v>18047</v>
      </c>
      <c r="F9" s="2994" t="s">
        <v>3112</v>
      </c>
      <c r="G9" s="2994">
        <v>65546</v>
      </c>
      <c r="H9" s="2994" t="s">
        <v>3374</v>
      </c>
      <c r="I9" s="2994" t="s">
        <v>3794</v>
      </c>
      <c r="J9" s="2994" t="s">
        <v>3798</v>
      </c>
      <c r="K9" s="2994" t="s">
        <v>3799</v>
      </c>
      <c r="L9" s="2994">
        <v>69000</v>
      </c>
      <c r="M9" s="2994">
        <v>701.8</v>
      </c>
      <c r="N9" s="2994">
        <v>5263.47</v>
      </c>
      <c r="O9" s="2994">
        <v>31.59</v>
      </c>
      <c r="P9" s="2994" t="s">
        <v>3108</v>
      </c>
    </row>
    <row r="10" spans="1:16" hidden="1">
      <c r="A10" s="2994" t="s">
        <v>3800</v>
      </c>
      <c r="B10" s="2994" t="s">
        <v>3101</v>
      </c>
      <c r="C10" s="2994" t="s">
        <v>3110</v>
      </c>
      <c r="D10" s="2994" t="s">
        <v>3111</v>
      </c>
      <c r="E10" s="2994">
        <v>18046</v>
      </c>
      <c r="F10" s="2994" t="s">
        <v>3112</v>
      </c>
      <c r="G10" s="2994">
        <v>36197</v>
      </c>
      <c r="H10" s="2994" t="s">
        <v>3374</v>
      </c>
      <c r="I10" s="2994" t="s">
        <v>3794</v>
      </c>
      <c r="J10" s="2994" t="s">
        <v>3798</v>
      </c>
      <c r="K10" s="2994" t="s">
        <v>3801</v>
      </c>
      <c r="L10" s="2994">
        <v>49600</v>
      </c>
      <c r="M10" s="2994">
        <v>913.52</v>
      </c>
      <c r="N10" s="2994">
        <v>6851.39</v>
      </c>
      <c r="O10" s="2994">
        <v>71.28</v>
      </c>
      <c r="P10" s="2994" t="s">
        <v>3108</v>
      </c>
    </row>
    <row r="11" spans="1:16" hidden="1">
      <c r="A11" s="2994" t="s">
        <v>3468</v>
      </c>
      <c r="B11" s="2994" t="s">
        <v>3101</v>
      </c>
      <c r="C11" s="2994" t="s">
        <v>3110</v>
      </c>
      <c r="D11" s="2994" t="s">
        <v>3111</v>
      </c>
      <c r="E11" s="2994">
        <v>18042</v>
      </c>
      <c r="F11" s="2994" t="s">
        <v>3112</v>
      </c>
      <c r="G11" s="2994">
        <v>184589.8</v>
      </c>
      <c r="H11" s="2994" t="s">
        <v>3469</v>
      </c>
      <c r="I11" s="2994" t="s">
        <v>3470</v>
      </c>
      <c r="J11" s="2994" t="s">
        <v>3471</v>
      </c>
      <c r="K11" s="2994" t="s">
        <v>3472</v>
      </c>
      <c r="L11" s="2994">
        <v>221000</v>
      </c>
      <c r="M11" s="2994">
        <v>798.17</v>
      </c>
      <c r="N11" s="2994">
        <v>6380.8</v>
      </c>
      <c r="O11" s="2994">
        <v>16.010000000000002</v>
      </c>
      <c r="P11" s="2994" t="s">
        <v>3108</v>
      </c>
    </row>
    <row r="12" spans="1:16" hidden="1">
      <c r="A12" s="2994" t="s">
        <v>3608</v>
      </c>
      <c r="B12" s="2994" t="s">
        <v>3101</v>
      </c>
      <c r="C12" s="2994" t="s">
        <v>3102</v>
      </c>
      <c r="D12" s="2994" t="s">
        <v>3111</v>
      </c>
      <c r="E12" s="2994">
        <v>18038</v>
      </c>
      <c r="F12" s="2994" t="s">
        <v>3121</v>
      </c>
      <c r="G12" s="2994">
        <v>8749</v>
      </c>
      <c r="H12" s="2994" t="s">
        <v>3605</v>
      </c>
      <c r="I12" s="2994" t="s">
        <v>3470</v>
      </c>
      <c r="J12" s="2994" t="s">
        <v>3609</v>
      </c>
      <c r="K12" s="2994" t="s">
        <v>3610</v>
      </c>
      <c r="L12" s="2994">
        <v>23700</v>
      </c>
      <c r="M12" s="2994">
        <v>1805.92</v>
      </c>
      <c r="N12" s="2994">
        <v>11726.87</v>
      </c>
      <c r="O12" s="2994">
        <v>69.94</v>
      </c>
      <c r="P12" s="2994" t="s">
        <v>3108</v>
      </c>
    </row>
    <row r="13" spans="1:16" hidden="1">
      <c r="A13" s="2994" t="s">
        <v>3611</v>
      </c>
      <c r="B13" s="2994" t="s">
        <v>3101</v>
      </c>
      <c r="C13" s="2994" t="s">
        <v>3102</v>
      </c>
      <c r="D13" s="2994" t="s">
        <v>3111</v>
      </c>
      <c r="E13" s="2994">
        <v>18041</v>
      </c>
      <c r="F13" s="2994" t="s">
        <v>3121</v>
      </c>
      <c r="G13" s="2994">
        <v>187009.5</v>
      </c>
      <c r="H13" s="2994" t="s">
        <v>3455</v>
      </c>
      <c r="I13" s="2994" t="s">
        <v>3470</v>
      </c>
      <c r="J13" s="2994" t="s">
        <v>3471</v>
      </c>
      <c r="K13" s="2994" t="s">
        <v>3612</v>
      </c>
      <c r="L13" s="2994">
        <v>182000</v>
      </c>
      <c r="M13" s="2994">
        <v>648.80999999999995</v>
      </c>
      <c r="N13" s="2994">
        <v>5067.3599999999997</v>
      </c>
      <c r="O13" s="2994">
        <v>17.850000000000001</v>
      </c>
      <c r="P13" s="2994" t="s">
        <v>3108</v>
      </c>
    </row>
    <row r="14" spans="1:16" hidden="1">
      <c r="A14" s="2994" t="s">
        <v>3613</v>
      </c>
      <c r="B14" s="2994" t="s">
        <v>3101</v>
      </c>
      <c r="C14" s="2994" t="s">
        <v>3102</v>
      </c>
      <c r="D14" s="2994" t="s">
        <v>3103</v>
      </c>
      <c r="E14" s="2994">
        <v>18040</v>
      </c>
      <c r="F14" s="2994" t="s">
        <v>3121</v>
      </c>
      <c r="G14" s="2994">
        <v>200567.9</v>
      </c>
      <c r="H14" s="2994" t="s">
        <v>3455</v>
      </c>
      <c r="I14" s="2994" t="s">
        <v>3470</v>
      </c>
      <c r="J14" s="2994" t="s">
        <v>3471</v>
      </c>
      <c r="K14" s="2994" t="s">
        <v>3549</v>
      </c>
      <c r="L14" s="2994">
        <v>158948</v>
      </c>
      <c r="M14" s="2994">
        <v>528.33000000000004</v>
      </c>
      <c r="N14" s="2994">
        <v>4100.01</v>
      </c>
      <c r="O14" s="2994">
        <v>0</v>
      </c>
      <c r="P14" s="2994" t="s">
        <v>3108</v>
      </c>
    </row>
    <row r="15" spans="1:16" hidden="1">
      <c r="A15" s="2994" t="s">
        <v>3614</v>
      </c>
      <c r="B15" s="2994" t="s">
        <v>3101</v>
      </c>
      <c r="C15" s="2994" t="s">
        <v>3102</v>
      </c>
      <c r="D15" s="2994" t="s">
        <v>3111</v>
      </c>
      <c r="E15" s="2994">
        <v>18037</v>
      </c>
      <c r="F15" s="2994" t="s">
        <v>3121</v>
      </c>
      <c r="G15" s="2994">
        <v>28607</v>
      </c>
      <c r="H15" s="2994" t="s">
        <v>3478</v>
      </c>
      <c r="I15" s="2994" t="s">
        <v>3470</v>
      </c>
      <c r="J15" s="2994" t="s">
        <v>3609</v>
      </c>
      <c r="K15" s="2994" t="s">
        <v>3615</v>
      </c>
      <c r="L15" s="2994">
        <v>40600</v>
      </c>
      <c r="M15" s="2994">
        <v>946.16</v>
      </c>
      <c r="N15" s="2994">
        <v>5676.89</v>
      </c>
      <c r="O15" s="2994">
        <v>13.54</v>
      </c>
      <c r="P15" s="2994" t="s">
        <v>3108</v>
      </c>
    </row>
    <row r="16" spans="1:16" hidden="1">
      <c r="A16" s="2994" t="s">
        <v>3802</v>
      </c>
      <c r="B16" s="2994" t="s">
        <v>3101</v>
      </c>
      <c r="C16" s="2994" t="s">
        <v>3102</v>
      </c>
      <c r="D16" s="2994" t="s">
        <v>3111</v>
      </c>
      <c r="E16" s="2994">
        <v>18036</v>
      </c>
      <c r="F16" s="2994" t="s">
        <v>3803</v>
      </c>
      <c r="G16" s="2994">
        <v>9997.2000000000007</v>
      </c>
      <c r="H16" s="2994" t="s">
        <v>3113</v>
      </c>
      <c r="I16" s="2994" t="s">
        <v>3618</v>
      </c>
      <c r="J16" s="2994" t="s">
        <v>3804</v>
      </c>
      <c r="K16" s="2994" t="s">
        <v>3805</v>
      </c>
      <c r="L16" s="2994">
        <v>34800</v>
      </c>
      <c r="M16" s="2994">
        <v>2320.65</v>
      </c>
      <c r="N16" s="2994">
        <v>9945.6299999999992</v>
      </c>
      <c r="O16" s="2994">
        <v>46.26</v>
      </c>
      <c r="P16" s="2994" t="s">
        <v>3108</v>
      </c>
    </row>
    <row r="17" spans="1:18" hidden="1">
      <c r="A17" s="2994" t="s">
        <v>3616</v>
      </c>
      <c r="B17" s="2994" t="s">
        <v>3101</v>
      </c>
      <c r="C17" s="2994" t="s">
        <v>3102</v>
      </c>
      <c r="D17" s="2994" t="s">
        <v>3103</v>
      </c>
      <c r="E17" s="2994">
        <v>18035</v>
      </c>
      <c r="F17" s="2994" t="s">
        <v>3617</v>
      </c>
      <c r="G17" s="2994">
        <v>169301.1</v>
      </c>
      <c r="H17" s="2994" t="s">
        <v>3455</v>
      </c>
      <c r="I17" s="2994" t="s">
        <v>3618</v>
      </c>
      <c r="J17" s="2994" t="s">
        <v>3619</v>
      </c>
      <c r="K17" s="2994" t="s">
        <v>3620</v>
      </c>
      <c r="L17" s="2994">
        <v>88714</v>
      </c>
      <c r="M17" s="2994">
        <v>349.33</v>
      </c>
      <c r="N17" s="2994">
        <v>2693.63</v>
      </c>
      <c r="O17" s="2994">
        <v>0</v>
      </c>
      <c r="P17" s="2994" t="s">
        <v>3108</v>
      </c>
    </row>
    <row r="18" spans="1:18" hidden="1">
      <c r="A18" s="2994" t="s">
        <v>3100</v>
      </c>
      <c r="B18" s="2994" t="s">
        <v>3101</v>
      </c>
      <c r="C18" s="2994" t="s">
        <v>3102</v>
      </c>
      <c r="D18" s="2994" t="s">
        <v>3103</v>
      </c>
      <c r="E18" s="2994">
        <v>18033</v>
      </c>
      <c r="F18" s="2994" t="s">
        <v>3104</v>
      </c>
      <c r="G18" s="2994">
        <v>189552.8</v>
      </c>
      <c r="H18" s="2994" t="s">
        <v>3105</v>
      </c>
      <c r="I18" s="2994" t="s">
        <v>3106</v>
      </c>
      <c r="J18" s="2994" t="s">
        <v>3621</v>
      </c>
      <c r="K18" s="2994" t="s">
        <v>3107</v>
      </c>
      <c r="L18" s="2994">
        <v>137625</v>
      </c>
      <c r="M18" s="2994">
        <v>484.03</v>
      </c>
      <c r="N18" s="2994">
        <v>3237.17</v>
      </c>
      <c r="O18" s="2994">
        <v>0</v>
      </c>
      <c r="P18" s="2994" t="s">
        <v>3108</v>
      </c>
    </row>
    <row r="19" spans="1:18" hidden="1">
      <c r="A19" s="2994" t="s">
        <v>3806</v>
      </c>
      <c r="B19" s="2994" t="s">
        <v>3101</v>
      </c>
      <c r="C19" s="2994" t="s">
        <v>3110</v>
      </c>
      <c r="D19" s="2994" t="s">
        <v>3111</v>
      </c>
      <c r="E19" s="2994">
        <v>18031</v>
      </c>
      <c r="F19" s="2994" t="s">
        <v>3725</v>
      </c>
      <c r="G19" s="2994">
        <v>44997</v>
      </c>
      <c r="H19" s="2994">
        <v>1</v>
      </c>
      <c r="I19" s="2994" t="s">
        <v>3807</v>
      </c>
      <c r="J19" s="2994" t="s">
        <v>3808</v>
      </c>
      <c r="K19" s="2994" t="s">
        <v>3809</v>
      </c>
      <c r="L19" s="2994">
        <v>39800</v>
      </c>
      <c r="M19" s="2994">
        <v>589.66999999999996</v>
      </c>
      <c r="N19" s="2994">
        <v>8844.84</v>
      </c>
      <c r="O19" s="2994">
        <v>30.07</v>
      </c>
      <c r="P19" s="2994" t="s">
        <v>3108</v>
      </c>
    </row>
    <row r="20" spans="1:18" hidden="1">
      <c r="A20" s="2994" t="s">
        <v>3810</v>
      </c>
      <c r="B20" s="2994" t="s">
        <v>3101</v>
      </c>
      <c r="C20" s="2994" t="s">
        <v>3110</v>
      </c>
      <c r="D20" s="2994" t="s">
        <v>3111</v>
      </c>
      <c r="E20" s="2994">
        <v>18029</v>
      </c>
      <c r="F20" s="2994" t="s">
        <v>3112</v>
      </c>
      <c r="G20" s="2994">
        <v>95092.4</v>
      </c>
      <c r="H20" s="2994" t="s">
        <v>3117</v>
      </c>
      <c r="I20" s="2994" t="s">
        <v>3811</v>
      </c>
      <c r="J20" s="2994" t="s">
        <v>3812</v>
      </c>
      <c r="K20" s="2994" t="s">
        <v>3813</v>
      </c>
      <c r="L20" s="2994">
        <v>123000</v>
      </c>
      <c r="M20" s="2994">
        <v>862.32</v>
      </c>
      <c r="N20" s="2994">
        <v>8623.19</v>
      </c>
      <c r="O20" s="2994">
        <v>56.78</v>
      </c>
      <c r="P20" s="2994" t="s">
        <v>3108</v>
      </c>
    </row>
    <row r="21" spans="1:18" hidden="1">
      <c r="A21" s="2994" t="s">
        <v>3814</v>
      </c>
      <c r="B21" s="2994" t="s">
        <v>3101</v>
      </c>
      <c r="C21" s="2994" t="s">
        <v>3110</v>
      </c>
      <c r="D21" s="2994" t="s">
        <v>3111</v>
      </c>
      <c r="E21" s="2994">
        <v>18030</v>
      </c>
      <c r="F21" s="2994" t="s">
        <v>3112</v>
      </c>
      <c r="G21" s="2994">
        <v>103259.6</v>
      </c>
      <c r="H21" s="2994" t="s">
        <v>3815</v>
      </c>
      <c r="I21" s="2994" t="s">
        <v>3811</v>
      </c>
      <c r="J21" s="2994" t="s">
        <v>3812</v>
      </c>
      <c r="K21" s="2994" t="s">
        <v>3816</v>
      </c>
      <c r="L21" s="2994">
        <v>128000</v>
      </c>
      <c r="M21" s="2994">
        <v>826.4</v>
      </c>
      <c r="N21" s="2994">
        <v>8263.9500000000007</v>
      </c>
      <c r="O21" s="2994">
        <v>50.25</v>
      </c>
      <c r="P21" s="2994" t="s">
        <v>3108</v>
      </c>
    </row>
    <row r="22" spans="1:18" hidden="1">
      <c r="A22" s="2994" t="s">
        <v>3622</v>
      </c>
      <c r="B22" s="2994" t="s">
        <v>3101</v>
      </c>
      <c r="C22" s="2994" t="s">
        <v>3102</v>
      </c>
      <c r="D22" s="2994" t="s">
        <v>3111</v>
      </c>
      <c r="E22" s="2994">
        <v>18028</v>
      </c>
      <c r="F22" s="2994" t="s">
        <v>3623</v>
      </c>
      <c r="G22" s="2994">
        <v>148329.5</v>
      </c>
      <c r="H22" s="2994" t="s">
        <v>3624</v>
      </c>
      <c r="I22" s="2994" t="s">
        <v>3625</v>
      </c>
      <c r="J22" s="2994" t="s">
        <v>3626</v>
      </c>
      <c r="K22" s="2994" t="s">
        <v>3283</v>
      </c>
      <c r="L22" s="2994">
        <v>350000</v>
      </c>
      <c r="M22" s="2994">
        <v>1573.07</v>
      </c>
      <c r="N22" s="2994">
        <v>9114.06</v>
      </c>
      <c r="O22" s="2994">
        <v>30.21</v>
      </c>
      <c r="P22" s="2994" t="s">
        <v>3108</v>
      </c>
    </row>
    <row r="23" spans="1:18" hidden="1">
      <c r="A23" s="2994" t="s">
        <v>3627</v>
      </c>
      <c r="B23" s="2994" t="s">
        <v>3101</v>
      </c>
      <c r="C23" s="2994" t="s">
        <v>3102</v>
      </c>
      <c r="D23" s="2994" t="s">
        <v>3103</v>
      </c>
      <c r="E23" s="2994">
        <v>18026</v>
      </c>
      <c r="F23" s="2994" t="s">
        <v>3628</v>
      </c>
      <c r="G23" s="2994">
        <v>227465.5</v>
      </c>
      <c r="H23" s="2994" t="s">
        <v>3629</v>
      </c>
      <c r="I23" s="2994" t="s">
        <v>3630</v>
      </c>
      <c r="J23" s="2994" t="s">
        <v>3631</v>
      </c>
      <c r="K23" s="2994" t="s">
        <v>3632</v>
      </c>
      <c r="L23" s="2994">
        <v>82234</v>
      </c>
      <c r="M23" s="2994">
        <v>241.02</v>
      </c>
      <c r="N23" s="2994">
        <v>3461.44</v>
      </c>
      <c r="O23" s="2994">
        <v>0</v>
      </c>
      <c r="P23" s="2994" t="s">
        <v>3108</v>
      </c>
    </row>
    <row r="24" spans="1:18" hidden="1">
      <c r="A24" s="2994" t="s">
        <v>3633</v>
      </c>
      <c r="B24" s="2994" t="s">
        <v>3101</v>
      </c>
      <c r="C24" s="2994" t="s">
        <v>3102</v>
      </c>
      <c r="D24" s="2994" t="s">
        <v>3103</v>
      </c>
      <c r="E24" s="2994">
        <v>18027</v>
      </c>
      <c r="F24" s="2994" t="s">
        <v>3634</v>
      </c>
      <c r="G24" s="2994">
        <v>279131.40000000002</v>
      </c>
      <c r="H24" s="2994" t="s">
        <v>3635</v>
      </c>
      <c r="I24" s="2994" t="s">
        <v>3630</v>
      </c>
      <c r="J24" s="2994" t="s">
        <v>3631</v>
      </c>
      <c r="K24" s="2994" t="s">
        <v>3632</v>
      </c>
      <c r="L24" s="2994">
        <v>97555</v>
      </c>
      <c r="M24" s="2994">
        <v>233</v>
      </c>
      <c r="N24" s="2994">
        <v>3653.23</v>
      </c>
      <c r="O24" s="2994">
        <v>0</v>
      </c>
      <c r="P24" s="2994" t="s">
        <v>3108</v>
      </c>
    </row>
    <row r="25" spans="1:18" hidden="1">
      <c r="A25" s="2994" t="s">
        <v>3817</v>
      </c>
      <c r="B25" s="2994" t="s">
        <v>3101</v>
      </c>
      <c r="C25" s="2994" t="s">
        <v>3110</v>
      </c>
      <c r="D25" s="2994" t="s">
        <v>3111</v>
      </c>
      <c r="E25" s="2994">
        <v>18025</v>
      </c>
      <c r="F25" s="2994" t="s">
        <v>3112</v>
      </c>
      <c r="G25" s="2994">
        <v>55157.599999999999</v>
      </c>
      <c r="H25" s="2994" t="s">
        <v>3117</v>
      </c>
      <c r="I25" s="2994" t="s">
        <v>3630</v>
      </c>
      <c r="J25" s="2994" t="s">
        <v>3818</v>
      </c>
      <c r="K25" s="2994" t="s">
        <v>3819</v>
      </c>
      <c r="L25" s="2994">
        <v>68000</v>
      </c>
      <c r="M25" s="2994">
        <v>821.89</v>
      </c>
      <c r="N25" s="2994">
        <v>8218.8700000000008</v>
      </c>
      <c r="O25" s="2994">
        <v>49.43</v>
      </c>
      <c r="P25" s="2994" t="s">
        <v>3108</v>
      </c>
    </row>
    <row r="26" spans="1:18" hidden="1">
      <c r="A26" s="2994" t="s">
        <v>3473</v>
      </c>
      <c r="B26" s="2994" t="s">
        <v>3101</v>
      </c>
      <c r="C26" s="2994" t="s">
        <v>3110</v>
      </c>
      <c r="D26" s="2994" t="s">
        <v>3111</v>
      </c>
      <c r="E26" s="2994">
        <v>18021</v>
      </c>
      <c r="F26" s="2994" t="s">
        <v>3112</v>
      </c>
      <c r="G26" s="2994">
        <v>130604</v>
      </c>
      <c r="H26" s="2994" t="s">
        <v>3374</v>
      </c>
      <c r="I26" s="2994" t="s">
        <v>3198</v>
      </c>
      <c r="J26" s="2994" t="s">
        <v>3474</v>
      </c>
      <c r="K26" s="2994" t="s">
        <v>3475</v>
      </c>
      <c r="L26" s="2994">
        <v>225000</v>
      </c>
      <c r="M26" s="2994">
        <v>1148.51</v>
      </c>
      <c r="N26" s="2994">
        <v>8613.81</v>
      </c>
      <c r="O26" s="2994">
        <v>7.67</v>
      </c>
      <c r="P26" s="2994" t="s">
        <v>3108</v>
      </c>
    </row>
    <row r="27" spans="1:18" hidden="1">
      <c r="A27" s="2994" t="s">
        <v>3476</v>
      </c>
      <c r="B27" s="2994" t="s">
        <v>3101</v>
      </c>
      <c r="C27" s="2994" t="s">
        <v>3110</v>
      </c>
      <c r="D27" s="2994" t="s">
        <v>3111</v>
      </c>
      <c r="E27" s="2994">
        <v>18022</v>
      </c>
      <c r="F27" s="2994" t="s">
        <v>3112</v>
      </c>
      <c r="G27" s="2994">
        <v>73614</v>
      </c>
      <c r="H27" s="2994" t="s">
        <v>3374</v>
      </c>
      <c r="I27" s="2994" t="s">
        <v>3198</v>
      </c>
      <c r="J27" s="2994" t="s">
        <v>3474</v>
      </c>
      <c r="K27" s="2994" t="s">
        <v>3475</v>
      </c>
      <c r="L27" s="2994">
        <v>129000</v>
      </c>
      <c r="M27" s="2994">
        <v>1168.26</v>
      </c>
      <c r="N27" s="2994">
        <v>8761.92</v>
      </c>
      <c r="O27" s="2994">
        <v>9.52</v>
      </c>
      <c r="P27" s="2994" t="s">
        <v>3108</v>
      </c>
    </row>
    <row r="28" spans="1:18" hidden="1">
      <c r="A28" s="2994" t="s">
        <v>3477</v>
      </c>
      <c r="B28" s="2994" t="s">
        <v>3101</v>
      </c>
      <c r="C28" s="2994" t="s">
        <v>3110</v>
      </c>
      <c r="D28" s="2994" t="s">
        <v>3103</v>
      </c>
      <c r="E28" s="2994">
        <v>18020</v>
      </c>
      <c r="F28" s="2994" t="s">
        <v>3112</v>
      </c>
      <c r="G28" s="2994">
        <v>117436</v>
      </c>
      <c r="H28" s="2994" t="s">
        <v>3478</v>
      </c>
      <c r="I28" s="2994" t="s">
        <v>3198</v>
      </c>
      <c r="J28" s="2994" t="s">
        <v>3381</v>
      </c>
      <c r="K28" s="2994" t="s">
        <v>3479</v>
      </c>
      <c r="L28" s="2994">
        <v>184962</v>
      </c>
      <c r="M28" s="2994">
        <v>1050</v>
      </c>
      <c r="N28" s="2994">
        <v>6299.98</v>
      </c>
      <c r="O28" s="2994">
        <v>0</v>
      </c>
      <c r="P28" s="2994" t="s">
        <v>3108</v>
      </c>
    </row>
    <row r="29" spans="1:18" hidden="1">
      <c r="A29" s="2994" t="s">
        <v>3636</v>
      </c>
      <c r="B29" s="2994" t="s">
        <v>3101</v>
      </c>
      <c r="C29" s="2994" t="s">
        <v>3102</v>
      </c>
      <c r="D29" s="2994" t="s">
        <v>3103</v>
      </c>
      <c r="E29" s="2994">
        <v>18015</v>
      </c>
      <c r="F29" s="2994" t="s">
        <v>3637</v>
      </c>
      <c r="G29" s="2994">
        <v>51016</v>
      </c>
      <c r="H29" s="2994" t="s">
        <v>3638</v>
      </c>
      <c r="I29" s="2994" t="s">
        <v>3267</v>
      </c>
      <c r="J29" s="2994" t="s">
        <v>3639</v>
      </c>
      <c r="K29" s="2994" t="s">
        <v>3640</v>
      </c>
      <c r="L29" s="2994">
        <v>26121</v>
      </c>
      <c r="M29" s="2994">
        <v>341.34</v>
      </c>
      <c r="N29" s="2994">
        <v>2857.46</v>
      </c>
      <c r="O29" s="2994">
        <v>0</v>
      </c>
      <c r="P29" s="2994" t="s">
        <v>3108</v>
      </c>
    </row>
    <row r="30" spans="1:18" hidden="1">
      <c r="A30" s="2994" t="s">
        <v>3480</v>
      </c>
      <c r="B30" s="2994" t="s">
        <v>3101</v>
      </c>
      <c r="C30" s="2994" t="s">
        <v>3110</v>
      </c>
      <c r="D30" s="2994" t="s">
        <v>3111</v>
      </c>
      <c r="E30" s="2994">
        <v>18017</v>
      </c>
      <c r="F30" s="2994" t="s">
        <v>3112</v>
      </c>
      <c r="G30" s="2994">
        <v>182788.7</v>
      </c>
      <c r="H30" s="2994" t="s">
        <v>3374</v>
      </c>
      <c r="I30" s="2994" t="s">
        <v>3267</v>
      </c>
      <c r="J30" s="2994" t="s">
        <v>3268</v>
      </c>
      <c r="K30" s="2994" t="s">
        <v>3481</v>
      </c>
      <c r="L30" s="2994">
        <v>231000</v>
      </c>
      <c r="M30" s="2994">
        <v>842.5</v>
      </c>
      <c r="N30" s="2994">
        <v>6318.77</v>
      </c>
      <c r="O30" s="2994">
        <v>40.42</v>
      </c>
      <c r="P30" s="2994" t="s">
        <v>3108</v>
      </c>
    </row>
    <row r="31" spans="1:18" hidden="1">
      <c r="A31" s="2994" t="s">
        <v>3641</v>
      </c>
      <c r="B31" s="2994" t="s">
        <v>3101</v>
      </c>
      <c r="C31" s="2994" t="s">
        <v>3102</v>
      </c>
      <c r="D31" s="2994" t="s">
        <v>3111</v>
      </c>
      <c r="E31" s="2994">
        <v>18012</v>
      </c>
      <c r="F31" s="2994" t="s">
        <v>3642</v>
      </c>
      <c r="G31" s="2994">
        <v>357563.2</v>
      </c>
      <c r="H31" s="2994" t="s">
        <v>3266</v>
      </c>
      <c r="I31" s="2994" t="s">
        <v>3114</v>
      </c>
      <c r="J31" s="2994" t="s">
        <v>3643</v>
      </c>
      <c r="K31" s="2994" t="s">
        <v>3644</v>
      </c>
      <c r="L31" s="2994">
        <v>143000</v>
      </c>
      <c r="M31" s="2994">
        <v>266.62</v>
      </c>
      <c r="N31" s="2994">
        <v>2699.8</v>
      </c>
      <c r="O31" s="2994">
        <v>0.61</v>
      </c>
      <c r="P31" s="2994" t="s">
        <v>3108</v>
      </c>
    </row>
    <row r="32" spans="1:18" s="2990" customFormat="1">
      <c r="A32" s="2989" t="s">
        <v>3109</v>
      </c>
      <c r="B32" s="2994" t="s">
        <v>3101</v>
      </c>
      <c r="C32" s="2994" t="s">
        <v>3110</v>
      </c>
      <c r="D32" s="2994" t="s">
        <v>3111</v>
      </c>
      <c r="E32" s="2989">
        <v>18010</v>
      </c>
      <c r="F32" s="2989" t="s">
        <v>3112</v>
      </c>
      <c r="G32" s="3000">
        <v>4473.8</v>
      </c>
      <c r="H32" s="3000" t="s">
        <v>3113</v>
      </c>
      <c r="I32" s="2989" t="s">
        <v>3114</v>
      </c>
      <c r="J32" s="2989" t="s">
        <v>3482</v>
      </c>
      <c r="K32" s="2989" t="s">
        <v>3115</v>
      </c>
      <c r="L32" s="2989">
        <v>13100</v>
      </c>
      <c r="M32" s="2989">
        <v>1952.11</v>
      </c>
      <c r="N32" s="2989">
        <v>8366.17</v>
      </c>
      <c r="O32" s="2989">
        <v>32.85</v>
      </c>
      <c r="P32" s="2989" t="s">
        <v>3108</v>
      </c>
      <c r="Q32" s="3001" t="s">
        <v>4145</v>
      </c>
      <c r="R32" s="3001" t="s">
        <v>4146</v>
      </c>
    </row>
    <row r="33" spans="1:16" hidden="1">
      <c r="A33" s="2994" t="s">
        <v>3645</v>
      </c>
      <c r="B33" s="2994" t="s">
        <v>3101</v>
      </c>
      <c r="C33" s="2994" t="s">
        <v>3102</v>
      </c>
      <c r="D33" s="2994" t="s">
        <v>3111</v>
      </c>
      <c r="E33" s="2994">
        <v>18011</v>
      </c>
      <c r="F33" s="2994" t="s">
        <v>3646</v>
      </c>
      <c r="G33" s="2994">
        <v>265302.59999999998</v>
      </c>
      <c r="H33" s="2994" t="s">
        <v>3397</v>
      </c>
      <c r="I33" s="2994" t="s">
        <v>3114</v>
      </c>
      <c r="J33" s="2994" t="s">
        <v>3643</v>
      </c>
      <c r="K33" s="2994" t="s">
        <v>3644</v>
      </c>
      <c r="L33" s="2994">
        <v>90500</v>
      </c>
      <c r="M33" s="2994">
        <v>227.41</v>
      </c>
      <c r="N33" s="2994">
        <v>3066.05</v>
      </c>
      <c r="O33" s="2994">
        <v>0.98</v>
      </c>
      <c r="P33" s="2994" t="s">
        <v>3108</v>
      </c>
    </row>
    <row r="34" spans="1:16" hidden="1">
      <c r="A34" s="2994" t="s">
        <v>3647</v>
      </c>
      <c r="B34" s="2994" t="s">
        <v>3101</v>
      </c>
      <c r="C34" s="2994" t="s">
        <v>3102</v>
      </c>
      <c r="D34" s="2994" t="s">
        <v>3111</v>
      </c>
      <c r="E34" s="2994">
        <v>18007</v>
      </c>
      <c r="F34" s="2994" t="s">
        <v>3648</v>
      </c>
      <c r="G34" s="2994">
        <v>8476</v>
      </c>
      <c r="H34" s="2994" t="s">
        <v>3649</v>
      </c>
      <c r="I34" s="2994" t="s">
        <v>3650</v>
      </c>
      <c r="J34" s="2994" t="s">
        <v>3651</v>
      </c>
      <c r="K34" s="2994" t="s">
        <v>3652</v>
      </c>
      <c r="L34" s="2994">
        <v>21200</v>
      </c>
      <c r="M34" s="2994">
        <v>1667.45</v>
      </c>
      <c r="N34" s="2994">
        <v>7649.56</v>
      </c>
      <c r="O34" s="2994">
        <v>52.99</v>
      </c>
      <c r="P34" s="2994" t="s">
        <v>3108</v>
      </c>
    </row>
    <row r="35" spans="1:16" hidden="1">
      <c r="A35" s="2994" t="s">
        <v>3653</v>
      </c>
      <c r="B35" s="2994" t="s">
        <v>3101</v>
      </c>
      <c r="C35" s="2994" t="s">
        <v>3102</v>
      </c>
      <c r="D35" s="2994" t="s">
        <v>3111</v>
      </c>
      <c r="E35" s="2994">
        <v>18001</v>
      </c>
      <c r="F35" s="2994" t="s">
        <v>3121</v>
      </c>
      <c r="G35" s="2994">
        <v>131842</v>
      </c>
      <c r="H35" s="2994" t="s">
        <v>3478</v>
      </c>
      <c r="I35" s="2994" t="s">
        <v>3383</v>
      </c>
      <c r="J35" s="2994" t="s">
        <v>3654</v>
      </c>
      <c r="K35" s="2994" t="s">
        <v>3484</v>
      </c>
      <c r="L35" s="2994">
        <v>219000</v>
      </c>
      <c r="M35" s="2994">
        <v>1107.3900000000001</v>
      </c>
      <c r="N35" s="2994">
        <v>6644.3</v>
      </c>
      <c r="O35" s="2994">
        <v>27.77</v>
      </c>
      <c r="P35" s="2994" t="s">
        <v>3108</v>
      </c>
    </row>
    <row r="36" spans="1:16">
      <c r="A36" s="2994" t="s">
        <v>3483</v>
      </c>
      <c r="B36" s="2994" t="s">
        <v>3101</v>
      </c>
      <c r="C36" s="2994" t="s">
        <v>3110</v>
      </c>
      <c r="D36" s="2994" t="s">
        <v>3111</v>
      </c>
      <c r="E36" s="2994">
        <v>18004</v>
      </c>
      <c r="F36" s="2994" t="s">
        <v>3112</v>
      </c>
      <c r="G36" s="2993">
        <v>32899</v>
      </c>
      <c r="H36" s="2993" t="s">
        <v>3113</v>
      </c>
      <c r="I36" s="2994" t="s">
        <v>3383</v>
      </c>
      <c r="J36" s="2994" t="s">
        <v>3384</v>
      </c>
      <c r="K36" s="2994" t="s">
        <v>3484</v>
      </c>
      <c r="L36" s="2994">
        <v>91500</v>
      </c>
      <c r="M36" s="2994">
        <v>1854.16</v>
      </c>
      <c r="N36" s="2994">
        <v>7946.39</v>
      </c>
      <c r="O36" s="2994">
        <v>15.55</v>
      </c>
      <c r="P36" s="2994" t="s">
        <v>3108</v>
      </c>
    </row>
    <row r="37" spans="1:16" hidden="1">
      <c r="A37" s="2994" t="s">
        <v>3485</v>
      </c>
      <c r="B37" s="2994" t="s">
        <v>3101</v>
      </c>
      <c r="C37" s="2994" t="s">
        <v>3110</v>
      </c>
      <c r="D37" s="2994" t="s">
        <v>3103</v>
      </c>
      <c r="E37" s="2994">
        <v>17160</v>
      </c>
      <c r="F37" s="2994" t="s">
        <v>3112</v>
      </c>
      <c r="G37" s="2994">
        <v>57543</v>
      </c>
      <c r="H37" s="2994" t="s">
        <v>3478</v>
      </c>
      <c r="I37" s="2994" t="s">
        <v>3201</v>
      </c>
      <c r="J37" s="2994" t="s">
        <v>3486</v>
      </c>
      <c r="K37" s="2994" t="s">
        <v>3487</v>
      </c>
      <c r="L37" s="2994">
        <v>79180</v>
      </c>
      <c r="M37" s="2994">
        <v>917.34</v>
      </c>
      <c r="N37" s="2994">
        <v>5504.03</v>
      </c>
      <c r="O37" s="2994">
        <v>0</v>
      </c>
      <c r="P37" s="2994" t="s">
        <v>3108</v>
      </c>
    </row>
    <row r="38" spans="1:16" hidden="1">
      <c r="A38" s="2994" t="s">
        <v>3655</v>
      </c>
      <c r="B38" s="2994" t="s">
        <v>3101</v>
      </c>
      <c r="C38" s="2994" t="s">
        <v>3102</v>
      </c>
      <c r="D38" s="2994" t="s">
        <v>3103</v>
      </c>
      <c r="E38" s="2994">
        <v>17154</v>
      </c>
      <c r="F38" s="2994" t="s">
        <v>3121</v>
      </c>
      <c r="G38" s="2994">
        <v>74503</v>
      </c>
      <c r="H38" s="2994" t="s">
        <v>3656</v>
      </c>
      <c r="I38" s="2994" t="s">
        <v>3489</v>
      </c>
      <c r="J38" s="2994" t="s">
        <v>3657</v>
      </c>
      <c r="K38" s="2994" t="s">
        <v>3658</v>
      </c>
      <c r="L38" s="2994">
        <v>70183</v>
      </c>
      <c r="M38" s="2994">
        <v>628.01</v>
      </c>
      <c r="N38" s="2994">
        <v>3708.71</v>
      </c>
      <c r="O38" s="2994">
        <v>0</v>
      </c>
      <c r="P38" s="2994" t="s">
        <v>3108</v>
      </c>
    </row>
    <row r="39" spans="1:16" hidden="1">
      <c r="A39" s="2994" t="s">
        <v>3488</v>
      </c>
      <c r="B39" s="2994" t="s">
        <v>3101</v>
      </c>
      <c r="C39" s="2994" t="s">
        <v>3110</v>
      </c>
      <c r="D39" s="2994" t="s">
        <v>3111</v>
      </c>
      <c r="E39" s="2994">
        <v>17155</v>
      </c>
      <c r="F39" s="2994" t="s">
        <v>3112</v>
      </c>
      <c r="G39" s="2994">
        <v>35110</v>
      </c>
      <c r="H39" s="2994" t="s">
        <v>3374</v>
      </c>
      <c r="I39" s="2994" t="s">
        <v>3489</v>
      </c>
      <c r="J39" s="2994" t="s">
        <v>3490</v>
      </c>
      <c r="K39" s="2994" t="s">
        <v>3491</v>
      </c>
      <c r="L39" s="2994">
        <v>80000</v>
      </c>
      <c r="M39" s="2994">
        <v>1519.04</v>
      </c>
      <c r="N39" s="2994">
        <v>11392.77</v>
      </c>
      <c r="O39" s="2994">
        <v>42.41</v>
      </c>
      <c r="P39" s="2994" t="s">
        <v>3317</v>
      </c>
    </row>
    <row r="40" spans="1:16" hidden="1">
      <c r="A40" s="2994" t="s">
        <v>3659</v>
      </c>
      <c r="B40" s="2994" t="s">
        <v>3101</v>
      </c>
      <c r="C40" s="2994" t="s">
        <v>3102</v>
      </c>
      <c r="D40" s="2994" t="s">
        <v>3103</v>
      </c>
      <c r="E40" s="2994">
        <v>17150</v>
      </c>
      <c r="F40" s="2994" t="s">
        <v>3660</v>
      </c>
      <c r="G40" s="2994">
        <v>280435</v>
      </c>
      <c r="H40" s="2994" t="s">
        <v>3661</v>
      </c>
      <c r="I40" s="2994" t="s">
        <v>3388</v>
      </c>
      <c r="J40" s="2994" t="s">
        <v>3389</v>
      </c>
      <c r="K40" s="2994" t="s">
        <v>3390</v>
      </c>
      <c r="L40" s="2994">
        <v>47567</v>
      </c>
      <c r="M40" s="2994">
        <v>113.08</v>
      </c>
      <c r="N40" s="2994">
        <v>2323.5300000000002</v>
      </c>
      <c r="O40" s="2994">
        <v>0</v>
      </c>
      <c r="P40" s="2994" t="s">
        <v>3108</v>
      </c>
    </row>
    <row r="41" spans="1:16" hidden="1">
      <c r="A41" s="2994" t="s">
        <v>3492</v>
      </c>
      <c r="B41" s="2994" t="s">
        <v>3101</v>
      </c>
      <c r="C41" s="2994" t="s">
        <v>3110</v>
      </c>
      <c r="D41" s="2994" t="s">
        <v>3103</v>
      </c>
      <c r="E41" s="2994">
        <v>17148</v>
      </c>
      <c r="F41" s="2994" t="s">
        <v>3112</v>
      </c>
      <c r="G41" s="2994">
        <v>19222.2</v>
      </c>
      <c r="H41" s="2994" t="s">
        <v>3397</v>
      </c>
      <c r="I41" s="2994" t="s">
        <v>3393</v>
      </c>
      <c r="J41" s="2994" t="s">
        <v>3493</v>
      </c>
      <c r="K41" s="2994" t="s">
        <v>3494</v>
      </c>
      <c r="L41" s="2994">
        <v>17942</v>
      </c>
      <c r="M41" s="2994">
        <v>622.27</v>
      </c>
      <c r="N41" s="2994">
        <v>8485.4500000000007</v>
      </c>
      <c r="O41" s="2994">
        <v>0</v>
      </c>
      <c r="P41" s="2994" t="s">
        <v>3317</v>
      </c>
    </row>
    <row r="42" spans="1:16" hidden="1">
      <c r="A42" s="2994" t="s">
        <v>3662</v>
      </c>
      <c r="B42" s="2994" t="s">
        <v>3101</v>
      </c>
      <c r="C42" s="2994" t="s">
        <v>3102</v>
      </c>
      <c r="D42" s="2994" t="s">
        <v>3111</v>
      </c>
      <c r="E42" s="2994">
        <v>17143</v>
      </c>
      <c r="F42" s="2994" t="s">
        <v>3121</v>
      </c>
      <c r="G42" s="2994">
        <v>12793</v>
      </c>
      <c r="H42" s="2994" t="s">
        <v>3113</v>
      </c>
      <c r="I42" s="2994" t="s">
        <v>3663</v>
      </c>
      <c r="J42" s="2994" t="s">
        <v>3664</v>
      </c>
      <c r="K42" s="2994" t="s">
        <v>3665</v>
      </c>
      <c r="L42" s="2994">
        <v>44600</v>
      </c>
      <c r="M42" s="2994">
        <v>2324.19</v>
      </c>
      <c r="N42" s="2994">
        <v>9960.92</v>
      </c>
      <c r="O42" s="2994">
        <v>35.28</v>
      </c>
      <c r="P42" s="2994" t="s">
        <v>3108</v>
      </c>
    </row>
    <row r="43" spans="1:16" hidden="1">
      <c r="A43" s="2994" t="s">
        <v>3666</v>
      </c>
      <c r="B43" s="2994" t="s">
        <v>3101</v>
      </c>
      <c r="C43" s="2994" t="s">
        <v>3102</v>
      </c>
      <c r="D43" s="2994" t="s">
        <v>3103</v>
      </c>
      <c r="E43" s="2994">
        <v>17140</v>
      </c>
      <c r="F43" s="2994" t="s">
        <v>3617</v>
      </c>
      <c r="G43" s="2994">
        <v>78686.399999999994</v>
      </c>
      <c r="H43" s="2994" t="s">
        <v>3667</v>
      </c>
      <c r="I43" s="2994" t="s">
        <v>3668</v>
      </c>
      <c r="J43" s="2994" t="s">
        <v>3669</v>
      </c>
      <c r="K43" s="2994" t="s">
        <v>3670</v>
      </c>
      <c r="L43" s="2994">
        <v>138505</v>
      </c>
      <c r="M43" s="2994">
        <v>1173.48</v>
      </c>
      <c r="N43" s="2994">
        <v>4481.67</v>
      </c>
      <c r="O43" s="2994">
        <v>0</v>
      </c>
      <c r="P43" s="2994" t="s">
        <v>3108</v>
      </c>
    </row>
    <row r="44" spans="1:16" hidden="1">
      <c r="A44" s="2994" t="s">
        <v>3671</v>
      </c>
      <c r="B44" s="2994" t="s">
        <v>3101</v>
      </c>
      <c r="C44" s="2994" t="s">
        <v>3102</v>
      </c>
      <c r="D44" s="2994" t="s">
        <v>3103</v>
      </c>
      <c r="E44" s="2994">
        <v>17136</v>
      </c>
      <c r="F44" s="2994" t="s">
        <v>3143</v>
      </c>
      <c r="G44" s="2994">
        <v>218505.2</v>
      </c>
      <c r="H44" s="2994" t="s">
        <v>3672</v>
      </c>
      <c r="I44" s="2994" t="s">
        <v>3673</v>
      </c>
      <c r="J44" s="2994" t="s">
        <v>3674</v>
      </c>
      <c r="K44" s="2994" t="s">
        <v>3675</v>
      </c>
      <c r="L44" s="2994">
        <v>313926</v>
      </c>
      <c r="M44" s="2994">
        <v>957.8</v>
      </c>
      <c r="N44" s="2994">
        <v>4229.93</v>
      </c>
      <c r="O44" s="2994">
        <v>0</v>
      </c>
      <c r="P44" s="2994" t="s">
        <v>3108</v>
      </c>
    </row>
    <row r="45" spans="1:16" hidden="1">
      <c r="A45" s="2994" t="s">
        <v>3820</v>
      </c>
      <c r="B45" s="2994" t="s">
        <v>3101</v>
      </c>
      <c r="C45" s="2994" t="s">
        <v>3110</v>
      </c>
      <c r="D45" s="2994" t="s">
        <v>3103</v>
      </c>
      <c r="E45" s="2994">
        <v>17132</v>
      </c>
      <c r="F45" s="2994" t="s">
        <v>3112</v>
      </c>
      <c r="G45" s="2994">
        <v>179847.6</v>
      </c>
      <c r="H45" s="2994" t="s">
        <v>3821</v>
      </c>
      <c r="I45" s="2994" t="s">
        <v>3678</v>
      </c>
      <c r="J45" s="2994" t="s">
        <v>3822</v>
      </c>
      <c r="K45" s="2994" t="s">
        <v>3823</v>
      </c>
      <c r="L45" s="2994">
        <v>191764</v>
      </c>
      <c r="M45" s="2994">
        <v>710.84</v>
      </c>
      <c r="N45" s="2994">
        <v>5000.01</v>
      </c>
      <c r="O45" s="2994">
        <v>0</v>
      </c>
      <c r="P45" s="2994" t="s">
        <v>3108</v>
      </c>
    </row>
    <row r="46" spans="1:16" hidden="1">
      <c r="A46" s="2994" t="s">
        <v>3676</v>
      </c>
      <c r="B46" s="2994" t="s">
        <v>3101</v>
      </c>
      <c r="C46" s="2994" t="s">
        <v>3102</v>
      </c>
      <c r="D46" s="2994" t="s">
        <v>3103</v>
      </c>
      <c r="E46" s="2994">
        <v>17133</v>
      </c>
      <c r="F46" s="2994" t="s">
        <v>3677</v>
      </c>
      <c r="G46" s="2994">
        <v>219700</v>
      </c>
      <c r="H46" s="2994" t="s">
        <v>3532</v>
      </c>
      <c r="I46" s="2994" t="s">
        <v>3678</v>
      </c>
      <c r="J46" s="2994" t="s">
        <v>3679</v>
      </c>
      <c r="K46" s="2994" t="s">
        <v>3680</v>
      </c>
      <c r="L46" s="2994">
        <v>54595</v>
      </c>
      <c r="M46" s="2994">
        <v>165.67</v>
      </c>
      <c r="N46" s="2994">
        <v>2070.8200000000002</v>
      </c>
      <c r="O46" s="2994">
        <v>0</v>
      </c>
      <c r="P46" s="2994" t="s">
        <v>3108</v>
      </c>
    </row>
    <row r="47" spans="1:16" hidden="1">
      <c r="A47" s="2994" t="s">
        <v>3824</v>
      </c>
      <c r="B47" s="2994" t="s">
        <v>3101</v>
      </c>
      <c r="C47" s="2994" t="s">
        <v>3102</v>
      </c>
      <c r="D47" s="2994" t="s">
        <v>3111</v>
      </c>
      <c r="E47" s="2994">
        <v>17131</v>
      </c>
      <c r="F47" s="2994" t="s">
        <v>3155</v>
      </c>
      <c r="G47" s="2994">
        <v>132213.79999999999</v>
      </c>
      <c r="H47" s="2994" t="s">
        <v>3825</v>
      </c>
      <c r="I47" s="2994" t="s">
        <v>3683</v>
      </c>
      <c r="J47" s="2994" t="s">
        <v>3822</v>
      </c>
      <c r="K47" s="2994" t="s">
        <v>3160</v>
      </c>
      <c r="L47" s="2994">
        <v>107000</v>
      </c>
      <c r="M47" s="2994">
        <v>539.53</v>
      </c>
      <c r="N47" s="2994">
        <v>5812.28</v>
      </c>
      <c r="O47" s="2994">
        <v>29.16</v>
      </c>
      <c r="P47" s="2994" t="s">
        <v>3108</v>
      </c>
    </row>
    <row r="48" spans="1:16" hidden="1">
      <c r="A48" s="2994" t="s">
        <v>3681</v>
      </c>
      <c r="B48" s="2994" t="s">
        <v>3101</v>
      </c>
      <c r="C48" s="2994" t="s">
        <v>3102</v>
      </c>
      <c r="D48" s="2994" t="s">
        <v>3111</v>
      </c>
      <c r="E48" s="2994">
        <v>17130</v>
      </c>
      <c r="F48" s="2994" t="s">
        <v>3143</v>
      </c>
      <c r="G48" s="2994">
        <v>107434.1</v>
      </c>
      <c r="H48" s="2994" t="s">
        <v>3682</v>
      </c>
      <c r="I48" s="2994" t="s">
        <v>3683</v>
      </c>
      <c r="J48" s="2994" t="s">
        <v>3684</v>
      </c>
      <c r="K48" s="2994" t="s">
        <v>3124</v>
      </c>
      <c r="L48" s="2994">
        <v>176000</v>
      </c>
      <c r="M48" s="2994">
        <v>1092.1400000000001</v>
      </c>
      <c r="N48" s="2994">
        <v>4498.3900000000003</v>
      </c>
      <c r="O48" s="2994">
        <v>0.63</v>
      </c>
      <c r="P48" s="2994" t="s">
        <v>3108</v>
      </c>
    </row>
    <row r="49" spans="1:17" hidden="1">
      <c r="A49" s="2994" t="s">
        <v>3495</v>
      </c>
      <c r="B49" s="2994" t="s">
        <v>3101</v>
      </c>
      <c r="C49" s="2994" t="s">
        <v>3110</v>
      </c>
      <c r="D49" s="2994" t="s">
        <v>3111</v>
      </c>
      <c r="E49" s="2994">
        <v>17125</v>
      </c>
      <c r="F49" s="2994" t="s">
        <v>3112</v>
      </c>
      <c r="G49" s="2994">
        <v>64683.1</v>
      </c>
      <c r="H49" s="2994" t="s">
        <v>3496</v>
      </c>
      <c r="I49" s="2994" t="s">
        <v>3497</v>
      </c>
      <c r="J49" s="2994" t="s">
        <v>3498</v>
      </c>
      <c r="K49" s="2994" t="s">
        <v>3274</v>
      </c>
      <c r="L49" s="2994">
        <v>90000</v>
      </c>
      <c r="M49" s="2994">
        <v>927.6</v>
      </c>
      <c r="N49" s="2994">
        <v>8000.75</v>
      </c>
      <c r="O49" s="2994">
        <v>8.1199999999999992</v>
      </c>
      <c r="P49" s="2994" t="s">
        <v>3108</v>
      </c>
    </row>
    <row r="50" spans="1:17" hidden="1">
      <c r="A50" s="2994" t="s">
        <v>3685</v>
      </c>
      <c r="B50" s="2994" t="s">
        <v>3101</v>
      </c>
      <c r="C50" s="2994" t="s">
        <v>3102</v>
      </c>
      <c r="D50" s="2994" t="s">
        <v>3111</v>
      </c>
      <c r="E50" s="2994">
        <v>17127</v>
      </c>
      <c r="F50" s="2994" t="s">
        <v>3143</v>
      </c>
      <c r="G50" s="2994">
        <v>116702</v>
      </c>
      <c r="H50" s="2994" t="s">
        <v>3672</v>
      </c>
      <c r="I50" s="2994" t="s">
        <v>3497</v>
      </c>
      <c r="J50" s="2994" t="s">
        <v>3498</v>
      </c>
      <c r="K50" s="2994" t="s">
        <v>3686</v>
      </c>
      <c r="L50" s="2994">
        <v>178000</v>
      </c>
      <c r="M50" s="2994">
        <v>1016.83</v>
      </c>
      <c r="N50" s="2994">
        <v>4426.2700000000004</v>
      </c>
      <c r="O50" s="2994">
        <v>0.77</v>
      </c>
      <c r="P50" s="2994" t="s">
        <v>3108</v>
      </c>
    </row>
    <row r="51" spans="1:17" hidden="1">
      <c r="A51" s="2994" t="s">
        <v>3687</v>
      </c>
      <c r="B51" s="2994" t="s">
        <v>3101</v>
      </c>
      <c r="C51" s="2994" t="s">
        <v>3102</v>
      </c>
      <c r="D51" s="2994" t="s">
        <v>3111</v>
      </c>
      <c r="E51" s="2994">
        <v>17128</v>
      </c>
      <c r="F51" s="2994" t="s">
        <v>3143</v>
      </c>
      <c r="G51" s="2994">
        <v>152536.4</v>
      </c>
      <c r="H51" s="2994" t="s">
        <v>3672</v>
      </c>
      <c r="I51" s="2994" t="s">
        <v>3497</v>
      </c>
      <c r="J51" s="2994" t="s">
        <v>3498</v>
      </c>
      <c r="K51" s="2994" t="s">
        <v>3688</v>
      </c>
      <c r="L51" s="2994">
        <v>229000</v>
      </c>
      <c r="M51" s="2994">
        <v>1000.85</v>
      </c>
      <c r="N51" s="2994">
        <v>4463.3500000000004</v>
      </c>
      <c r="O51" s="2994">
        <v>0.6</v>
      </c>
      <c r="P51" s="2994" t="s">
        <v>3108</v>
      </c>
    </row>
    <row r="52" spans="1:17" hidden="1">
      <c r="A52" s="2995" t="s">
        <v>3499</v>
      </c>
      <c r="B52" s="2995" t="s">
        <v>3101</v>
      </c>
      <c r="C52" s="2995" t="s">
        <v>3110</v>
      </c>
      <c r="D52" s="2995" t="s">
        <v>3103</v>
      </c>
      <c r="E52" s="2995">
        <v>17126</v>
      </c>
      <c r="F52" s="2995" t="s">
        <v>3112</v>
      </c>
      <c r="G52" s="2995">
        <v>173473.6</v>
      </c>
      <c r="H52" s="2995" t="s">
        <v>3500</v>
      </c>
      <c r="I52" s="2995" t="s">
        <v>3497</v>
      </c>
      <c r="J52" s="2995" t="s">
        <v>3498</v>
      </c>
      <c r="K52" s="2995" t="s">
        <v>3475</v>
      </c>
      <c r="L52" s="2995">
        <v>234190</v>
      </c>
      <c r="M52" s="2995">
        <v>900</v>
      </c>
      <c r="N52" s="2995">
        <v>7500.02</v>
      </c>
      <c r="O52" s="2995">
        <v>0</v>
      </c>
      <c r="P52" s="2995" t="s">
        <v>3108</v>
      </c>
    </row>
    <row r="53" spans="1:17" hidden="1">
      <c r="A53" s="2995" t="s">
        <v>3826</v>
      </c>
      <c r="B53" s="2995" t="s">
        <v>3101</v>
      </c>
      <c r="C53" s="2995" t="s">
        <v>3110</v>
      </c>
      <c r="D53" s="2995" t="s">
        <v>3111</v>
      </c>
      <c r="E53" s="2995">
        <v>17123</v>
      </c>
      <c r="F53" s="2995" t="s">
        <v>3112</v>
      </c>
      <c r="G53" s="2995">
        <v>67568.5</v>
      </c>
      <c r="H53" s="2995" t="s">
        <v>3374</v>
      </c>
      <c r="I53" s="2995" t="s">
        <v>3118</v>
      </c>
      <c r="J53" s="2995" t="s">
        <v>3827</v>
      </c>
      <c r="K53" s="2995" t="s">
        <v>3828</v>
      </c>
      <c r="L53" s="2995">
        <v>67000</v>
      </c>
      <c r="M53" s="2995">
        <v>661.06</v>
      </c>
      <c r="N53" s="2995">
        <v>4957.93</v>
      </c>
      <c r="O53" s="2995">
        <v>24.88</v>
      </c>
      <c r="P53" s="2995" t="s">
        <v>3108</v>
      </c>
    </row>
    <row r="54" spans="1:17" hidden="1">
      <c r="A54" s="2995" t="s">
        <v>3116</v>
      </c>
      <c r="B54" s="2995" t="s">
        <v>3101</v>
      </c>
      <c r="C54" s="2995" t="s">
        <v>3110</v>
      </c>
      <c r="D54" s="2995" t="s">
        <v>3111</v>
      </c>
      <c r="E54" s="2995">
        <v>17124</v>
      </c>
      <c r="F54" s="2995" t="s">
        <v>3112</v>
      </c>
      <c r="G54" s="2995">
        <v>37137</v>
      </c>
      <c r="H54" s="2995" t="s">
        <v>3117</v>
      </c>
      <c r="I54" s="2995" t="s">
        <v>3118</v>
      </c>
      <c r="J54" s="2995" t="s">
        <v>3501</v>
      </c>
      <c r="K54" s="2995" t="s">
        <v>3119</v>
      </c>
      <c r="L54" s="2995">
        <v>168000</v>
      </c>
      <c r="M54" s="2995">
        <v>3015.86</v>
      </c>
      <c r="N54" s="2995">
        <v>10052.84</v>
      </c>
      <c r="O54" s="2995">
        <v>43.61</v>
      </c>
      <c r="P54" s="2995" t="s">
        <v>3108</v>
      </c>
    </row>
    <row r="55" spans="1:17" hidden="1">
      <c r="A55" s="2995" t="s">
        <v>3120</v>
      </c>
      <c r="B55" s="2995" t="s">
        <v>3101</v>
      </c>
      <c r="C55" s="2995" t="s">
        <v>3102</v>
      </c>
      <c r="D55" s="2995" t="s">
        <v>3111</v>
      </c>
      <c r="E55" s="2995">
        <v>17121</v>
      </c>
      <c r="F55" s="2995" t="s">
        <v>3121</v>
      </c>
      <c r="G55" s="2995">
        <v>10337</v>
      </c>
      <c r="H55" s="2995" t="s">
        <v>3122</v>
      </c>
      <c r="I55" s="2995" t="s">
        <v>3123</v>
      </c>
      <c r="J55" s="2995" t="s">
        <v>3689</v>
      </c>
      <c r="K55" s="2995" t="s">
        <v>3124</v>
      </c>
      <c r="L55" s="2995">
        <v>47000</v>
      </c>
      <c r="M55" s="2995">
        <v>3031.18</v>
      </c>
      <c r="N55" s="2995">
        <v>10103.82</v>
      </c>
      <c r="O55" s="2995">
        <v>26.3</v>
      </c>
      <c r="P55" s="2995" t="s">
        <v>3108</v>
      </c>
    </row>
    <row r="56" spans="1:17">
      <c r="A56" s="2995" t="s">
        <v>3829</v>
      </c>
      <c r="B56" s="2995" t="s">
        <v>3101</v>
      </c>
      <c r="C56" s="2995" t="s">
        <v>3110</v>
      </c>
      <c r="D56" s="2995" t="s">
        <v>3111</v>
      </c>
      <c r="E56" s="2995">
        <v>17122</v>
      </c>
      <c r="F56" s="2995" t="s">
        <v>3112</v>
      </c>
      <c r="G56" s="2993">
        <v>29053</v>
      </c>
      <c r="H56" s="2993" t="s">
        <v>3113</v>
      </c>
      <c r="I56" s="2995" t="s">
        <v>3123</v>
      </c>
      <c r="J56" s="2995" t="s">
        <v>3830</v>
      </c>
      <c r="K56" s="2995" t="s">
        <v>3831</v>
      </c>
      <c r="L56" s="2995">
        <v>56500</v>
      </c>
      <c r="M56" s="2995">
        <v>1296.48</v>
      </c>
      <c r="N56" s="2995">
        <v>5556.38</v>
      </c>
      <c r="O56" s="2995">
        <v>23.01</v>
      </c>
      <c r="P56" s="2995" t="s">
        <v>3108</v>
      </c>
    </row>
    <row r="57" spans="1:17" hidden="1">
      <c r="A57" s="2995" t="s">
        <v>3690</v>
      </c>
      <c r="B57" s="2995" t="s">
        <v>3101</v>
      </c>
      <c r="C57" s="2995" t="s">
        <v>3102</v>
      </c>
      <c r="D57" s="2995" t="s">
        <v>3111</v>
      </c>
      <c r="E57" s="2995">
        <v>17119</v>
      </c>
      <c r="F57" s="2995" t="s">
        <v>3691</v>
      </c>
      <c r="G57" s="2995">
        <v>29709</v>
      </c>
      <c r="H57" s="2995" t="s">
        <v>3692</v>
      </c>
      <c r="I57" s="2995" t="s">
        <v>3693</v>
      </c>
      <c r="J57" s="2995" t="s">
        <v>3694</v>
      </c>
      <c r="K57" s="2995" t="s">
        <v>3506</v>
      </c>
      <c r="L57" s="2995">
        <v>122000</v>
      </c>
      <c r="M57" s="2995">
        <v>2737.67</v>
      </c>
      <c r="N57" s="2995">
        <v>9530.7900000000009</v>
      </c>
      <c r="O57" s="2995">
        <v>19.13</v>
      </c>
      <c r="P57" s="2995" t="s">
        <v>3108</v>
      </c>
    </row>
    <row r="58" spans="1:17" s="2990" customFormat="1">
      <c r="A58" s="2989" t="s">
        <v>3502</v>
      </c>
      <c r="B58" s="2995" t="s">
        <v>3101</v>
      </c>
      <c r="C58" s="2995" t="s">
        <v>3110</v>
      </c>
      <c r="D58" s="2995" t="s">
        <v>3111</v>
      </c>
      <c r="E58" s="2989">
        <v>17113</v>
      </c>
      <c r="F58" s="2989" t="s">
        <v>3112</v>
      </c>
      <c r="G58" s="3000">
        <v>14819</v>
      </c>
      <c r="H58" s="3000" t="s">
        <v>3503</v>
      </c>
      <c r="I58" s="2989" t="s">
        <v>3504</v>
      </c>
      <c r="J58" s="2989" t="s">
        <v>3505</v>
      </c>
      <c r="K58" s="2989" t="s">
        <v>3506</v>
      </c>
      <c r="L58" s="2989">
        <v>49800</v>
      </c>
      <c r="M58" s="2989">
        <v>2240.37</v>
      </c>
      <c r="N58" s="2989">
        <v>9601.56</v>
      </c>
      <c r="O58" s="2989">
        <v>47.71</v>
      </c>
      <c r="P58" s="2989" t="s">
        <v>3108</v>
      </c>
      <c r="Q58" s="3001" t="s">
        <v>4148</v>
      </c>
    </row>
    <row r="59" spans="1:17" hidden="1">
      <c r="A59" s="2995" t="s">
        <v>3507</v>
      </c>
      <c r="B59" s="2995" t="s">
        <v>3101</v>
      </c>
      <c r="C59" s="2995" t="s">
        <v>3110</v>
      </c>
      <c r="D59" s="2995" t="s">
        <v>3103</v>
      </c>
      <c r="E59" s="2995">
        <v>17116</v>
      </c>
      <c r="F59" s="2995" t="s">
        <v>3112</v>
      </c>
      <c r="G59" s="2995">
        <v>107414.8</v>
      </c>
      <c r="H59" s="2995" t="s">
        <v>3508</v>
      </c>
      <c r="I59" s="2995" t="s">
        <v>3504</v>
      </c>
      <c r="J59" s="2995" t="s">
        <v>3509</v>
      </c>
      <c r="K59" s="2995" t="s">
        <v>3510</v>
      </c>
      <c r="L59" s="2995">
        <v>67242</v>
      </c>
      <c r="M59" s="2995">
        <v>417.34</v>
      </c>
      <c r="N59" s="2995">
        <v>2504.0100000000002</v>
      </c>
      <c r="O59" s="2995">
        <v>0</v>
      </c>
      <c r="P59" s="2995" t="s">
        <v>3108</v>
      </c>
    </row>
    <row r="60" spans="1:17" hidden="1">
      <c r="A60" s="2995" t="s">
        <v>3695</v>
      </c>
      <c r="B60" s="2995" t="s">
        <v>3101</v>
      </c>
      <c r="C60" s="2995" t="s">
        <v>3102</v>
      </c>
      <c r="D60" s="2995" t="s">
        <v>3103</v>
      </c>
      <c r="E60" s="2995">
        <v>17117</v>
      </c>
      <c r="F60" s="2995" t="s">
        <v>3696</v>
      </c>
      <c r="G60" s="2995">
        <v>181147.5</v>
      </c>
      <c r="H60" s="2995" t="s">
        <v>3697</v>
      </c>
      <c r="I60" s="2995" t="s">
        <v>3504</v>
      </c>
      <c r="J60" s="2995" t="s">
        <v>3509</v>
      </c>
      <c r="K60" s="2995" t="s">
        <v>3510</v>
      </c>
      <c r="L60" s="2995">
        <v>79457</v>
      </c>
      <c r="M60" s="2995">
        <v>292.42</v>
      </c>
      <c r="N60" s="2995">
        <v>2650.57</v>
      </c>
      <c r="O60" s="2995">
        <v>0</v>
      </c>
      <c r="P60" s="2995" t="s">
        <v>3108</v>
      </c>
    </row>
    <row r="61" spans="1:17" hidden="1">
      <c r="A61" s="2995" t="s">
        <v>3511</v>
      </c>
      <c r="B61" s="2995" t="s">
        <v>3101</v>
      </c>
      <c r="C61" s="2995" t="s">
        <v>3110</v>
      </c>
      <c r="D61" s="2995" t="s">
        <v>3103</v>
      </c>
      <c r="E61" s="2995">
        <v>17114</v>
      </c>
      <c r="F61" s="2995" t="s">
        <v>3112</v>
      </c>
      <c r="G61" s="2995">
        <v>200517.8</v>
      </c>
      <c r="H61" s="2995" t="s">
        <v>3512</v>
      </c>
      <c r="I61" s="2995" t="s">
        <v>3504</v>
      </c>
      <c r="J61" s="2995" t="s">
        <v>3509</v>
      </c>
      <c r="K61" s="2995" t="s">
        <v>3510</v>
      </c>
      <c r="L61" s="2995">
        <v>136064</v>
      </c>
      <c r="M61" s="2995">
        <v>452.38</v>
      </c>
      <c r="N61" s="2995">
        <v>2501.96</v>
      </c>
      <c r="O61" s="2995">
        <v>0</v>
      </c>
      <c r="P61" s="2995" t="s">
        <v>3108</v>
      </c>
    </row>
    <row r="62" spans="1:17" hidden="1">
      <c r="A62" s="2995" t="s">
        <v>3513</v>
      </c>
      <c r="B62" s="2995" t="s">
        <v>3101</v>
      </c>
      <c r="C62" s="2995" t="s">
        <v>3110</v>
      </c>
      <c r="D62" s="2995" t="s">
        <v>3103</v>
      </c>
      <c r="E62" s="2995">
        <v>17115</v>
      </c>
      <c r="F62" s="2995" t="s">
        <v>3112</v>
      </c>
      <c r="G62" s="2995">
        <v>170369.8</v>
      </c>
      <c r="H62" s="2995" t="s">
        <v>3508</v>
      </c>
      <c r="I62" s="2995" t="s">
        <v>3504</v>
      </c>
      <c r="J62" s="2995" t="s">
        <v>3509</v>
      </c>
      <c r="K62" s="2995" t="s">
        <v>3510</v>
      </c>
      <c r="L62" s="2995">
        <v>106311</v>
      </c>
      <c r="M62" s="2995">
        <v>416</v>
      </c>
      <c r="N62" s="2995">
        <v>2496.0100000000002</v>
      </c>
      <c r="O62" s="2995">
        <v>0</v>
      </c>
      <c r="P62" s="2995" t="s">
        <v>3108</v>
      </c>
    </row>
    <row r="63" spans="1:17" hidden="1">
      <c r="A63" s="2995" t="s">
        <v>3698</v>
      </c>
      <c r="B63" s="2995" t="s">
        <v>3101</v>
      </c>
      <c r="C63" s="2995" t="s">
        <v>3102</v>
      </c>
      <c r="D63" s="2995" t="s">
        <v>3111</v>
      </c>
      <c r="E63" s="2995">
        <v>17118</v>
      </c>
      <c r="F63" s="2995" t="s">
        <v>3699</v>
      </c>
      <c r="G63" s="2995">
        <v>142177.4</v>
      </c>
      <c r="H63" s="2995" t="s">
        <v>3700</v>
      </c>
      <c r="I63" s="2995" t="s">
        <v>3504</v>
      </c>
      <c r="J63" s="2995" t="s">
        <v>3509</v>
      </c>
      <c r="K63" s="2995" t="s">
        <v>3701</v>
      </c>
      <c r="L63" s="2995">
        <v>184952</v>
      </c>
      <c r="M63" s="2995">
        <v>867.24</v>
      </c>
      <c r="N63" s="2995">
        <v>11500.04</v>
      </c>
      <c r="O63" s="2995">
        <v>35.29</v>
      </c>
      <c r="P63" s="2995" t="s">
        <v>3108</v>
      </c>
    </row>
    <row r="64" spans="1:17" hidden="1">
      <c r="A64" s="2995" t="s">
        <v>3702</v>
      </c>
      <c r="B64" s="2995" t="s">
        <v>3101</v>
      </c>
      <c r="C64" s="2995" t="s">
        <v>3102</v>
      </c>
      <c r="D64" s="2995" t="s">
        <v>3111</v>
      </c>
      <c r="E64" s="2995">
        <v>17111</v>
      </c>
      <c r="F64" s="2995" t="s">
        <v>3703</v>
      </c>
      <c r="G64" s="2995">
        <v>178221.8</v>
      </c>
      <c r="H64" s="2995" t="s">
        <v>3704</v>
      </c>
      <c r="I64" s="2995" t="s">
        <v>3516</v>
      </c>
      <c r="J64" s="2995" t="s">
        <v>3517</v>
      </c>
      <c r="K64" s="2995" t="s">
        <v>3408</v>
      </c>
      <c r="L64" s="2995">
        <v>224593</v>
      </c>
      <c r="M64" s="2995">
        <v>840.13</v>
      </c>
      <c r="N64" s="2995">
        <v>11500.04</v>
      </c>
      <c r="O64" s="2995">
        <v>35.29</v>
      </c>
      <c r="P64" s="2995" t="s">
        <v>3108</v>
      </c>
    </row>
    <row r="65" spans="1:17" hidden="1">
      <c r="A65" s="2995" t="s">
        <v>3514</v>
      </c>
      <c r="B65" s="2995" t="s">
        <v>3101</v>
      </c>
      <c r="C65" s="2995" t="s">
        <v>3110</v>
      </c>
      <c r="D65" s="2995" t="s">
        <v>3111</v>
      </c>
      <c r="E65" s="2995">
        <v>17110</v>
      </c>
      <c r="F65" s="2995" t="s">
        <v>3112</v>
      </c>
      <c r="G65" s="2995">
        <v>138393.9</v>
      </c>
      <c r="H65" s="2995" t="s">
        <v>3515</v>
      </c>
      <c r="I65" s="2995" t="s">
        <v>3516</v>
      </c>
      <c r="J65" s="2995" t="s">
        <v>3517</v>
      </c>
      <c r="K65" s="2995" t="s">
        <v>3518</v>
      </c>
      <c r="L65" s="2995">
        <v>205000</v>
      </c>
      <c r="M65" s="2995">
        <v>987.52</v>
      </c>
      <c r="N65" s="2995">
        <v>10962.03</v>
      </c>
      <c r="O65" s="2995">
        <v>40.54</v>
      </c>
      <c r="P65" s="2995" t="s">
        <v>3108</v>
      </c>
    </row>
    <row r="66" spans="1:17" hidden="1">
      <c r="A66" s="2995" t="s">
        <v>3519</v>
      </c>
      <c r="B66" s="2995" t="s">
        <v>3101</v>
      </c>
      <c r="C66" s="2995" t="s">
        <v>3110</v>
      </c>
      <c r="D66" s="2995" t="s">
        <v>3111</v>
      </c>
      <c r="E66" s="2995">
        <v>17112</v>
      </c>
      <c r="F66" s="2995" t="s">
        <v>3112</v>
      </c>
      <c r="G66" s="2995">
        <v>94631.2</v>
      </c>
      <c r="H66" s="2995" t="s">
        <v>3520</v>
      </c>
      <c r="I66" s="2995" t="s">
        <v>3516</v>
      </c>
      <c r="J66" s="2995" t="s">
        <v>3517</v>
      </c>
      <c r="K66" s="2995" t="s">
        <v>3521</v>
      </c>
      <c r="L66" s="2995">
        <v>130592</v>
      </c>
      <c r="M66" s="2995">
        <v>920.01</v>
      </c>
      <c r="N66" s="2995">
        <v>11500.09</v>
      </c>
      <c r="O66" s="2995">
        <v>35.29</v>
      </c>
      <c r="P66" s="2995" t="s">
        <v>3108</v>
      </c>
    </row>
    <row r="67" spans="1:17" hidden="1">
      <c r="A67" s="2995" t="s">
        <v>3522</v>
      </c>
      <c r="B67" s="2995" t="s">
        <v>3101</v>
      </c>
      <c r="C67" s="2995" t="s">
        <v>3110</v>
      </c>
      <c r="D67" s="2995" t="s">
        <v>3111</v>
      </c>
      <c r="E67" s="2995">
        <v>17108</v>
      </c>
      <c r="F67" s="2995" t="s">
        <v>3112</v>
      </c>
      <c r="G67" s="2995">
        <v>61919.199999999997</v>
      </c>
      <c r="H67" s="2995" t="s">
        <v>3523</v>
      </c>
      <c r="I67" s="2995" t="s">
        <v>3524</v>
      </c>
      <c r="J67" s="2995" t="s">
        <v>3525</v>
      </c>
      <c r="K67" s="2995" t="s">
        <v>3526</v>
      </c>
      <c r="L67" s="2995">
        <v>81000</v>
      </c>
      <c r="M67" s="2995">
        <v>872.1</v>
      </c>
      <c r="N67" s="2995">
        <v>7267.52</v>
      </c>
      <c r="O67" s="2995">
        <v>0.94</v>
      </c>
      <c r="P67" s="2995" t="s">
        <v>3108</v>
      </c>
    </row>
    <row r="68" spans="1:17" hidden="1">
      <c r="A68" s="2995" t="s">
        <v>3527</v>
      </c>
      <c r="B68" s="2995" t="s">
        <v>3101</v>
      </c>
      <c r="C68" s="2995" t="s">
        <v>3110</v>
      </c>
      <c r="D68" s="2995" t="s">
        <v>3111</v>
      </c>
      <c r="E68" s="2995">
        <v>17109</v>
      </c>
      <c r="F68" s="2995" t="s">
        <v>3112</v>
      </c>
      <c r="G68" s="2995">
        <v>95788.9</v>
      </c>
      <c r="H68" s="2995" t="s">
        <v>3528</v>
      </c>
      <c r="I68" s="2995" t="s">
        <v>3524</v>
      </c>
      <c r="J68" s="2995" t="s">
        <v>3525</v>
      </c>
      <c r="K68" s="2995" t="s">
        <v>3529</v>
      </c>
      <c r="L68" s="2995">
        <v>206000</v>
      </c>
      <c r="M68" s="2995">
        <v>1433.71</v>
      </c>
      <c r="N68" s="2995">
        <v>10752.8</v>
      </c>
      <c r="O68" s="2995">
        <v>43.37</v>
      </c>
      <c r="P68" s="2995" t="s">
        <v>3108</v>
      </c>
    </row>
    <row r="69" spans="1:17" hidden="1">
      <c r="A69" s="2995" t="s">
        <v>3832</v>
      </c>
      <c r="B69" s="2995" t="s">
        <v>3101</v>
      </c>
      <c r="C69" s="2995" t="s">
        <v>3102</v>
      </c>
      <c r="D69" s="2995" t="s">
        <v>3111</v>
      </c>
      <c r="E69" s="2995">
        <v>17106</v>
      </c>
      <c r="F69" s="2995" t="s">
        <v>3833</v>
      </c>
      <c r="G69" s="2995">
        <v>87721</v>
      </c>
      <c r="H69" s="2995" t="s">
        <v>1331</v>
      </c>
      <c r="I69" s="2995" t="s">
        <v>3127</v>
      </c>
      <c r="J69" s="2995" t="s">
        <v>1331</v>
      </c>
      <c r="K69" s="2995" t="s">
        <v>3801</v>
      </c>
      <c r="L69" s="2995">
        <v>110000</v>
      </c>
      <c r="M69" s="2995">
        <v>835.98</v>
      </c>
      <c r="N69" s="2995">
        <v>5089.22</v>
      </c>
      <c r="O69" s="2995">
        <v>22.54</v>
      </c>
      <c r="P69" s="2995" t="s">
        <v>3317</v>
      </c>
    </row>
    <row r="70" spans="1:17" s="2990" customFormat="1">
      <c r="A70" s="2989" t="s">
        <v>3125</v>
      </c>
      <c r="B70" s="2995" t="s">
        <v>3101</v>
      </c>
      <c r="C70" s="2995" t="s">
        <v>3110</v>
      </c>
      <c r="D70" s="2995" t="s">
        <v>3111</v>
      </c>
      <c r="E70" s="2989">
        <v>17105</v>
      </c>
      <c r="F70" s="2989" t="s">
        <v>3112</v>
      </c>
      <c r="G70" s="3000">
        <v>23976</v>
      </c>
      <c r="H70" s="3000" t="s">
        <v>3126</v>
      </c>
      <c r="I70" s="2989" t="s">
        <v>3127</v>
      </c>
      <c r="J70" s="2989" t="s">
        <v>3530</v>
      </c>
      <c r="K70" s="2989" t="s">
        <v>3128</v>
      </c>
      <c r="L70" s="2989">
        <v>119500</v>
      </c>
      <c r="M70" s="2989">
        <v>3322.77</v>
      </c>
      <c r="N70" s="2989">
        <v>9062.09</v>
      </c>
      <c r="O70" s="2989">
        <v>50.79</v>
      </c>
      <c r="P70" s="2989" t="s">
        <v>3108</v>
      </c>
      <c r="Q70" s="3001" t="s">
        <v>4149</v>
      </c>
    </row>
    <row r="71" spans="1:17" hidden="1">
      <c r="A71" s="2995" t="s">
        <v>3531</v>
      </c>
      <c r="B71" s="2995" t="s">
        <v>3101</v>
      </c>
      <c r="C71" s="2995" t="s">
        <v>3110</v>
      </c>
      <c r="D71" s="2995" t="s">
        <v>3111</v>
      </c>
      <c r="E71" s="2995">
        <v>17103</v>
      </c>
      <c r="F71" s="2995" t="s">
        <v>3112</v>
      </c>
      <c r="G71" s="2995">
        <v>46005</v>
      </c>
      <c r="H71" s="2995" t="s">
        <v>3532</v>
      </c>
      <c r="I71" s="2995" t="s">
        <v>3272</v>
      </c>
      <c r="J71" s="2995" t="s">
        <v>3398</v>
      </c>
      <c r="K71" s="2995" t="s">
        <v>3533</v>
      </c>
      <c r="L71" s="2995">
        <v>24300</v>
      </c>
      <c r="M71" s="2995">
        <v>352.14</v>
      </c>
      <c r="N71" s="2995">
        <v>4401.6899999999996</v>
      </c>
      <c r="O71" s="2995">
        <v>76.06</v>
      </c>
      <c r="P71" s="2995" t="s">
        <v>3108</v>
      </c>
    </row>
    <row r="72" spans="1:17" hidden="1">
      <c r="A72" s="2995" t="s">
        <v>3534</v>
      </c>
      <c r="B72" s="2995" t="s">
        <v>3101</v>
      </c>
      <c r="C72" s="2995" t="s">
        <v>3110</v>
      </c>
      <c r="D72" s="2995" t="s">
        <v>3111</v>
      </c>
      <c r="E72" s="2995">
        <v>17099</v>
      </c>
      <c r="F72" s="2995" t="s">
        <v>3112</v>
      </c>
      <c r="G72" s="2995">
        <v>167963</v>
      </c>
      <c r="H72" s="2995" t="s">
        <v>3535</v>
      </c>
      <c r="I72" s="2995" t="s">
        <v>3536</v>
      </c>
      <c r="J72" s="2995" t="s">
        <v>3537</v>
      </c>
      <c r="K72" s="2995" t="s">
        <v>3538</v>
      </c>
      <c r="L72" s="2995">
        <v>67900</v>
      </c>
      <c r="M72" s="2995">
        <v>269.5</v>
      </c>
      <c r="N72" s="2995">
        <v>4042.42</v>
      </c>
      <c r="O72" s="2995">
        <v>0.87</v>
      </c>
      <c r="P72" s="2995" t="s">
        <v>3108</v>
      </c>
    </row>
    <row r="73" spans="1:17" hidden="1">
      <c r="A73" s="2995" t="s">
        <v>3834</v>
      </c>
      <c r="B73" s="2995" t="s">
        <v>3101</v>
      </c>
      <c r="C73" s="2995" t="s">
        <v>3110</v>
      </c>
      <c r="D73" s="2995" t="s">
        <v>3103</v>
      </c>
      <c r="E73" s="2995">
        <v>17092</v>
      </c>
      <c r="F73" s="2995" t="s">
        <v>3112</v>
      </c>
      <c r="G73" s="2995">
        <v>6515</v>
      </c>
      <c r="H73" s="2995" t="s">
        <v>3508</v>
      </c>
      <c r="I73" s="2995" t="s">
        <v>3536</v>
      </c>
      <c r="J73" s="2995" t="s">
        <v>3835</v>
      </c>
      <c r="K73" s="2995" t="s">
        <v>3836</v>
      </c>
      <c r="L73" s="2995">
        <v>6515</v>
      </c>
      <c r="M73" s="2995">
        <v>666.67</v>
      </c>
      <c r="N73" s="2995">
        <v>4000</v>
      </c>
      <c r="O73" s="2995">
        <v>0</v>
      </c>
      <c r="P73" s="2995" t="s">
        <v>3108</v>
      </c>
    </row>
    <row r="74" spans="1:17" hidden="1">
      <c r="A74" s="2995" t="s">
        <v>3705</v>
      </c>
      <c r="B74" s="2995" t="s">
        <v>3101</v>
      </c>
      <c r="C74" s="2995" t="s">
        <v>3102</v>
      </c>
      <c r="D74" s="2995" t="s">
        <v>3111</v>
      </c>
      <c r="E74" s="2995">
        <v>17098</v>
      </c>
      <c r="F74" s="2995" t="s">
        <v>3121</v>
      </c>
      <c r="G74" s="2995">
        <v>163484</v>
      </c>
      <c r="H74" s="2995" t="s">
        <v>3704</v>
      </c>
      <c r="I74" s="2995" t="s">
        <v>3536</v>
      </c>
      <c r="J74" s="2995" t="s">
        <v>3537</v>
      </c>
      <c r="K74" s="2995" t="s">
        <v>3553</v>
      </c>
      <c r="L74" s="2995">
        <v>73800</v>
      </c>
      <c r="M74" s="2995">
        <v>300.95</v>
      </c>
      <c r="N74" s="2995">
        <v>4040.17</v>
      </c>
      <c r="O74" s="2995">
        <v>0.8</v>
      </c>
      <c r="P74" s="2995" t="s">
        <v>3108</v>
      </c>
    </row>
    <row r="75" spans="1:17" hidden="1">
      <c r="A75" s="2995" t="s">
        <v>3837</v>
      </c>
      <c r="B75" s="2995" t="s">
        <v>3101</v>
      </c>
      <c r="C75" s="2995" t="s">
        <v>3110</v>
      </c>
      <c r="D75" s="2995" t="s">
        <v>3103</v>
      </c>
      <c r="E75" s="2995">
        <v>17078</v>
      </c>
      <c r="F75" s="2995" t="s">
        <v>3112</v>
      </c>
      <c r="G75" s="2995">
        <v>69285</v>
      </c>
      <c r="H75" s="2995" t="s">
        <v>3838</v>
      </c>
      <c r="I75" s="2995" t="s">
        <v>3839</v>
      </c>
      <c r="J75" s="2995" t="s">
        <v>3840</v>
      </c>
      <c r="K75" s="2995" t="s">
        <v>3494</v>
      </c>
      <c r="L75" s="2995">
        <v>63880</v>
      </c>
      <c r="M75" s="2995">
        <v>614.66</v>
      </c>
      <c r="N75" s="2995">
        <v>3300.05</v>
      </c>
      <c r="O75" s="2995">
        <v>0</v>
      </c>
      <c r="P75" s="2995" t="s">
        <v>3108</v>
      </c>
    </row>
    <row r="76" spans="1:17" hidden="1">
      <c r="A76" s="2995" t="s">
        <v>3706</v>
      </c>
      <c r="B76" s="2995" t="s">
        <v>3101</v>
      </c>
      <c r="C76" s="2995" t="s">
        <v>3102</v>
      </c>
      <c r="D76" s="2995" t="s">
        <v>3111</v>
      </c>
      <c r="E76" s="2995">
        <v>17080</v>
      </c>
      <c r="F76" s="2995" t="s">
        <v>3155</v>
      </c>
      <c r="G76" s="2995">
        <v>315345</v>
      </c>
      <c r="H76" s="2995" t="s">
        <v>3707</v>
      </c>
      <c r="I76" s="2995" t="s">
        <v>3131</v>
      </c>
      <c r="J76" s="2995" t="s">
        <v>3708</v>
      </c>
      <c r="K76" s="2995" t="s">
        <v>3709</v>
      </c>
      <c r="L76" s="2995">
        <v>101500</v>
      </c>
      <c r="M76" s="2995">
        <v>214.58</v>
      </c>
      <c r="N76" s="2995">
        <v>4570.97</v>
      </c>
      <c r="O76" s="2995">
        <v>30.11</v>
      </c>
      <c r="P76" s="2995" t="s">
        <v>3108</v>
      </c>
    </row>
    <row r="77" spans="1:17">
      <c r="A77" s="2995" t="s">
        <v>3841</v>
      </c>
      <c r="B77" s="2995" t="s">
        <v>3101</v>
      </c>
      <c r="C77" s="2995" t="s">
        <v>3110</v>
      </c>
      <c r="D77" s="2995" t="s">
        <v>3103</v>
      </c>
      <c r="E77" s="2995">
        <v>17079</v>
      </c>
      <c r="F77" s="2995" t="s">
        <v>3112</v>
      </c>
      <c r="G77" s="2993">
        <v>195926</v>
      </c>
      <c r="H77" s="2993" t="s">
        <v>3842</v>
      </c>
      <c r="I77" s="2995" t="s">
        <v>3839</v>
      </c>
      <c r="J77" s="2995" t="s">
        <v>3840</v>
      </c>
      <c r="K77" s="2995" t="s">
        <v>3843</v>
      </c>
      <c r="L77" s="2995">
        <v>193967</v>
      </c>
      <c r="M77" s="2995">
        <v>660</v>
      </c>
      <c r="N77" s="2995">
        <v>3300</v>
      </c>
      <c r="O77" s="2995">
        <v>0</v>
      </c>
      <c r="P77" s="2995" t="s">
        <v>3108</v>
      </c>
    </row>
    <row r="78" spans="1:17">
      <c r="A78" s="2995" t="s">
        <v>3129</v>
      </c>
      <c r="B78" s="2995" t="s">
        <v>3101</v>
      </c>
      <c r="C78" s="2995" t="s">
        <v>3110</v>
      </c>
      <c r="D78" s="2995" t="s">
        <v>3111</v>
      </c>
      <c r="E78" s="2995">
        <v>17081</v>
      </c>
      <c r="F78" s="2995" t="s">
        <v>3112</v>
      </c>
      <c r="G78" s="2993">
        <v>14447</v>
      </c>
      <c r="H78" s="2993" t="s">
        <v>3130</v>
      </c>
      <c r="I78" s="2995" t="s">
        <v>3131</v>
      </c>
      <c r="J78" s="2995" t="s">
        <v>3539</v>
      </c>
      <c r="K78" s="2995" t="s">
        <v>3132</v>
      </c>
      <c r="L78" s="2995">
        <v>48400</v>
      </c>
      <c r="M78" s="2995">
        <v>2233.4499999999998</v>
      </c>
      <c r="N78" s="2995">
        <v>8066.67</v>
      </c>
      <c r="O78" s="2995">
        <v>0.83</v>
      </c>
      <c r="P78" s="2995" t="s">
        <v>3108</v>
      </c>
    </row>
    <row r="79" spans="1:17">
      <c r="A79" s="2995" t="s">
        <v>3844</v>
      </c>
      <c r="B79" s="2995" t="s">
        <v>3101</v>
      </c>
      <c r="C79" s="2995" t="s">
        <v>3110</v>
      </c>
      <c r="D79" s="2995" t="s">
        <v>3111</v>
      </c>
      <c r="E79" s="2995">
        <v>17077</v>
      </c>
      <c r="F79" s="2995" t="s">
        <v>3112</v>
      </c>
      <c r="G79" s="2993">
        <v>125073</v>
      </c>
      <c r="H79" s="2993" t="s">
        <v>3842</v>
      </c>
      <c r="I79" s="2995" t="s">
        <v>3541</v>
      </c>
      <c r="J79" s="2995" t="s">
        <v>3845</v>
      </c>
      <c r="K79" s="2995" t="s">
        <v>3846</v>
      </c>
      <c r="L79" s="2995">
        <v>125000</v>
      </c>
      <c r="M79" s="2995">
        <v>666.28</v>
      </c>
      <c r="N79" s="2995">
        <v>3331.38</v>
      </c>
      <c r="O79" s="2995">
        <v>0.95</v>
      </c>
      <c r="P79" s="2995" t="s">
        <v>3108</v>
      </c>
    </row>
    <row r="80" spans="1:17" hidden="1">
      <c r="A80" s="2995" t="s">
        <v>3540</v>
      </c>
      <c r="B80" s="2995" t="s">
        <v>3101</v>
      </c>
      <c r="C80" s="2995" t="s">
        <v>3110</v>
      </c>
      <c r="D80" s="2995" t="s">
        <v>3111</v>
      </c>
      <c r="E80" s="2995">
        <v>17075</v>
      </c>
      <c r="F80" s="2995" t="s">
        <v>3112</v>
      </c>
      <c r="G80" s="2995">
        <v>30332</v>
      </c>
      <c r="H80" s="2995" t="s">
        <v>3508</v>
      </c>
      <c r="I80" s="2995" t="s">
        <v>3541</v>
      </c>
      <c r="J80" s="2995" t="s">
        <v>3542</v>
      </c>
      <c r="K80" s="2995" t="s">
        <v>3543</v>
      </c>
      <c r="L80" s="2995">
        <v>87205</v>
      </c>
      <c r="M80" s="2995">
        <v>1916.68</v>
      </c>
      <c r="N80" s="2995">
        <v>11500.06</v>
      </c>
      <c r="O80" s="2995">
        <v>47.44</v>
      </c>
      <c r="P80" s="2995" t="s">
        <v>3108</v>
      </c>
    </row>
    <row r="81" spans="1:16" hidden="1">
      <c r="A81" s="2995" t="s">
        <v>3847</v>
      </c>
      <c r="B81" s="2995" t="s">
        <v>3101</v>
      </c>
      <c r="C81" s="2995" t="s">
        <v>3110</v>
      </c>
      <c r="D81" s="2995" t="s">
        <v>3111</v>
      </c>
      <c r="E81" s="2995">
        <v>17071</v>
      </c>
      <c r="F81" s="2995" t="s">
        <v>3112</v>
      </c>
      <c r="G81" s="2995">
        <v>100409</v>
      </c>
      <c r="H81" s="2995" t="s">
        <v>3848</v>
      </c>
      <c r="I81" s="2995" t="s">
        <v>3402</v>
      </c>
      <c r="J81" s="2995" t="s">
        <v>3849</v>
      </c>
      <c r="K81" s="2995" t="s">
        <v>3850</v>
      </c>
      <c r="L81" s="2995">
        <v>96500</v>
      </c>
      <c r="M81" s="2995">
        <v>640.71</v>
      </c>
      <c r="N81" s="2995">
        <v>4543.3599999999997</v>
      </c>
      <c r="O81" s="2995">
        <v>0.96</v>
      </c>
      <c r="P81" s="2995" t="s">
        <v>3108</v>
      </c>
    </row>
    <row r="82" spans="1:16" hidden="1">
      <c r="A82" s="2995" t="s">
        <v>3544</v>
      </c>
      <c r="B82" s="2995" t="s">
        <v>3101</v>
      </c>
      <c r="C82" s="2995" t="s">
        <v>3110</v>
      </c>
      <c r="D82" s="2995" t="s">
        <v>3111</v>
      </c>
      <c r="E82" s="2995">
        <v>17069</v>
      </c>
      <c r="F82" s="2995" t="s">
        <v>3112</v>
      </c>
      <c r="G82" s="2995">
        <v>156843</v>
      </c>
      <c r="H82" s="2995" t="s">
        <v>3523</v>
      </c>
      <c r="I82" s="2995" t="s">
        <v>3402</v>
      </c>
      <c r="J82" s="2995" t="s">
        <v>3403</v>
      </c>
      <c r="K82" s="2995" t="s">
        <v>3545</v>
      </c>
      <c r="L82" s="2995">
        <v>160000</v>
      </c>
      <c r="M82" s="2995">
        <v>680.09</v>
      </c>
      <c r="N82" s="2995">
        <v>5816.6</v>
      </c>
      <c r="O82" s="2995">
        <v>66.19</v>
      </c>
      <c r="P82" s="2995" t="s">
        <v>3108</v>
      </c>
    </row>
    <row r="83" spans="1:16" hidden="1">
      <c r="A83" s="2995" t="s">
        <v>3851</v>
      </c>
      <c r="B83" s="2995" t="s">
        <v>3101</v>
      </c>
      <c r="C83" s="2995" t="s">
        <v>3102</v>
      </c>
      <c r="D83" s="2995" t="s">
        <v>3103</v>
      </c>
      <c r="E83" s="2995">
        <v>17070</v>
      </c>
      <c r="F83" s="2995" t="s">
        <v>3155</v>
      </c>
      <c r="G83" s="2995">
        <v>93405</v>
      </c>
      <c r="H83" s="2995" t="s">
        <v>3852</v>
      </c>
      <c r="I83" s="2995" t="s">
        <v>3402</v>
      </c>
      <c r="J83" s="2995" t="s">
        <v>3853</v>
      </c>
      <c r="K83" s="2995" t="s">
        <v>3843</v>
      </c>
      <c r="L83" s="2995">
        <v>102843</v>
      </c>
      <c r="M83" s="2995">
        <v>734.03</v>
      </c>
      <c r="N83" s="2995">
        <v>4500.0200000000004</v>
      </c>
      <c r="O83" s="2995">
        <v>0</v>
      </c>
      <c r="P83" s="2995" t="s">
        <v>3108</v>
      </c>
    </row>
    <row r="84" spans="1:16" hidden="1">
      <c r="A84" s="2995" t="s">
        <v>3546</v>
      </c>
      <c r="B84" s="2995" t="s">
        <v>3101</v>
      </c>
      <c r="C84" s="2995" t="s">
        <v>3110</v>
      </c>
      <c r="D84" s="2995" t="s">
        <v>3111</v>
      </c>
      <c r="E84" s="2995">
        <v>17054</v>
      </c>
      <c r="F84" s="2995" t="s">
        <v>3112</v>
      </c>
      <c r="G84" s="2995">
        <v>155204</v>
      </c>
      <c r="H84" s="2995" t="s">
        <v>3547</v>
      </c>
      <c r="I84" s="2995" t="s">
        <v>3281</v>
      </c>
      <c r="J84" s="2995" t="s">
        <v>3548</v>
      </c>
      <c r="K84" s="2995" t="s">
        <v>3549</v>
      </c>
      <c r="L84" s="2995">
        <v>181000</v>
      </c>
      <c r="M84" s="2995">
        <v>777.47</v>
      </c>
      <c r="N84" s="2995">
        <v>5408.05</v>
      </c>
      <c r="O84" s="2995">
        <v>54.51</v>
      </c>
      <c r="P84" s="2995" t="s">
        <v>3108</v>
      </c>
    </row>
    <row r="85" spans="1:16" hidden="1">
      <c r="A85" s="2995" t="s">
        <v>3854</v>
      </c>
      <c r="B85" s="2995" t="s">
        <v>3101</v>
      </c>
      <c r="C85" s="2995" t="s">
        <v>3102</v>
      </c>
      <c r="D85" s="2995" t="s">
        <v>3111</v>
      </c>
      <c r="E85" s="2995">
        <v>17055</v>
      </c>
      <c r="F85" s="2995" t="s">
        <v>3155</v>
      </c>
      <c r="G85" s="2995">
        <v>153641</v>
      </c>
      <c r="H85" s="2995" t="s">
        <v>3848</v>
      </c>
      <c r="I85" s="2995" t="s">
        <v>3281</v>
      </c>
      <c r="J85" s="2995" t="s">
        <v>3855</v>
      </c>
      <c r="K85" s="2995" t="s">
        <v>3856</v>
      </c>
      <c r="L85" s="2995">
        <v>167000</v>
      </c>
      <c r="M85" s="2995">
        <v>724.63</v>
      </c>
      <c r="N85" s="2995">
        <v>5281.55</v>
      </c>
      <c r="O85" s="2995">
        <v>50.9</v>
      </c>
      <c r="P85" s="2995" t="s">
        <v>3108</v>
      </c>
    </row>
    <row r="86" spans="1:16" s="2983" customFormat="1">
      <c r="A86" s="2991" t="s">
        <v>3857</v>
      </c>
      <c r="B86" s="2995" t="s">
        <v>3101</v>
      </c>
      <c r="C86" s="2995" t="s">
        <v>3110</v>
      </c>
      <c r="D86" s="2995" t="s">
        <v>3111</v>
      </c>
      <c r="E86" s="2991">
        <v>17056</v>
      </c>
      <c r="F86" s="2991" t="s">
        <v>3112</v>
      </c>
      <c r="G86" s="2999">
        <v>25395</v>
      </c>
      <c r="H86" s="2999" t="s">
        <v>3842</v>
      </c>
      <c r="I86" s="2991" t="s">
        <v>3858</v>
      </c>
      <c r="J86" s="2991" t="s">
        <v>3859</v>
      </c>
      <c r="K86" s="2991" t="s">
        <v>3843</v>
      </c>
      <c r="L86" s="2991">
        <v>76186</v>
      </c>
      <c r="M86" s="2991">
        <v>2000.03</v>
      </c>
      <c r="N86" s="2991">
        <v>10000.120000000001</v>
      </c>
      <c r="O86" s="2991">
        <v>100</v>
      </c>
      <c r="P86" s="2991" t="s">
        <v>3108</v>
      </c>
    </row>
    <row r="87" spans="1:16" hidden="1">
      <c r="A87" s="2995" t="s">
        <v>3860</v>
      </c>
      <c r="B87" s="2995" t="s">
        <v>3101</v>
      </c>
      <c r="C87" s="2995" t="s">
        <v>3102</v>
      </c>
      <c r="D87" s="2995" t="s">
        <v>3111</v>
      </c>
      <c r="E87" s="2995">
        <v>17058</v>
      </c>
      <c r="F87" s="2995" t="s">
        <v>3143</v>
      </c>
      <c r="G87" s="2995">
        <v>169717</v>
      </c>
      <c r="H87" s="2995" t="s">
        <v>3861</v>
      </c>
      <c r="I87" s="2995" t="s">
        <v>3281</v>
      </c>
      <c r="J87" s="2995" t="s">
        <v>3859</v>
      </c>
      <c r="K87" s="2995" t="s">
        <v>3856</v>
      </c>
      <c r="L87" s="2995">
        <v>140000</v>
      </c>
      <c r="M87" s="2995">
        <v>549.94000000000005</v>
      </c>
      <c r="N87" s="2995">
        <v>5019.71</v>
      </c>
      <c r="O87" s="2995">
        <v>0.39</v>
      </c>
      <c r="P87" s="2995" t="s">
        <v>3108</v>
      </c>
    </row>
    <row r="88" spans="1:16" hidden="1">
      <c r="A88" s="2995" t="s">
        <v>3862</v>
      </c>
      <c r="B88" s="2995" t="s">
        <v>3101</v>
      </c>
      <c r="C88" s="2995" t="s">
        <v>3102</v>
      </c>
      <c r="D88" s="2995" t="s">
        <v>3111</v>
      </c>
      <c r="E88" s="2995">
        <v>17059</v>
      </c>
      <c r="F88" s="2995" t="s">
        <v>3143</v>
      </c>
      <c r="G88" s="2995">
        <v>161804</v>
      </c>
      <c r="H88" s="2995" t="s">
        <v>3280</v>
      </c>
      <c r="I88" s="2995" t="s">
        <v>3281</v>
      </c>
      <c r="J88" s="2995" t="s">
        <v>3859</v>
      </c>
      <c r="K88" s="2995" t="s">
        <v>3160</v>
      </c>
      <c r="L88" s="2995">
        <v>120500</v>
      </c>
      <c r="M88" s="2995">
        <v>496.49</v>
      </c>
      <c r="N88" s="2995">
        <v>5037.18</v>
      </c>
      <c r="O88" s="2995">
        <v>0.74</v>
      </c>
      <c r="P88" s="2995" t="s">
        <v>3108</v>
      </c>
    </row>
    <row r="89" spans="1:16" hidden="1">
      <c r="A89" s="2995" t="s">
        <v>3863</v>
      </c>
      <c r="B89" s="2995" t="s">
        <v>3101</v>
      </c>
      <c r="C89" s="2995" t="s">
        <v>3102</v>
      </c>
      <c r="D89" s="2995" t="s">
        <v>3111</v>
      </c>
      <c r="E89" s="2995">
        <v>17052</v>
      </c>
      <c r="F89" s="2995" t="s">
        <v>3155</v>
      </c>
      <c r="G89" s="2995">
        <v>116435</v>
      </c>
      <c r="H89" s="2995" t="s">
        <v>3523</v>
      </c>
      <c r="I89" s="2995" t="s">
        <v>3864</v>
      </c>
      <c r="J89" s="2995" t="s">
        <v>3865</v>
      </c>
      <c r="K89" s="2995" t="s">
        <v>3856</v>
      </c>
      <c r="L89" s="2995">
        <v>115500</v>
      </c>
      <c r="M89" s="2995">
        <v>661.31</v>
      </c>
      <c r="N89" s="2995">
        <v>5581.6</v>
      </c>
      <c r="O89" s="2995">
        <v>59.47</v>
      </c>
      <c r="P89" s="2995" t="s">
        <v>3108</v>
      </c>
    </row>
    <row r="90" spans="1:16" hidden="1">
      <c r="A90" s="2995" t="s">
        <v>3866</v>
      </c>
      <c r="B90" s="2995" t="s">
        <v>3101</v>
      </c>
      <c r="C90" s="2995" t="s">
        <v>3102</v>
      </c>
      <c r="D90" s="2995" t="s">
        <v>3111</v>
      </c>
      <c r="E90" s="2995">
        <v>17051</v>
      </c>
      <c r="F90" s="2995" t="s">
        <v>3155</v>
      </c>
      <c r="G90" s="2995">
        <v>236683</v>
      </c>
      <c r="H90" s="2995" t="s">
        <v>3867</v>
      </c>
      <c r="I90" s="2995" t="s">
        <v>3864</v>
      </c>
      <c r="J90" s="2995" t="s">
        <v>3865</v>
      </c>
      <c r="K90" s="2995" t="s">
        <v>3856</v>
      </c>
      <c r="L90" s="2995">
        <v>251000</v>
      </c>
      <c r="M90" s="2995">
        <v>706.99</v>
      </c>
      <c r="N90" s="2995">
        <v>3779.82</v>
      </c>
      <c r="O90" s="2995">
        <v>25.99</v>
      </c>
      <c r="P90" s="2995" t="s">
        <v>3108</v>
      </c>
    </row>
    <row r="91" spans="1:16" hidden="1">
      <c r="A91" s="2995" t="s">
        <v>3868</v>
      </c>
      <c r="B91" s="2995" t="s">
        <v>3101</v>
      </c>
      <c r="C91" s="2995" t="s">
        <v>3102</v>
      </c>
      <c r="D91" s="2995" t="s">
        <v>3111</v>
      </c>
      <c r="E91" s="2995">
        <v>17048</v>
      </c>
      <c r="F91" s="2995" t="s">
        <v>3155</v>
      </c>
      <c r="G91" s="2995">
        <v>75734</v>
      </c>
      <c r="H91" s="2995" t="s">
        <v>3852</v>
      </c>
      <c r="I91" s="2995" t="s">
        <v>3869</v>
      </c>
      <c r="J91" s="2995" t="s">
        <v>3870</v>
      </c>
      <c r="K91" s="2995" t="s">
        <v>3871</v>
      </c>
      <c r="L91" s="2995">
        <v>70500</v>
      </c>
      <c r="M91" s="2995">
        <v>620.59</v>
      </c>
      <c r="N91" s="2995">
        <v>3901.67</v>
      </c>
      <c r="O91" s="2995">
        <v>69.63</v>
      </c>
      <c r="P91" s="2995" t="s">
        <v>3108</v>
      </c>
    </row>
    <row r="92" spans="1:16">
      <c r="A92" s="2995" t="s">
        <v>3872</v>
      </c>
      <c r="B92" s="2995" t="s">
        <v>3101</v>
      </c>
      <c r="C92" s="2995" t="s">
        <v>3110</v>
      </c>
      <c r="D92" s="2995" t="s">
        <v>3103</v>
      </c>
      <c r="E92" s="2995">
        <v>17049</v>
      </c>
      <c r="F92" s="2995" t="s">
        <v>3112</v>
      </c>
      <c r="G92" s="2993">
        <v>11312</v>
      </c>
      <c r="H92" s="2993" t="s">
        <v>3873</v>
      </c>
      <c r="I92" s="2995" t="s">
        <v>3874</v>
      </c>
      <c r="J92" s="2995" t="s">
        <v>3875</v>
      </c>
      <c r="K92" s="2995" t="s">
        <v>3481</v>
      </c>
      <c r="L92" s="2995">
        <v>58088</v>
      </c>
      <c r="M92" s="2995">
        <v>3423.39</v>
      </c>
      <c r="N92" s="2995">
        <v>6500.07</v>
      </c>
      <c r="O92" s="2995">
        <v>0</v>
      </c>
      <c r="P92" s="2995" t="s">
        <v>3108</v>
      </c>
    </row>
    <row r="93" spans="1:16" hidden="1">
      <c r="A93" s="2995" t="s">
        <v>3876</v>
      </c>
      <c r="B93" s="2995" t="s">
        <v>3101</v>
      </c>
      <c r="C93" s="2995" t="s">
        <v>3110</v>
      </c>
      <c r="D93" s="2995" t="s">
        <v>3111</v>
      </c>
      <c r="E93" s="2995">
        <v>17043</v>
      </c>
      <c r="F93" s="2995" t="s">
        <v>3112</v>
      </c>
      <c r="G93" s="2995">
        <v>152137</v>
      </c>
      <c r="H93" s="2995" t="s">
        <v>3877</v>
      </c>
      <c r="I93" s="2995" t="s">
        <v>3878</v>
      </c>
      <c r="J93" s="2995" t="s">
        <v>3879</v>
      </c>
      <c r="K93" s="2995" t="s">
        <v>3843</v>
      </c>
      <c r="L93" s="2995">
        <v>185500</v>
      </c>
      <c r="M93" s="2995">
        <v>812.86</v>
      </c>
      <c r="N93" s="2995">
        <v>5301.28</v>
      </c>
      <c r="O93" s="2995">
        <v>126.17</v>
      </c>
      <c r="P93" s="2995" t="s">
        <v>3108</v>
      </c>
    </row>
    <row r="94" spans="1:16" hidden="1">
      <c r="A94" s="2995" t="s">
        <v>3710</v>
      </c>
      <c r="B94" s="2995" t="s">
        <v>3101</v>
      </c>
      <c r="C94" s="2995" t="s">
        <v>3110</v>
      </c>
      <c r="D94" s="2995" t="s">
        <v>3111</v>
      </c>
      <c r="E94" s="2995">
        <v>17038</v>
      </c>
      <c r="F94" s="2995" t="s">
        <v>3711</v>
      </c>
      <c r="G94" s="2995">
        <v>188505.5</v>
      </c>
      <c r="H94" s="2995" t="s">
        <v>3712</v>
      </c>
      <c r="I94" s="2995" t="s">
        <v>3713</v>
      </c>
      <c r="J94" s="2995" t="s">
        <v>3714</v>
      </c>
      <c r="K94" s="2995" t="s">
        <v>3715</v>
      </c>
      <c r="L94" s="2995">
        <v>71800</v>
      </c>
      <c r="M94" s="2995">
        <v>253.93</v>
      </c>
      <c r="N94" s="2995">
        <v>3462.63</v>
      </c>
      <c r="O94" s="2995">
        <v>63.59</v>
      </c>
      <c r="P94" s="2995" t="s">
        <v>3108</v>
      </c>
    </row>
    <row r="95" spans="1:16" hidden="1">
      <c r="A95" s="2995" t="s">
        <v>3550</v>
      </c>
      <c r="B95" s="2995" t="s">
        <v>3101</v>
      </c>
      <c r="C95" s="2995" t="s">
        <v>3110</v>
      </c>
      <c r="D95" s="2995" t="s">
        <v>3111</v>
      </c>
      <c r="E95" s="2995">
        <v>17037</v>
      </c>
      <c r="F95" s="2995" t="s">
        <v>3112</v>
      </c>
      <c r="G95" s="2995">
        <v>7738</v>
      </c>
      <c r="H95" s="2995" t="s">
        <v>1331</v>
      </c>
      <c r="I95" s="2995" t="s">
        <v>3551</v>
      </c>
      <c r="J95" s="2995" t="s">
        <v>3552</v>
      </c>
      <c r="K95" s="2995" t="s">
        <v>3553</v>
      </c>
      <c r="L95" s="2995">
        <v>13900</v>
      </c>
      <c r="M95" s="2995">
        <v>1197.55</v>
      </c>
      <c r="N95" s="2995">
        <v>4490.8100000000004</v>
      </c>
      <c r="O95" s="2995">
        <v>9.5299999999999994</v>
      </c>
      <c r="P95" s="2995" t="s">
        <v>3161</v>
      </c>
    </row>
    <row r="96" spans="1:16">
      <c r="A96" s="2995" t="s">
        <v>3716</v>
      </c>
      <c r="B96" s="2995" t="s">
        <v>3101</v>
      </c>
      <c r="C96" s="2995" t="s">
        <v>3110</v>
      </c>
      <c r="D96" s="2995" t="s">
        <v>3111</v>
      </c>
      <c r="E96" s="2995">
        <v>17034</v>
      </c>
      <c r="F96" s="2995" t="s">
        <v>3711</v>
      </c>
      <c r="G96" s="2993">
        <v>127982</v>
      </c>
      <c r="H96" s="2993" t="s">
        <v>3717</v>
      </c>
      <c r="I96" s="2995" t="s">
        <v>3718</v>
      </c>
      <c r="J96" s="2995" t="s">
        <v>3719</v>
      </c>
      <c r="K96" s="2995" t="s">
        <v>3720</v>
      </c>
      <c r="L96" s="2995">
        <v>392000</v>
      </c>
      <c r="M96" s="2995">
        <v>2041.95</v>
      </c>
      <c r="N96" s="2995">
        <v>8277.1200000000008</v>
      </c>
      <c r="O96" s="2995">
        <v>83.94</v>
      </c>
      <c r="P96" s="2995" t="s">
        <v>3108</v>
      </c>
    </row>
    <row r="97" spans="1:16" hidden="1">
      <c r="A97" s="2995" t="s">
        <v>3721</v>
      </c>
      <c r="B97" s="2995" t="s">
        <v>3101</v>
      </c>
      <c r="C97" s="2995" t="s">
        <v>3110</v>
      </c>
      <c r="D97" s="2995" t="s">
        <v>3111</v>
      </c>
      <c r="E97" s="2995">
        <v>17035</v>
      </c>
      <c r="F97" s="2995" t="s">
        <v>3711</v>
      </c>
      <c r="G97" s="2995">
        <v>35385</v>
      </c>
      <c r="H97" s="2995" t="s">
        <v>3722</v>
      </c>
      <c r="I97" s="2995" t="s">
        <v>3718</v>
      </c>
      <c r="J97" s="2995" t="s">
        <v>3723</v>
      </c>
      <c r="K97" s="2995" t="s">
        <v>3226</v>
      </c>
      <c r="L97" s="2995">
        <v>9927</v>
      </c>
      <c r="M97" s="2995">
        <v>187.03</v>
      </c>
      <c r="N97" s="2995">
        <v>1275.19</v>
      </c>
      <c r="O97" s="2995">
        <v>0</v>
      </c>
      <c r="P97" s="2995" t="s">
        <v>3108</v>
      </c>
    </row>
    <row r="98" spans="1:16" hidden="1">
      <c r="A98" s="2995" t="s">
        <v>3724</v>
      </c>
      <c r="B98" s="2995" t="s">
        <v>3101</v>
      </c>
      <c r="C98" s="2995" t="s">
        <v>3110</v>
      </c>
      <c r="D98" s="2995" t="s">
        <v>3111</v>
      </c>
      <c r="E98" s="2995">
        <v>17032</v>
      </c>
      <c r="F98" s="2995" t="s">
        <v>3725</v>
      </c>
      <c r="G98" s="2995">
        <v>66604</v>
      </c>
      <c r="H98" s="2995" t="s">
        <v>3726</v>
      </c>
      <c r="I98" s="2995" t="s">
        <v>3727</v>
      </c>
      <c r="J98" s="2995" t="s">
        <v>3728</v>
      </c>
      <c r="K98" s="2995" t="s">
        <v>3472</v>
      </c>
      <c r="L98" s="2995">
        <v>78000</v>
      </c>
      <c r="M98" s="2995">
        <v>780.73</v>
      </c>
      <c r="N98" s="2995">
        <v>11710.82</v>
      </c>
      <c r="O98" s="2995">
        <v>67.3</v>
      </c>
      <c r="P98" s="2995" t="s">
        <v>3108</v>
      </c>
    </row>
    <row r="99" spans="1:16">
      <c r="A99" s="2995" t="s">
        <v>3729</v>
      </c>
      <c r="B99" s="2995" t="s">
        <v>3101</v>
      </c>
      <c r="C99" s="2995" t="s">
        <v>3110</v>
      </c>
      <c r="D99" s="2995" t="s">
        <v>3111</v>
      </c>
      <c r="E99" s="2995">
        <v>17030</v>
      </c>
      <c r="F99" s="2995" t="s">
        <v>3711</v>
      </c>
      <c r="G99" s="2993">
        <v>45575</v>
      </c>
      <c r="H99" s="2993" t="s">
        <v>3730</v>
      </c>
      <c r="I99" s="2995" t="s">
        <v>3727</v>
      </c>
      <c r="J99" s="2995" t="s">
        <v>3731</v>
      </c>
      <c r="K99" s="2995" t="s">
        <v>3688</v>
      </c>
      <c r="L99" s="2995">
        <v>84400</v>
      </c>
      <c r="M99" s="2995">
        <v>1234.5899999999999</v>
      </c>
      <c r="N99" s="2995">
        <v>5410.26</v>
      </c>
      <c r="O99" s="2995">
        <v>116.41</v>
      </c>
      <c r="P99" s="2995" t="s">
        <v>3108</v>
      </c>
    </row>
    <row r="100" spans="1:16" hidden="1">
      <c r="A100" s="2995" t="s">
        <v>3732</v>
      </c>
      <c r="B100" s="2995" t="s">
        <v>3101</v>
      </c>
      <c r="C100" s="2995" t="s">
        <v>3110</v>
      </c>
      <c r="D100" s="2995" t="s">
        <v>3111</v>
      </c>
      <c r="E100" s="2995">
        <v>17028</v>
      </c>
      <c r="F100" s="2995" t="s">
        <v>3711</v>
      </c>
      <c r="G100" s="2995">
        <v>203112</v>
      </c>
      <c r="H100" s="2995" t="s">
        <v>3291</v>
      </c>
      <c r="I100" s="2995" t="s">
        <v>3292</v>
      </c>
      <c r="J100" s="2995" t="s">
        <v>3733</v>
      </c>
      <c r="K100" s="2995" t="s">
        <v>3518</v>
      </c>
      <c r="L100" s="2995">
        <v>339000</v>
      </c>
      <c r="M100" s="2995">
        <v>1112.69</v>
      </c>
      <c r="N100" s="2995">
        <v>9352.09</v>
      </c>
      <c r="O100" s="2995">
        <v>87.04</v>
      </c>
      <c r="P100" s="2995" t="s">
        <v>3108</v>
      </c>
    </row>
    <row r="101" spans="1:16">
      <c r="A101" s="2995" t="s">
        <v>3554</v>
      </c>
      <c r="B101" s="2995" t="s">
        <v>3101</v>
      </c>
      <c r="C101" s="2995" t="s">
        <v>3110</v>
      </c>
      <c r="D101" s="2995" t="s">
        <v>3111</v>
      </c>
      <c r="E101" s="2995">
        <v>17021</v>
      </c>
      <c r="F101" s="2995" t="s">
        <v>3112</v>
      </c>
      <c r="G101" s="2993">
        <v>46719</v>
      </c>
      <c r="H101" s="2993">
        <v>3</v>
      </c>
      <c r="I101" s="2995" t="s">
        <v>3555</v>
      </c>
      <c r="J101" s="2995" t="s">
        <v>3556</v>
      </c>
      <c r="K101" s="2995" t="s">
        <v>3119</v>
      </c>
      <c r="L101" s="2995">
        <v>108500</v>
      </c>
      <c r="M101" s="2995">
        <v>1548.26</v>
      </c>
      <c r="N101" s="2995">
        <v>7715.77</v>
      </c>
      <c r="O101" s="2995">
        <v>111.39</v>
      </c>
      <c r="P101" s="2995" t="s">
        <v>3161</v>
      </c>
    </row>
    <row r="102" spans="1:16">
      <c r="A102" s="2996" t="s">
        <v>3734</v>
      </c>
      <c r="B102" s="2996" t="s">
        <v>3101</v>
      </c>
      <c r="C102" s="2996" t="s">
        <v>3110</v>
      </c>
      <c r="D102" s="2996" t="s">
        <v>3111</v>
      </c>
      <c r="E102" s="2996">
        <v>17020</v>
      </c>
      <c r="F102" s="2996" t="s">
        <v>3711</v>
      </c>
      <c r="G102" s="2993">
        <v>26325</v>
      </c>
      <c r="H102" s="2993" t="s">
        <v>3735</v>
      </c>
      <c r="I102" s="2996" t="s">
        <v>3299</v>
      </c>
      <c r="J102" s="2996" t="s">
        <v>3736</v>
      </c>
      <c r="K102" s="2996" t="s">
        <v>3475</v>
      </c>
      <c r="L102" s="2996">
        <v>74474</v>
      </c>
      <c r="M102" s="2996">
        <v>1886.01</v>
      </c>
      <c r="N102" s="2996">
        <v>4100.0200000000004</v>
      </c>
      <c r="O102" s="2996">
        <v>0</v>
      </c>
      <c r="P102" s="2996" t="s">
        <v>3108</v>
      </c>
    </row>
    <row r="103" spans="1:16" hidden="1">
      <c r="A103" s="2996" t="s">
        <v>3737</v>
      </c>
      <c r="B103" s="2996" t="s">
        <v>3101</v>
      </c>
      <c r="C103" s="2996" t="s">
        <v>3102</v>
      </c>
      <c r="D103" s="2996" t="s">
        <v>3111</v>
      </c>
      <c r="E103" s="2996">
        <v>17015</v>
      </c>
      <c r="F103" s="2996" t="s">
        <v>3143</v>
      </c>
      <c r="G103" s="2996">
        <v>54232</v>
      </c>
      <c r="H103" s="2996" t="s">
        <v>3134</v>
      </c>
      <c r="I103" s="2996" t="s">
        <v>3738</v>
      </c>
      <c r="J103" s="2996" t="s">
        <v>3739</v>
      </c>
      <c r="K103" s="2996" t="s">
        <v>3740</v>
      </c>
      <c r="L103" s="2996">
        <v>25400</v>
      </c>
      <c r="M103" s="2996">
        <v>312.24</v>
      </c>
      <c r="N103" s="2996">
        <v>1561.19</v>
      </c>
      <c r="O103" s="2996">
        <v>1.1499999999999999</v>
      </c>
      <c r="P103" s="2996" t="s">
        <v>3741</v>
      </c>
    </row>
    <row r="104" spans="1:16">
      <c r="A104" s="2996" t="s">
        <v>3880</v>
      </c>
      <c r="B104" s="2996" t="s">
        <v>3101</v>
      </c>
      <c r="C104" s="2996" t="s">
        <v>3110</v>
      </c>
      <c r="D104" s="2996" t="s">
        <v>3111</v>
      </c>
      <c r="E104" s="2996">
        <v>17014</v>
      </c>
      <c r="F104" s="2996" t="s">
        <v>3112</v>
      </c>
      <c r="G104" s="2993">
        <v>26430</v>
      </c>
      <c r="H104" s="2993" t="s">
        <v>3881</v>
      </c>
      <c r="I104" s="2996" t="s">
        <v>3738</v>
      </c>
      <c r="J104" s="2996" t="s">
        <v>3882</v>
      </c>
      <c r="K104" s="2996" t="s">
        <v>3883</v>
      </c>
      <c r="L104" s="2996">
        <v>37400</v>
      </c>
      <c r="M104" s="2996">
        <v>943.37</v>
      </c>
      <c r="N104" s="2996">
        <v>3541.67</v>
      </c>
      <c r="O104" s="2996">
        <v>1.19</v>
      </c>
      <c r="P104" s="2996" t="s">
        <v>3161</v>
      </c>
    </row>
    <row r="105" spans="1:16" hidden="1">
      <c r="A105" s="2996" t="s">
        <v>3557</v>
      </c>
      <c r="B105" s="2996" t="s">
        <v>3101</v>
      </c>
      <c r="C105" s="2996" t="s">
        <v>3110</v>
      </c>
      <c r="D105" s="2996" t="s">
        <v>3111</v>
      </c>
      <c r="E105" s="2996">
        <v>17013</v>
      </c>
      <c r="F105" s="2996" t="s">
        <v>3112</v>
      </c>
      <c r="G105" s="2996">
        <v>88012</v>
      </c>
      <c r="H105" s="2996" t="s">
        <v>3558</v>
      </c>
      <c r="I105" s="2996" t="s">
        <v>3559</v>
      </c>
      <c r="J105" s="2996" t="s">
        <v>3560</v>
      </c>
      <c r="K105" s="2996" t="s">
        <v>3244</v>
      </c>
      <c r="L105" s="2996">
        <v>19803</v>
      </c>
      <c r="M105" s="2996">
        <v>150</v>
      </c>
      <c r="N105" s="2996">
        <v>2250.0100000000002</v>
      </c>
      <c r="O105" s="2996">
        <v>0</v>
      </c>
      <c r="P105" s="2996" t="s">
        <v>3161</v>
      </c>
    </row>
    <row r="106" spans="1:16" hidden="1">
      <c r="A106" s="2996" t="s">
        <v>3561</v>
      </c>
      <c r="B106" s="2996" t="s">
        <v>3101</v>
      </c>
      <c r="C106" s="2996" t="s">
        <v>3110</v>
      </c>
      <c r="D106" s="2996" t="s">
        <v>3111</v>
      </c>
      <c r="E106" s="2996">
        <v>17011</v>
      </c>
      <c r="F106" s="2996" t="s">
        <v>3112</v>
      </c>
      <c r="G106" s="2996">
        <v>30494</v>
      </c>
      <c r="H106" s="2996" t="s">
        <v>3562</v>
      </c>
      <c r="I106" s="2996" t="s">
        <v>3563</v>
      </c>
      <c r="J106" s="2996" t="s">
        <v>3564</v>
      </c>
      <c r="K106" s="2996" t="s">
        <v>3565</v>
      </c>
      <c r="L106" s="2996">
        <v>55000</v>
      </c>
      <c r="M106" s="2996">
        <v>1202.42</v>
      </c>
      <c r="N106" s="2996">
        <v>8026.27</v>
      </c>
      <c r="O106" s="2996">
        <v>111.53</v>
      </c>
      <c r="P106" s="2996" t="s">
        <v>3161</v>
      </c>
    </row>
    <row r="107" spans="1:16" hidden="1">
      <c r="A107" s="2996" t="s">
        <v>3566</v>
      </c>
      <c r="B107" s="2996" t="s">
        <v>3101</v>
      </c>
      <c r="C107" s="2996" t="s">
        <v>3110</v>
      </c>
      <c r="D107" s="2996" t="s">
        <v>3111</v>
      </c>
      <c r="E107" s="2996">
        <v>17005</v>
      </c>
      <c r="F107" s="2996" t="s">
        <v>3112</v>
      </c>
      <c r="G107" s="2996">
        <v>176952</v>
      </c>
      <c r="H107" s="2996" t="s">
        <v>3567</v>
      </c>
      <c r="I107" s="2996" t="s">
        <v>3410</v>
      </c>
      <c r="J107" s="2996" t="s">
        <v>3568</v>
      </c>
      <c r="K107" s="2996" t="s">
        <v>3390</v>
      </c>
      <c r="L107" s="2996">
        <v>50861</v>
      </c>
      <c r="M107" s="2996">
        <v>191.62</v>
      </c>
      <c r="N107" s="2996">
        <v>1104.46</v>
      </c>
      <c r="O107" s="2996">
        <v>0</v>
      </c>
      <c r="P107" s="2996" t="s">
        <v>3161</v>
      </c>
    </row>
    <row r="108" spans="1:16" hidden="1">
      <c r="A108" s="2996" t="s">
        <v>3742</v>
      </c>
      <c r="B108" s="2996" t="s">
        <v>3101</v>
      </c>
      <c r="C108" s="2996" t="s">
        <v>3110</v>
      </c>
      <c r="D108" s="2996" t="s">
        <v>3111</v>
      </c>
      <c r="E108" s="2996">
        <v>17007</v>
      </c>
      <c r="F108" s="2996" t="s">
        <v>3743</v>
      </c>
      <c r="G108" s="2996">
        <v>135649</v>
      </c>
      <c r="H108" s="2996" t="s">
        <v>3744</v>
      </c>
      <c r="I108" s="2996" t="s">
        <v>3410</v>
      </c>
      <c r="J108" s="2996" t="s">
        <v>3745</v>
      </c>
      <c r="K108" s="2996" t="s">
        <v>3390</v>
      </c>
      <c r="L108" s="2996">
        <v>31181</v>
      </c>
      <c r="M108" s="2996">
        <v>153.24</v>
      </c>
      <c r="N108" s="2996">
        <v>1391.64</v>
      </c>
      <c r="O108" s="2996">
        <v>0</v>
      </c>
      <c r="P108" s="2996" t="s">
        <v>3161</v>
      </c>
    </row>
    <row r="109" spans="1:16" hidden="1">
      <c r="A109" s="2996" t="s">
        <v>3884</v>
      </c>
      <c r="B109" s="2996" t="s">
        <v>3101</v>
      </c>
      <c r="C109" s="2996" t="s">
        <v>3102</v>
      </c>
      <c r="D109" s="2996" t="s">
        <v>3111</v>
      </c>
      <c r="E109" s="2996">
        <v>17004</v>
      </c>
      <c r="F109" s="2996" t="s">
        <v>3143</v>
      </c>
      <c r="G109" s="2996">
        <v>12243</v>
      </c>
      <c r="H109" s="2996" t="s">
        <v>3885</v>
      </c>
      <c r="I109" s="2996" t="s">
        <v>3410</v>
      </c>
      <c r="J109" s="2996" t="s">
        <v>3886</v>
      </c>
      <c r="K109" s="2996" t="s">
        <v>3887</v>
      </c>
      <c r="L109" s="2996">
        <v>18145</v>
      </c>
      <c r="M109" s="2996">
        <v>988.05</v>
      </c>
      <c r="N109" s="2996">
        <v>3250.15</v>
      </c>
      <c r="O109" s="2996">
        <v>0</v>
      </c>
      <c r="P109" s="2996" t="s">
        <v>3147</v>
      </c>
    </row>
    <row r="110" spans="1:16" hidden="1">
      <c r="A110" s="2996" t="s">
        <v>3569</v>
      </c>
      <c r="B110" s="2996" t="s">
        <v>3101</v>
      </c>
      <c r="C110" s="2996" t="s">
        <v>3110</v>
      </c>
      <c r="D110" s="2996" t="s">
        <v>3111</v>
      </c>
      <c r="E110" s="2996">
        <v>17006</v>
      </c>
      <c r="F110" s="2996" t="s">
        <v>3112</v>
      </c>
      <c r="G110" s="2996">
        <v>157885</v>
      </c>
      <c r="H110" s="2996" t="s">
        <v>3570</v>
      </c>
      <c r="I110" s="2996" t="s">
        <v>3410</v>
      </c>
      <c r="J110" s="2996" t="s">
        <v>3571</v>
      </c>
      <c r="K110" s="2996" t="s">
        <v>3390</v>
      </c>
      <c r="L110" s="2996">
        <v>40136</v>
      </c>
      <c r="M110" s="2996">
        <v>169.47</v>
      </c>
      <c r="N110" s="2996">
        <v>1436.27</v>
      </c>
      <c r="O110" s="2996">
        <v>0</v>
      </c>
      <c r="P110" s="2996" t="s">
        <v>3161</v>
      </c>
    </row>
    <row r="111" spans="1:16" hidden="1">
      <c r="A111" s="2996" t="s">
        <v>3572</v>
      </c>
      <c r="B111" s="2996" t="s">
        <v>3101</v>
      </c>
      <c r="C111" s="2996" t="s">
        <v>3110</v>
      </c>
      <c r="D111" s="2996" t="s">
        <v>3111</v>
      </c>
      <c r="E111" s="2996">
        <v>17001</v>
      </c>
      <c r="F111" s="2996" t="s">
        <v>3112</v>
      </c>
      <c r="G111" s="2996">
        <v>206303</v>
      </c>
      <c r="H111" s="2996" t="s">
        <v>3573</v>
      </c>
      <c r="I111" s="2996" t="s">
        <v>3574</v>
      </c>
      <c r="J111" s="2996" t="s">
        <v>3575</v>
      </c>
      <c r="K111" s="2996" t="s">
        <v>3576</v>
      </c>
      <c r="L111" s="2996">
        <v>262000</v>
      </c>
      <c r="M111" s="2996">
        <v>846.65</v>
      </c>
      <c r="N111" s="2996">
        <v>6025.01</v>
      </c>
      <c r="O111" s="2996">
        <v>54.49</v>
      </c>
      <c r="P111" s="2996" t="s">
        <v>3161</v>
      </c>
    </row>
    <row r="112" spans="1:16" hidden="1">
      <c r="A112" s="2996" t="s">
        <v>3577</v>
      </c>
      <c r="B112" s="2996" t="s">
        <v>3101</v>
      </c>
      <c r="C112" s="2996" t="s">
        <v>3110</v>
      </c>
      <c r="D112" s="2996" t="s">
        <v>3111</v>
      </c>
      <c r="E112" s="2996">
        <v>16141</v>
      </c>
      <c r="F112" s="2996" t="s">
        <v>3112</v>
      </c>
      <c r="G112" s="2996">
        <v>199900</v>
      </c>
      <c r="H112" s="2996" t="s">
        <v>3578</v>
      </c>
      <c r="I112" s="2996" t="s">
        <v>3579</v>
      </c>
      <c r="J112" s="2996" t="s">
        <v>3580</v>
      </c>
      <c r="K112" s="2996" t="s">
        <v>3404</v>
      </c>
      <c r="L112" s="2996">
        <v>44978</v>
      </c>
      <c r="M112" s="2996">
        <v>150</v>
      </c>
      <c r="N112" s="2996">
        <v>1500.01</v>
      </c>
      <c r="O112" s="2996">
        <v>0</v>
      </c>
      <c r="P112" s="2996" t="s">
        <v>3108</v>
      </c>
    </row>
    <row r="113" spans="1:16" hidden="1">
      <c r="A113" s="2996" t="s">
        <v>3133</v>
      </c>
      <c r="B113" s="2996" t="s">
        <v>3101</v>
      </c>
      <c r="C113" s="2996" t="s">
        <v>3102</v>
      </c>
      <c r="D113" s="2996" t="s">
        <v>3111</v>
      </c>
      <c r="E113" s="2996">
        <v>16138</v>
      </c>
      <c r="F113" s="2996" t="s">
        <v>3121</v>
      </c>
      <c r="G113" s="2996">
        <v>27562</v>
      </c>
      <c r="H113" s="2996" t="s">
        <v>3134</v>
      </c>
      <c r="I113" s="2996" t="s">
        <v>3135</v>
      </c>
      <c r="J113" s="2996" t="s">
        <v>3746</v>
      </c>
      <c r="K113" s="2996" t="s">
        <v>3119</v>
      </c>
      <c r="L113" s="2996">
        <v>57600</v>
      </c>
      <c r="M113" s="2996">
        <v>1393.22</v>
      </c>
      <c r="N113" s="2996">
        <v>6966.1</v>
      </c>
      <c r="O113" s="2996">
        <v>79.989999999999995</v>
      </c>
      <c r="P113" s="2996" t="s">
        <v>3136</v>
      </c>
    </row>
    <row r="114" spans="1:16" hidden="1">
      <c r="A114" s="2996" t="s">
        <v>3747</v>
      </c>
      <c r="B114" s="2996" t="s">
        <v>3101</v>
      </c>
      <c r="C114" s="2996" t="s">
        <v>3102</v>
      </c>
      <c r="D114" s="2996" t="s">
        <v>3103</v>
      </c>
      <c r="E114" s="2996">
        <v>16129</v>
      </c>
      <c r="F114" s="2996" t="s">
        <v>3143</v>
      </c>
      <c r="G114" s="2996">
        <v>172870</v>
      </c>
      <c r="H114" s="2996" t="s">
        <v>3261</v>
      </c>
      <c r="I114" s="2996" t="s">
        <v>3748</v>
      </c>
      <c r="J114" s="2996" t="s">
        <v>3749</v>
      </c>
      <c r="K114" s="2996" t="s">
        <v>3750</v>
      </c>
      <c r="L114" s="2996">
        <v>34907</v>
      </c>
      <c r="M114" s="2996">
        <v>134.62</v>
      </c>
      <c r="N114" s="2996">
        <v>1346.18</v>
      </c>
      <c r="O114" s="2996">
        <v>0</v>
      </c>
      <c r="P114" s="2996" t="s">
        <v>3136</v>
      </c>
    </row>
    <row r="115" spans="1:16" hidden="1">
      <c r="A115" s="2996" t="s">
        <v>3581</v>
      </c>
      <c r="B115" s="2996" t="s">
        <v>3101</v>
      </c>
      <c r="C115" s="2996" t="s">
        <v>3110</v>
      </c>
      <c r="D115" s="2996" t="s">
        <v>3111</v>
      </c>
      <c r="E115" s="2996">
        <v>16114</v>
      </c>
      <c r="F115" s="2996" t="s">
        <v>3112</v>
      </c>
      <c r="G115" s="2996">
        <v>150945</v>
      </c>
      <c r="H115" s="2996" t="s">
        <v>3558</v>
      </c>
      <c r="I115" s="2996" t="s">
        <v>3140</v>
      </c>
      <c r="J115" s="2996" t="s">
        <v>3582</v>
      </c>
      <c r="K115" s="2996" t="s">
        <v>3244</v>
      </c>
      <c r="L115" s="2996">
        <v>36000</v>
      </c>
      <c r="M115" s="2996">
        <v>159</v>
      </c>
      <c r="N115" s="2996">
        <v>2384.9</v>
      </c>
      <c r="O115" s="2996">
        <v>35.369999999999997</v>
      </c>
      <c r="P115" s="2996" t="s">
        <v>3161</v>
      </c>
    </row>
    <row r="116" spans="1:16" hidden="1">
      <c r="A116" s="2996" t="s">
        <v>3583</v>
      </c>
      <c r="B116" s="2996" t="s">
        <v>3101</v>
      </c>
      <c r="C116" s="2996" t="s">
        <v>3110</v>
      </c>
      <c r="D116" s="2996" t="s">
        <v>3111</v>
      </c>
      <c r="E116" s="2996">
        <v>16115</v>
      </c>
      <c r="F116" s="2996" t="s">
        <v>3112</v>
      </c>
      <c r="G116" s="2996">
        <v>85877</v>
      </c>
      <c r="H116" s="2996" t="s">
        <v>3558</v>
      </c>
      <c r="I116" s="2996" t="s">
        <v>3140</v>
      </c>
      <c r="J116" s="2996" t="s">
        <v>3584</v>
      </c>
      <c r="K116" s="2996" t="s">
        <v>3244</v>
      </c>
      <c r="L116" s="2996">
        <v>20200</v>
      </c>
      <c r="M116" s="2996">
        <v>156.81</v>
      </c>
      <c r="N116" s="2996">
        <v>2352.09</v>
      </c>
      <c r="O116" s="2996">
        <v>33.64</v>
      </c>
      <c r="P116" s="2996" t="s">
        <v>3161</v>
      </c>
    </row>
    <row r="117" spans="1:16" hidden="1">
      <c r="A117" s="2996" t="s">
        <v>3585</v>
      </c>
      <c r="B117" s="2996" t="s">
        <v>3101</v>
      </c>
      <c r="C117" s="2996" t="s">
        <v>3110</v>
      </c>
      <c r="D117" s="2996" t="s">
        <v>3111</v>
      </c>
      <c r="E117" s="2996">
        <v>16113</v>
      </c>
      <c r="F117" s="2996" t="s">
        <v>3112</v>
      </c>
      <c r="G117" s="2996">
        <v>139607</v>
      </c>
      <c r="H117" s="2996" t="s">
        <v>3558</v>
      </c>
      <c r="I117" s="2996" t="s">
        <v>3140</v>
      </c>
      <c r="J117" s="2996" t="s">
        <v>3586</v>
      </c>
      <c r="K117" s="2996" t="s">
        <v>3244</v>
      </c>
      <c r="L117" s="2996">
        <v>32500</v>
      </c>
      <c r="M117" s="2996">
        <v>155.19999999999999</v>
      </c>
      <c r="N117" s="2996">
        <v>2327.88</v>
      </c>
      <c r="O117" s="2996">
        <v>33.020000000000003</v>
      </c>
      <c r="P117" s="2996" t="s">
        <v>3161</v>
      </c>
    </row>
    <row r="118" spans="1:16" hidden="1">
      <c r="A118" s="2996" t="s">
        <v>3137</v>
      </c>
      <c r="B118" s="2996" t="s">
        <v>3101</v>
      </c>
      <c r="C118" s="2996" t="s">
        <v>3102</v>
      </c>
      <c r="D118" s="2996" t="s">
        <v>3111</v>
      </c>
      <c r="E118" s="2996">
        <v>16111</v>
      </c>
      <c r="F118" s="2996" t="s">
        <v>3138</v>
      </c>
      <c r="G118" s="2996">
        <v>8156</v>
      </c>
      <c r="H118" s="2996" t="s">
        <v>3139</v>
      </c>
      <c r="I118" s="2996" t="s">
        <v>3140</v>
      </c>
      <c r="J118" s="2996" t="s">
        <v>3751</v>
      </c>
      <c r="K118" s="2996" t="s">
        <v>3141</v>
      </c>
      <c r="L118" s="2996">
        <v>15015</v>
      </c>
      <c r="M118" s="2996">
        <v>1227.32</v>
      </c>
      <c r="N118" s="2996">
        <v>5259.93</v>
      </c>
      <c r="O118" s="2996">
        <v>0</v>
      </c>
      <c r="P118" s="2996" t="s">
        <v>3136</v>
      </c>
    </row>
    <row r="119" spans="1:16" hidden="1">
      <c r="A119" s="2996" t="s">
        <v>3752</v>
      </c>
      <c r="B119" s="2996" t="s">
        <v>3101</v>
      </c>
      <c r="C119" s="2996" t="s">
        <v>3102</v>
      </c>
      <c r="D119" s="2996" t="s">
        <v>3111</v>
      </c>
      <c r="E119" s="2996">
        <v>16110</v>
      </c>
      <c r="F119" s="2996" t="s">
        <v>3121</v>
      </c>
      <c r="G119" s="2996">
        <v>157925</v>
      </c>
      <c r="H119" s="2996" t="s">
        <v>3753</v>
      </c>
      <c r="I119" s="2996" t="s">
        <v>3754</v>
      </c>
      <c r="J119" s="2996" t="s">
        <v>3755</v>
      </c>
      <c r="K119" s="2996" t="s">
        <v>3756</v>
      </c>
      <c r="L119" s="2996">
        <v>284000</v>
      </c>
      <c r="M119" s="2996">
        <v>1198.8800000000001</v>
      </c>
      <c r="N119" s="2996">
        <v>6485.35</v>
      </c>
      <c r="O119" s="2996">
        <v>83.97</v>
      </c>
      <c r="P119" s="2996" t="s">
        <v>3136</v>
      </c>
    </row>
    <row r="120" spans="1:16" hidden="1">
      <c r="A120" s="2996" t="s">
        <v>3757</v>
      </c>
      <c r="B120" s="2996" t="s">
        <v>3101</v>
      </c>
      <c r="C120" s="2996" t="s">
        <v>3102</v>
      </c>
      <c r="D120" s="2996" t="s">
        <v>3111</v>
      </c>
      <c r="E120" s="2996">
        <v>16109</v>
      </c>
      <c r="F120" s="2996" t="s">
        <v>3121</v>
      </c>
      <c r="G120" s="2996">
        <v>200112</v>
      </c>
      <c r="H120" s="2996" t="s">
        <v>3758</v>
      </c>
      <c r="I120" s="2996" t="s">
        <v>3754</v>
      </c>
      <c r="J120" s="2996" t="s">
        <v>3759</v>
      </c>
      <c r="K120" s="2996" t="s">
        <v>3760</v>
      </c>
      <c r="L120" s="2996">
        <v>333000</v>
      </c>
      <c r="M120" s="2996">
        <v>1109.3800000000001</v>
      </c>
      <c r="N120" s="2996">
        <v>6164.01</v>
      </c>
      <c r="O120" s="2996">
        <v>71.430000000000007</v>
      </c>
      <c r="P120" s="2996" t="s">
        <v>3136</v>
      </c>
    </row>
    <row r="121" spans="1:16" hidden="1">
      <c r="A121" s="2996" t="s">
        <v>3761</v>
      </c>
      <c r="B121" s="2996" t="s">
        <v>3101</v>
      </c>
      <c r="C121" s="2996" t="s">
        <v>3102</v>
      </c>
      <c r="D121" s="2996" t="s">
        <v>3111</v>
      </c>
      <c r="E121" s="2996">
        <v>16106</v>
      </c>
      <c r="F121" s="2996" t="s">
        <v>3648</v>
      </c>
      <c r="G121" s="2996">
        <v>221522</v>
      </c>
      <c r="H121" s="2996" t="s">
        <v>3762</v>
      </c>
      <c r="I121" s="2996" t="s">
        <v>3763</v>
      </c>
      <c r="J121" s="2996" t="s">
        <v>3764</v>
      </c>
      <c r="K121" s="2996" t="s">
        <v>3404</v>
      </c>
      <c r="L121" s="2996">
        <v>422000</v>
      </c>
      <c r="M121" s="2996">
        <v>1270</v>
      </c>
      <c r="N121" s="2996">
        <v>7437.03</v>
      </c>
      <c r="O121" s="2996">
        <v>103.89</v>
      </c>
      <c r="P121" s="2996" t="s">
        <v>3136</v>
      </c>
    </row>
    <row r="122" spans="1:16" hidden="1">
      <c r="A122" s="2996" t="s">
        <v>3888</v>
      </c>
      <c r="B122" s="2996" t="s">
        <v>3101</v>
      </c>
      <c r="C122" s="2996" t="s">
        <v>3102</v>
      </c>
      <c r="D122" s="2996" t="s">
        <v>3111</v>
      </c>
      <c r="E122" s="2996">
        <v>16108</v>
      </c>
      <c r="F122" s="2996" t="s">
        <v>3889</v>
      </c>
      <c r="G122" s="2996">
        <v>26311</v>
      </c>
      <c r="H122" s="2996" t="s">
        <v>3890</v>
      </c>
      <c r="I122" s="2996" t="s">
        <v>3763</v>
      </c>
      <c r="J122" s="2996" t="s">
        <v>3891</v>
      </c>
      <c r="K122" s="2996" t="s">
        <v>3892</v>
      </c>
      <c r="L122" s="2996">
        <v>63200</v>
      </c>
      <c r="M122" s="2996">
        <v>1601.36</v>
      </c>
      <c r="N122" s="2996">
        <v>6862.93</v>
      </c>
      <c r="O122" s="2996">
        <v>126.13</v>
      </c>
      <c r="P122" s="2996" t="s">
        <v>3136</v>
      </c>
    </row>
    <row r="123" spans="1:16" hidden="1">
      <c r="A123" s="2996" t="s">
        <v>3765</v>
      </c>
      <c r="B123" s="2996" t="s">
        <v>3101</v>
      </c>
      <c r="C123" s="2996" t="s">
        <v>3102</v>
      </c>
      <c r="D123" s="2996" t="s">
        <v>3111</v>
      </c>
      <c r="E123" s="2996">
        <v>16107</v>
      </c>
      <c r="F123" s="2996" t="s">
        <v>3648</v>
      </c>
      <c r="G123" s="2996">
        <v>221130</v>
      </c>
      <c r="H123" s="2996" t="s">
        <v>3766</v>
      </c>
      <c r="I123" s="2996" t="s">
        <v>3763</v>
      </c>
      <c r="J123" s="2996" t="s">
        <v>3767</v>
      </c>
      <c r="K123" s="2996" t="s">
        <v>3768</v>
      </c>
      <c r="L123" s="2996">
        <v>444000</v>
      </c>
      <c r="M123" s="2996">
        <v>1338.58</v>
      </c>
      <c r="N123" s="2996">
        <v>7380.44</v>
      </c>
      <c r="O123" s="2996">
        <v>116.4</v>
      </c>
      <c r="P123" s="2996" t="s">
        <v>3136</v>
      </c>
    </row>
    <row r="124" spans="1:16" hidden="1">
      <c r="A124" s="2996" t="s">
        <v>3769</v>
      </c>
      <c r="B124" s="2996" t="s">
        <v>3101</v>
      </c>
      <c r="C124" s="2996" t="s">
        <v>3102</v>
      </c>
      <c r="D124" s="2996" t="s">
        <v>3111</v>
      </c>
      <c r="E124" s="2996">
        <v>16105</v>
      </c>
      <c r="F124" s="2996" t="s">
        <v>3770</v>
      </c>
      <c r="G124" s="2996">
        <v>207435</v>
      </c>
      <c r="H124" s="2996" t="s">
        <v>3261</v>
      </c>
      <c r="I124" s="2996" t="s">
        <v>3419</v>
      </c>
      <c r="J124" s="2996" t="s">
        <v>3771</v>
      </c>
      <c r="K124" s="2996" t="s">
        <v>3772</v>
      </c>
      <c r="L124" s="2996">
        <v>182000</v>
      </c>
      <c r="M124" s="2996">
        <v>584.91999999999996</v>
      </c>
      <c r="N124" s="2996">
        <v>5718.78</v>
      </c>
      <c r="O124" s="2996">
        <v>22.71</v>
      </c>
      <c r="P124" s="2996" t="s">
        <v>3147</v>
      </c>
    </row>
    <row r="125" spans="1:16" hidden="1">
      <c r="A125" s="2996" t="s">
        <v>3773</v>
      </c>
      <c r="B125" s="2996" t="s">
        <v>3101</v>
      </c>
      <c r="C125" s="2996" t="s">
        <v>3102</v>
      </c>
      <c r="D125" s="2996" t="s">
        <v>3111</v>
      </c>
      <c r="E125" s="2996">
        <v>16104</v>
      </c>
      <c r="F125" s="2996" t="s">
        <v>3774</v>
      </c>
      <c r="G125" s="2996">
        <v>224265</v>
      </c>
      <c r="H125" s="2996" t="s">
        <v>3233</v>
      </c>
      <c r="I125" s="2996" t="s">
        <v>3419</v>
      </c>
      <c r="J125" s="2996" t="s">
        <v>3775</v>
      </c>
      <c r="K125" s="2996" t="s">
        <v>3776</v>
      </c>
      <c r="L125" s="2996">
        <v>298000</v>
      </c>
      <c r="M125" s="2996">
        <v>885.86</v>
      </c>
      <c r="N125" s="2996">
        <v>5382.9</v>
      </c>
      <c r="O125" s="2996">
        <v>62.77</v>
      </c>
      <c r="P125" s="2996" t="s">
        <v>3147</v>
      </c>
    </row>
    <row r="126" spans="1:16" hidden="1">
      <c r="A126" s="2996" t="s">
        <v>3893</v>
      </c>
      <c r="B126" s="2996" t="s">
        <v>3101</v>
      </c>
      <c r="C126" s="2996" t="s">
        <v>3102</v>
      </c>
      <c r="D126" s="2996" t="s">
        <v>3111</v>
      </c>
      <c r="E126" s="2996">
        <v>16099</v>
      </c>
      <c r="F126" s="2996" t="s">
        <v>3894</v>
      </c>
      <c r="G126" s="2996">
        <v>145869</v>
      </c>
      <c r="H126" s="2996" t="s">
        <v>3895</v>
      </c>
      <c r="I126" s="2996" t="s">
        <v>3896</v>
      </c>
      <c r="J126" s="2996" t="s">
        <v>3897</v>
      </c>
      <c r="K126" s="2996" t="s">
        <v>3898</v>
      </c>
      <c r="L126" s="2996">
        <v>30704</v>
      </c>
      <c r="M126" s="2996">
        <v>140.33000000000001</v>
      </c>
      <c r="N126" s="2996">
        <v>1315.56</v>
      </c>
      <c r="O126" s="2996">
        <v>0</v>
      </c>
      <c r="P126" s="2996" t="s">
        <v>3136</v>
      </c>
    </row>
    <row r="127" spans="1:16" hidden="1">
      <c r="A127" s="2996" t="s">
        <v>3587</v>
      </c>
      <c r="B127" s="2996" t="s">
        <v>3101</v>
      </c>
      <c r="C127" s="2996" t="s">
        <v>3110</v>
      </c>
      <c r="D127" s="2996" t="s">
        <v>3111</v>
      </c>
      <c r="E127" s="2996">
        <v>16097</v>
      </c>
      <c r="F127" s="2996" t="s">
        <v>3112</v>
      </c>
      <c r="G127" s="2996">
        <v>63835</v>
      </c>
      <c r="H127" s="2996" t="s">
        <v>3261</v>
      </c>
      <c r="I127" s="2996" t="s">
        <v>3303</v>
      </c>
      <c r="J127" s="2996" t="s">
        <v>3588</v>
      </c>
      <c r="K127" s="2996" t="s">
        <v>3475</v>
      </c>
      <c r="L127" s="2996">
        <v>67500</v>
      </c>
      <c r="M127" s="2996">
        <v>704.94</v>
      </c>
      <c r="N127" s="2996">
        <v>7049.39</v>
      </c>
      <c r="O127" s="2996">
        <v>46.87</v>
      </c>
      <c r="P127" s="2996" t="s">
        <v>3161</v>
      </c>
    </row>
    <row r="128" spans="1:16" hidden="1">
      <c r="A128" s="2996" t="s">
        <v>3142</v>
      </c>
      <c r="B128" s="2996" t="s">
        <v>3101</v>
      </c>
      <c r="C128" s="2996" t="s">
        <v>3102</v>
      </c>
      <c r="D128" s="2996" t="s">
        <v>3111</v>
      </c>
      <c r="E128" s="2996">
        <v>16089</v>
      </c>
      <c r="F128" s="2996" t="s">
        <v>3143</v>
      </c>
      <c r="G128" s="2996">
        <v>48961</v>
      </c>
      <c r="H128" s="2996" t="s">
        <v>3144</v>
      </c>
      <c r="I128" s="2996" t="s">
        <v>3145</v>
      </c>
      <c r="J128" s="2996" t="s">
        <v>3777</v>
      </c>
      <c r="K128" s="2996" t="s">
        <v>3146</v>
      </c>
      <c r="L128" s="2996">
        <v>364056</v>
      </c>
      <c r="M128" s="2996">
        <v>4957.09</v>
      </c>
      <c r="N128" s="2996">
        <v>7088.31</v>
      </c>
      <c r="O128" s="2996">
        <v>0</v>
      </c>
      <c r="P128" s="2996" t="s">
        <v>3147</v>
      </c>
    </row>
    <row r="129" spans="1:16">
      <c r="A129" s="2996" t="s">
        <v>3589</v>
      </c>
      <c r="B129" s="2996" t="s">
        <v>3101</v>
      </c>
      <c r="C129" s="2996" t="s">
        <v>3110</v>
      </c>
      <c r="D129" s="2996" t="s">
        <v>3111</v>
      </c>
      <c r="E129" s="2996">
        <v>16082</v>
      </c>
      <c r="F129" s="2996" t="s">
        <v>3112</v>
      </c>
      <c r="G129" s="2993">
        <v>24322</v>
      </c>
      <c r="H129" s="2993" t="s">
        <v>3134</v>
      </c>
      <c r="I129" s="2996" t="s">
        <v>3590</v>
      </c>
      <c r="J129" s="2996" t="s">
        <v>3591</v>
      </c>
      <c r="K129" s="2996" t="s">
        <v>3592</v>
      </c>
      <c r="L129" s="2996">
        <v>9600</v>
      </c>
      <c r="M129" s="2996">
        <v>263.14</v>
      </c>
      <c r="N129" s="2996">
        <v>1315.68</v>
      </c>
      <c r="O129" s="2996">
        <v>31.56</v>
      </c>
      <c r="P129" s="2996" t="s">
        <v>3161</v>
      </c>
    </row>
    <row r="130" spans="1:16" hidden="1">
      <c r="A130" s="2996" t="s">
        <v>3899</v>
      </c>
      <c r="B130" s="2996" t="s">
        <v>3101</v>
      </c>
      <c r="C130" s="2996" t="s">
        <v>3110</v>
      </c>
      <c r="D130" s="2996" t="s">
        <v>3111</v>
      </c>
      <c r="E130" s="2996">
        <v>16076</v>
      </c>
      <c r="F130" s="2996" t="s">
        <v>3900</v>
      </c>
      <c r="G130" s="2996">
        <v>45396</v>
      </c>
      <c r="H130" s="2996" t="s">
        <v>3901</v>
      </c>
      <c r="I130" s="2996" t="s">
        <v>3902</v>
      </c>
      <c r="J130" s="2996" t="s">
        <v>3903</v>
      </c>
      <c r="K130" s="2996" t="s">
        <v>3904</v>
      </c>
      <c r="L130" s="2996">
        <v>45500</v>
      </c>
      <c r="M130" s="2996">
        <v>668.19</v>
      </c>
      <c r="N130" s="2996">
        <v>2838.42</v>
      </c>
      <c r="O130" s="2996">
        <v>57.69</v>
      </c>
      <c r="P130" s="2996" t="s">
        <v>3905</v>
      </c>
    </row>
    <row r="131" spans="1:16" hidden="1">
      <c r="A131" s="2996" t="s">
        <v>3778</v>
      </c>
      <c r="B131" s="2996" t="s">
        <v>3101</v>
      </c>
      <c r="C131" s="2996" t="s">
        <v>3102</v>
      </c>
      <c r="D131" s="2996" t="s">
        <v>3111</v>
      </c>
      <c r="E131" s="2996">
        <v>16074</v>
      </c>
      <c r="F131" s="2996" t="s">
        <v>3121</v>
      </c>
      <c r="G131" s="2996">
        <v>182809</v>
      </c>
      <c r="H131" s="2996" t="s">
        <v>3766</v>
      </c>
      <c r="I131" s="2996" t="s">
        <v>3211</v>
      </c>
      <c r="J131" s="2996" t="s">
        <v>3779</v>
      </c>
      <c r="K131" s="2996" t="s">
        <v>3780</v>
      </c>
      <c r="L131" s="2996">
        <v>59804</v>
      </c>
      <c r="M131" s="2996">
        <v>218.09</v>
      </c>
      <c r="N131" s="2996">
        <v>1203.4000000000001</v>
      </c>
      <c r="O131" s="2996">
        <v>0</v>
      </c>
      <c r="P131" s="2996" t="s">
        <v>3136</v>
      </c>
    </row>
    <row r="132" spans="1:16" hidden="1">
      <c r="A132" s="2996" t="s">
        <v>3781</v>
      </c>
      <c r="B132" s="2996" t="s">
        <v>3101</v>
      </c>
      <c r="C132" s="2996" t="s">
        <v>3102</v>
      </c>
      <c r="D132" s="2996" t="s">
        <v>3111</v>
      </c>
      <c r="E132" s="2996">
        <v>16064</v>
      </c>
      <c r="F132" s="2996" t="s">
        <v>3782</v>
      </c>
      <c r="G132" s="2996">
        <v>186241</v>
      </c>
      <c r="H132" s="2996" t="s">
        <v>3783</v>
      </c>
      <c r="I132" s="2996" t="s">
        <v>3421</v>
      </c>
      <c r="J132" s="2996" t="s">
        <v>3784</v>
      </c>
      <c r="K132" s="2996" t="s">
        <v>3426</v>
      </c>
      <c r="L132" s="2996">
        <v>31796</v>
      </c>
      <c r="M132" s="2996">
        <v>113.82</v>
      </c>
      <c r="N132" s="2996">
        <v>1230.1300000000001</v>
      </c>
      <c r="O132" s="2996">
        <v>0</v>
      </c>
      <c r="P132" s="2996" t="s">
        <v>3136</v>
      </c>
    </row>
    <row r="133" spans="1:16" hidden="1">
      <c r="A133" s="2996" t="s">
        <v>3785</v>
      </c>
      <c r="B133" s="2996" t="s">
        <v>3101</v>
      </c>
      <c r="C133" s="2996" t="s">
        <v>3110</v>
      </c>
      <c r="D133" s="2996" t="s">
        <v>3111</v>
      </c>
      <c r="E133" s="2996">
        <v>16062</v>
      </c>
      <c r="F133" s="2996" t="s">
        <v>3786</v>
      </c>
      <c r="G133" s="2996">
        <v>111980</v>
      </c>
      <c r="H133" s="2996" t="s">
        <v>3787</v>
      </c>
      <c r="I133" s="2996" t="s">
        <v>3421</v>
      </c>
      <c r="J133" s="2996" t="s">
        <v>3788</v>
      </c>
      <c r="K133" s="2996" t="s">
        <v>3426</v>
      </c>
      <c r="L133" s="2996">
        <v>21584</v>
      </c>
      <c r="M133" s="2996">
        <v>128.5</v>
      </c>
      <c r="N133" s="2996">
        <v>1046.6500000000001</v>
      </c>
      <c r="O133" s="2996">
        <v>0</v>
      </c>
      <c r="P133" s="2996" t="s">
        <v>3161</v>
      </c>
    </row>
    <row r="134" spans="1:16" hidden="1">
      <c r="A134" s="2996" t="s">
        <v>3789</v>
      </c>
      <c r="B134" s="2996" t="s">
        <v>3101</v>
      </c>
      <c r="C134" s="2996" t="s">
        <v>3110</v>
      </c>
      <c r="D134" s="2996" t="s">
        <v>3111</v>
      </c>
      <c r="E134" s="2996">
        <v>16063</v>
      </c>
      <c r="F134" s="2996" t="s">
        <v>3786</v>
      </c>
      <c r="G134" s="2996">
        <v>167341</v>
      </c>
      <c r="H134" s="2996" t="s">
        <v>3790</v>
      </c>
      <c r="I134" s="2996" t="s">
        <v>3421</v>
      </c>
      <c r="J134" s="2996" t="s">
        <v>3791</v>
      </c>
      <c r="K134" s="2996" t="s">
        <v>3426</v>
      </c>
      <c r="L134" s="2996">
        <v>37272</v>
      </c>
      <c r="M134" s="2996">
        <v>148.49</v>
      </c>
      <c r="N134" s="2996">
        <v>938.34</v>
      </c>
      <c r="O134" s="2996">
        <v>0</v>
      </c>
      <c r="P134" s="2996" t="s">
        <v>3161</v>
      </c>
    </row>
    <row r="135" spans="1:16">
      <c r="A135" s="2996" t="s">
        <v>3906</v>
      </c>
      <c r="B135" s="2996" t="s">
        <v>3101</v>
      </c>
      <c r="C135" s="2996" t="s">
        <v>3110</v>
      </c>
      <c r="D135" s="2996" t="s">
        <v>3111</v>
      </c>
      <c r="E135" s="2996">
        <v>16065</v>
      </c>
      <c r="F135" s="2996" t="s">
        <v>3112</v>
      </c>
      <c r="G135" s="2993">
        <v>148653</v>
      </c>
      <c r="H135" s="2993" t="s">
        <v>3907</v>
      </c>
      <c r="I135" s="2996" t="s">
        <v>3421</v>
      </c>
      <c r="J135" s="2996" t="s">
        <v>3908</v>
      </c>
      <c r="K135" s="2996" t="s">
        <v>3426</v>
      </c>
      <c r="L135" s="2996">
        <v>44875</v>
      </c>
      <c r="M135" s="2996">
        <v>201.25</v>
      </c>
      <c r="N135" s="2996">
        <v>822.08</v>
      </c>
      <c r="O135" s="2996">
        <v>0</v>
      </c>
      <c r="P135" s="2996" t="s">
        <v>3161</v>
      </c>
    </row>
    <row r="136" spans="1:16" hidden="1">
      <c r="A136" s="2996" t="s">
        <v>3909</v>
      </c>
      <c r="B136" s="2996" t="s">
        <v>3101</v>
      </c>
      <c r="C136" s="2996" t="s">
        <v>3102</v>
      </c>
      <c r="D136" s="2996" t="s">
        <v>3111</v>
      </c>
      <c r="E136" s="2996">
        <v>16061</v>
      </c>
      <c r="F136" s="2996" t="s">
        <v>3910</v>
      </c>
      <c r="G136" s="2996">
        <v>20852</v>
      </c>
      <c r="H136" s="2996" t="s">
        <v>3911</v>
      </c>
      <c r="I136" s="2996" t="s">
        <v>3215</v>
      </c>
      <c r="J136" s="2996" t="s">
        <v>3912</v>
      </c>
      <c r="K136" s="2996" t="s">
        <v>3913</v>
      </c>
      <c r="L136" s="2996">
        <v>23200</v>
      </c>
      <c r="M136" s="2996">
        <v>741.74</v>
      </c>
      <c r="N136" s="2996">
        <v>4023.17</v>
      </c>
      <c r="O136" s="2996">
        <v>60.48</v>
      </c>
      <c r="P136" s="2996" t="s">
        <v>3914</v>
      </c>
    </row>
    <row r="137" spans="1:16" hidden="1">
      <c r="A137" s="2996" t="s">
        <v>3148</v>
      </c>
      <c r="B137" s="2996" t="s">
        <v>3101</v>
      </c>
      <c r="C137" s="2996" t="s">
        <v>3102</v>
      </c>
      <c r="D137" s="2996" t="s">
        <v>3111</v>
      </c>
      <c r="E137" s="2996">
        <v>16055</v>
      </c>
      <c r="F137" s="2996" t="s">
        <v>3149</v>
      </c>
      <c r="G137" s="2996">
        <v>202639</v>
      </c>
      <c r="H137" s="2996" t="s">
        <v>3150</v>
      </c>
      <c r="I137" s="2996" t="s">
        <v>3151</v>
      </c>
      <c r="J137" s="2996" t="s">
        <v>3915</v>
      </c>
      <c r="K137" s="2996" t="s">
        <v>3152</v>
      </c>
      <c r="L137" s="2996">
        <v>340000</v>
      </c>
      <c r="M137" s="2996">
        <v>1118.57</v>
      </c>
      <c r="N137" s="2996">
        <v>4611.72</v>
      </c>
      <c r="O137" s="2996">
        <v>22.82</v>
      </c>
      <c r="P137" s="2996" t="s">
        <v>3153</v>
      </c>
    </row>
    <row r="138" spans="1:16" hidden="1">
      <c r="A138" s="2996" t="s">
        <v>3154</v>
      </c>
      <c r="B138" s="2996" t="s">
        <v>3101</v>
      </c>
      <c r="C138" s="2996" t="s">
        <v>3102</v>
      </c>
      <c r="D138" s="2996" t="s">
        <v>3111</v>
      </c>
      <c r="E138" s="2996">
        <v>16056</v>
      </c>
      <c r="F138" s="2996" t="s">
        <v>3155</v>
      </c>
      <c r="G138" s="2996">
        <v>175108</v>
      </c>
      <c r="H138" s="2996" t="s">
        <v>3156</v>
      </c>
      <c r="I138" s="2996" t="s">
        <v>3151</v>
      </c>
      <c r="J138" s="2996" t="s">
        <v>3916</v>
      </c>
      <c r="K138" s="2996" t="s">
        <v>3157</v>
      </c>
      <c r="L138" s="2996">
        <v>408000</v>
      </c>
      <c r="M138" s="2996">
        <v>1553.33</v>
      </c>
      <c r="N138" s="2996">
        <v>5915.6</v>
      </c>
      <c r="O138" s="2996">
        <v>36.49</v>
      </c>
      <c r="P138" s="2996" t="s">
        <v>3153</v>
      </c>
    </row>
    <row r="139" spans="1:16" hidden="1">
      <c r="A139" s="2996" t="s">
        <v>3917</v>
      </c>
      <c r="B139" s="2996" t="s">
        <v>3101</v>
      </c>
      <c r="C139" s="2996" t="s">
        <v>3102</v>
      </c>
      <c r="D139" s="2996" t="s">
        <v>3111</v>
      </c>
      <c r="E139" s="2996">
        <v>16058</v>
      </c>
      <c r="F139" s="2996" t="s">
        <v>3121</v>
      </c>
      <c r="G139" s="2996">
        <v>6492</v>
      </c>
      <c r="H139" s="2996" t="s">
        <v>3918</v>
      </c>
      <c r="I139" s="2996" t="s">
        <v>3151</v>
      </c>
      <c r="J139" s="2996" t="s">
        <v>3919</v>
      </c>
      <c r="K139" s="2996" t="s">
        <v>3920</v>
      </c>
      <c r="L139" s="2996">
        <v>7802</v>
      </c>
      <c r="M139" s="2996">
        <v>801.19</v>
      </c>
      <c r="N139" s="2996">
        <v>3162.55</v>
      </c>
      <c r="O139" s="2996">
        <v>0</v>
      </c>
      <c r="P139" s="2996" t="s">
        <v>3153</v>
      </c>
    </row>
    <row r="140" spans="1:16">
      <c r="A140" s="2996" t="s">
        <v>3158</v>
      </c>
      <c r="B140" s="2996" t="s">
        <v>3101</v>
      </c>
      <c r="C140" s="2996" t="s">
        <v>3110</v>
      </c>
      <c r="D140" s="2996" t="s">
        <v>3111</v>
      </c>
      <c r="E140" s="2996">
        <v>16053</v>
      </c>
      <c r="F140" s="2996" t="s">
        <v>3112</v>
      </c>
      <c r="G140" s="2993">
        <v>40621</v>
      </c>
      <c r="H140" s="2993" t="s">
        <v>3139</v>
      </c>
      <c r="I140" s="2996" t="s">
        <v>3159</v>
      </c>
      <c r="J140" s="2996" t="s">
        <v>3921</v>
      </c>
      <c r="K140" s="2996" t="s">
        <v>3160</v>
      </c>
      <c r="L140" s="2996">
        <v>97000</v>
      </c>
      <c r="M140" s="2996">
        <v>1591.95</v>
      </c>
      <c r="N140" s="2996">
        <v>6822.63</v>
      </c>
      <c r="O140" s="2996">
        <v>58.01</v>
      </c>
      <c r="P140" s="2996" t="s">
        <v>3161</v>
      </c>
    </row>
    <row r="141" spans="1:16" hidden="1">
      <c r="A141" s="2996" t="s">
        <v>3922</v>
      </c>
      <c r="B141" s="2996" t="s">
        <v>3101</v>
      </c>
      <c r="C141" s="2996" t="s">
        <v>3110</v>
      </c>
      <c r="D141" s="2996" t="s">
        <v>3111</v>
      </c>
      <c r="E141" s="2996">
        <v>16051</v>
      </c>
      <c r="F141" s="2996" t="s">
        <v>3112</v>
      </c>
      <c r="G141" s="2996">
        <v>59685</v>
      </c>
      <c r="H141" s="2996" t="s">
        <v>3923</v>
      </c>
      <c r="I141" s="2996" t="s">
        <v>3924</v>
      </c>
      <c r="J141" s="2996" t="s">
        <v>3925</v>
      </c>
      <c r="K141" s="2996" t="s">
        <v>3926</v>
      </c>
      <c r="L141" s="2996">
        <v>43000</v>
      </c>
      <c r="M141" s="2996">
        <v>480.3</v>
      </c>
      <c r="N141" s="2996">
        <v>4901.01</v>
      </c>
      <c r="O141" s="2996">
        <v>1.57</v>
      </c>
      <c r="P141" s="2996" t="s">
        <v>3161</v>
      </c>
    </row>
    <row r="142" spans="1:16" hidden="1">
      <c r="A142" s="2996" t="s">
        <v>3927</v>
      </c>
      <c r="B142" s="2996" t="s">
        <v>3101</v>
      </c>
      <c r="C142" s="2996" t="s">
        <v>3110</v>
      </c>
      <c r="D142" s="2996" t="s">
        <v>3111</v>
      </c>
      <c r="E142" s="2996">
        <v>16049</v>
      </c>
      <c r="F142" s="2996" t="s">
        <v>3900</v>
      </c>
      <c r="G142" s="2996">
        <v>20160</v>
      </c>
      <c r="H142" s="2996" t="s">
        <v>3257</v>
      </c>
      <c r="I142" s="2996" t="s">
        <v>3924</v>
      </c>
      <c r="J142" s="2996" t="s">
        <v>3928</v>
      </c>
      <c r="K142" s="2996" t="s">
        <v>3801</v>
      </c>
      <c r="L142" s="2996">
        <v>6533</v>
      </c>
      <c r="M142" s="2996">
        <v>216.04</v>
      </c>
      <c r="N142" s="2996">
        <v>1620.21</v>
      </c>
      <c r="O142" s="2996">
        <v>0</v>
      </c>
      <c r="P142" s="2996" t="s">
        <v>3161</v>
      </c>
    </row>
    <row r="143" spans="1:16" hidden="1">
      <c r="A143" s="2996" t="s">
        <v>3929</v>
      </c>
      <c r="B143" s="2996" t="s">
        <v>3101</v>
      </c>
      <c r="C143" s="2996" t="s">
        <v>3102</v>
      </c>
      <c r="D143" s="2996" t="s">
        <v>3111</v>
      </c>
      <c r="E143" s="2996">
        <v>16046</v>
      </c>
      <c r="F143" s="2996" t="s">
        <v>3930</v>
      </c>
      <c r="G143" s="2996">
        <v>150519</v>
      </c>
      <c r="H143" s="2996" t="s">
        <v>3931</v>
      </c>
      <c r="I143" s="2996" t="s">
        <v>3932</v>
      </c>
      <c r="J143" s="2996" t="s">
        <v>3933</v>
      </c>
      <c r="K143" s="2996" t="s">
        <v>3934</v>
      </c>
      <c r="L143" s="2996">
        <v>117000</v>
      </c>
      <c r="M143" s="2996">
        <v>518.21</v>
      </c>
      <c r="N143" s="2996">
        <v>2636.44</v>
      </c>
      <c r="O143" s="2996">
        <v>0.37</v>
      </c>
      <c r="P143" s="2996" t="s">
        <v>3136</v>
      </c>
    </row>
    <row r="144" spans="1:16" hidden="1">
      <c r="A144" s="2996" t="s">
        <v>3935</v>
      </c>
      <c r="B144" s="2996" t="s">
        <v>3101</v>
      </c>
      <c r="C144" s="2996" t="s">
        <v>3102</v>
      </c>
      <c r="D144" s="2996" t="s">
        <v>3111</v>
      </c>
      <c r="E144" s="2996">
        <v>16044</v>
      </c>
      <c r="F144" s="2996" t="s">
        <v>3121</v>
      </c>
      <c r="G144" s="2996">
        <v>100001</v>
      </c>
      <c r="H144" s="2996" t="s">
        <v>3233</v>
      </c>
      <c r="I144" s="2996" t="s">
        <v>3936</v>
      </c>
      <c r="J144" s="2996" t="s">
        <v>3937</v>
      </c>
      <c r="K144" s="2996" t="s">
        <v>3938</v>
      </c>
      <c r="L144" s="2996">
        <v>68255</v>
      </c>
      <c r="M144" s="2996">
        <v>455.03</v>
      </c>
      <c r="N144" s="2996">
        <v>2730.15</v>
      </c>
      <c r="O144" s="2996">
        <v>0</v>
      </c>
      <c r="P144" s="2996" t="s">
        <v>3147</v>
      </c>
    </row>
    <row r="145" spans="1:16" hidden="1">
      <c r="A145" s="2996" t="s">
        <v>3939</v>
      </c>
      <c r="B145" s="2996" t="s">
        <v>3101</v>
      </c>
      <c r="C145" s="2996" t="s">
        <v>3102</v>
      </c>
      <c r="D145" s="2996" t="s">
        <v>3111</v>
      </c>
      <c r="E145" s="2996">
        <v>16045</v>
      </c>
      <c r="F145" s="2996" t="s">
        <v>3121</v>
      </c>
      <c r="G145" s="2996">
        <v>165519</v>
      </c>
      <c r="H145" s="2996" t="s">
        <v>3895</v>
      </c>
      <c r="I145" s="2996" t="s">
        <v>3936</v>
      </c>
      <c r="J145" s="2996" t="s">
        <v>3940</v>
      </c>
      <c r="K145" s="2996" t="s">
        <v>3938</v>
      </c>
      <c r="L145" s="2996">
        <v>99338</v>
      </c>
      <c r="M145" s="2996">
        <v>400.11</v>
      </c>
      <c r="N145" s="2996">
        <v>3716.46</v>
      </c>
      <c r="O145" s="2996">
        <v>0</v>
      </c>
      <c r="P145" s="2996" t="s">
        <v>3147</v>
      </c>
    </row>
    <row r="146" spans="1:16" hidden="1">
      <c r="A146" s="2996" t="s">
        <v>3941</v>
      </c>
      <c r="B146" s="2996" t="s">
        <v>3101</v>
      </c>
      <c r="C146" s="2996" t="s">
        <v>3102</v>
      </c>
      <c r="D146" s="2996" t="s">
        <v>3111</v>
      </c>
      <c r="E146" s="2996">
        <v>16043</v>
      </c>
      <c r="F146" s="2996" t="s">
        <v>3121</v>
      </c>
      <c r="G146" s="2996">
        <v>163573</v>
      </c>
      <c r="H146" s="2996" t="s">
        <v>3942</v>
      </c>
      <c r="I146" s="2996" t="s">
        <v>3936</v>
      </c>
      <c r="J146" s="2996" t="s">
        <v>3943</v>
      </c>
      <c r="K146" s="2996" t="s">
        <v>3938</v>
      </c>
      <c r="L146" s="2996">
        <v>110764</v>
      </c>
      <c r="M146" s="2996">
        <v>451.44</v>
      </c>
      <c r="N146" s="2996">
        <v>2764.11</v>
      </c>
      <c r="O146" s="2996">
        <v>0</v>
      </c>
      <c r="P146" s="2996" t="s">
        <v>3147</v>
      </c>
    </row>
    <row r="147" spans="1:16" hidden="1">
      <c r="A147" s="2996" t="s">
        <v>3944</v>
      </c>
      <c r="B147" s="2996" t="s">
        <v>3101</v>
      </c>
      <c r="C147" s="2996" t="s">
        <v>3110</v>
      </c>
      <c r="D147" s="2996" t="s">
        <v>3111</v>
      </c>
      <c r="E147" s="2996">
        <v>16034</v>
      </c>
      <c r="F147" s="2996" t="s">
        <v>3112</v>
      </c>
      <c r="G147" s="2996">
        <v>147699</v>
      </c>
      <c r="H147" s="2996" t="s">
        <v>3237</v>
      </c>
      <c r="I147" s="2996" t="s">
        <v>3437</v>
      </c>
      <c r="J147" s="2996" t="s">
        <v>3945</v>
      </c>
      <c r="K147" s="2996" t="s">
        <v>3946</v>
      </c>
      <c r="L147" s="2996">
        <v>120000</v>
      </c>
      <c r="M147" s="2996">
        <v>541.64</v>
      </c>
      <c r="N147" s="2996">
        <v>4062.32</v>
      </c>
      <c r="O147" s="2996">
        <v>37.25</v>
      </c>
      <c r="P147" s="2996" t="s">
        <v>3108</v>
      </c>
    </row>
    <row r="148" spans="1:16" hidden="1">
      <c r="A148" s="2996" t="s">
        <v>3947</v>
      </c>
      <c r="B148" s="2996" t="s">
        <v>3101</v>
      </c>
      <c r="C148" s="2996" t="s">
        <v>3110</v>
      </c>
      <c r="D148" s="2996" t="s">
        <v>3111</v>
      </c>
      <c r="E148" s="2996">
        <v>16037</v>
      </c>
      <c r="F148" s="2996" t="s">
        <v>3725</v>
      </c>
      <c r="G148" s="2996">
        <v>156205</v>
      </c>
      <c r="H148" s="2996" t="s">
        <v>3948</v>
      </c>
      <c r="I148" s="2996" t="s">
        <v>3437</v>
      </c>
      <c r="J148" s="2996" t="s">
        <v>3949</v>
      </c>
      <c r="K148" s="2996" t="s">
        <v>3549</v>
      </c>
      <c r="L148" s="2996">
        <v>119000</v>
      </c>
      <c r="M148" s="2996">
        <v>507.88</v>
      </c>
      <c r="N148" s="2996">
        <v>7618.18</v>
      </c>
      <c r="O148" s="2996">
        <v>70.540000000000006</v>
      </c>
      <c r="P148" s="2996" t="s">
        <v>3108</v>
      </c>
    </row>
    <row r="149" spans="1:16" hidden="1">
      <c r="A149" s="2996" t="s">
        <v>3950</v>
      </c>
      <c r="B149" s="2996" t="s">
        <v>3101</v>
      </c>
      <c r="C149" s="2996" t="s">
        <v>3110</v>
      </c>
      <c r="D149" s="2996" t="s">
        <v>3111</v>
      </c>
      <c r="E149" s="2996">
        <v>16032</v>
      </c>
      <c r="F149" s="2996" t="s">
        <v>3112</v>
      </c>
      <c r="G149" s="2996">
        <v>19318</v>
      </c>
      <c r="H149" s="2996" t="s">
        <v>3951</v>
      </c>
      <c r="I149" s="2996" t="s">
        <v>3437</v>
      </c>
      <c r="J149" s="2996" t="s">
        <v>3952</v>
      </c>
      <c r="K149" s="2996" t="s">
        <v>3953</v>
      </c>
      <c r="L149" s="2996">
        <v>13407</v>
      </c>
      <c r="M149" s="2996">
        <v>462.68</v>
      </c>
      <c r="N149" s="2996">
        <v>2478.63</v>
      </c>
      <c r="O149" s="2996">
        <v>0</v>
      </c>
      <c r="P149" s="2996" t="s">
        <v>3108</v>
      </c>
    </row>
    <row r="150" spans="1:16" hidden="1">
      <c r="A150" s="2996" t="s">
        <v>3954</v>
      </c>
      <c r="B150" s="2996" t="s">
        <v>3101</v>
      </c>
      <c r="C150" s="2996" t="s">
        <v>3110</v>
      </c>
      <c r="D150" s="2996" t="s">
        <v>3111</v>
      </c>
      <c r="E150" s="2996">
        <v>16036</v>
      </c>
      <c r="F150" s="2996" t="s">
        <v>3112</v>
      </c>
      <c r="G150" s="2996">
        <v>144870</v>
      </c>
      <c r="H150" s="2996" t="s">
        <v>3237</v>
      </c>
      <c r="I150" s="2996" t="s">
        <v>3437</v>
      </c>
      <c r="J150" s="2996" t="s">
        <v>3955</v>
      </c>
      <c r="K150" s="2996" t="s">
        <v>3946</v>
      </c>
      <c r="L150" s="2996">
        <v>149000</v>
      </c>
      <c r="M150" s="2996">
        <v>685.67</v>
      </c>
      <c r="N150" s="2996">
        <v>5142.53</v>
      </c>
      <c r="O150" s="2996">
        <v>60.83</v>
      </c>
      <c r="P150" s="2996" t="s">
        <v>3108</v>
      </c>
    </row>
    <row r="151" spans="1:16" hidden="1">
      <c r="A151" s="2996" t="s">
        <v>3956</v>
      </c>
      <c r="B151" s="2996" t="s">
        <v>3101</v>
      </c>
      <c r="C151" s="2996" t="s">
        <v>3110</v>
      </c>
      <c r="D151" s="2996" t="s">
        <v>3111</v>
      </c>
      <c r="E151" s="2996">
        <v>16035</v>
      </c>
      <c r="F151" s="2996" t="s">
        <v>3112</v>
      </c>
      <c r="G151" s="2996">
        <v>124630</v>
      </c>
      <c r="H151" s="2996" t="s">
        <v>3237</v>
      </c>
      <c r="I151" s="2996" t="s">
        <v>3437</v>
      </c>
      <c r="J151" s="2996" t="s">
        <v>3957</v>
      </c>
      <c r="K151" s="2996" t="s">
        <v>3958</v>
      </c>
      <c r="L151" s="2996">
        <v>88000</v>
      </c>
      <c r="M151" s="2996">
        <v>470.73</v>
      </c>
      <c r="N151" s="2996">
        <v>3530.44</v>
      </c>
      <c r="O151" s="2996">
        <v>21.21</v>
      </c>
      <c r="P151" s="2996" t="s">
        <v>3108</v>
      </c>
    </row>
    <row r="152" spans="1:16" hidden="1">
      <c r="A152" s="2997" t="s">
        <v>3959</v>
      </c>
      <c r="B152" s="2997" t="s">
        <v>3101</v>
      </c>
      <c r="C152" s="2997" t="s">
        <v>3110</v>
      </c>
      <c r="D152" s="2997" t="s">
        <v>3111</v>
      </c>
      <c r="E152" s="2997">
        <v>16030</v>
      </c>
      <c r="F152" s="2997" t="s">
        <v>3112</v>
      </c>
      <c r="G152" s="2997">
        <v>117240</v>
      </c>
      <c r="H152" s="2997" t="s">
        <v>3298</v>
      </c>
      <c r="I152" s="2997" t="s">
        <v>3960</v>
      </c>
      <c r="J152" s="2997" t="s">
        <v>3961</v>
      </c>
      <c r="K152" s="2997" t="s">
        <v>3453</v>
      </c>
      <c r="L152" s="2997">
        <v>32593</v>
      </c>
      <c r="M152" s="2997">
        <v>185.33</v>
      </c>
      <c r="N152" s="2997">
        <v>1390</v>
      </c>
      <c r="O152" s="2997">
        <v>0</v>
      </c>
      <c r="P152" s="2997" t="s">
        <v>3161</v>
      </c>
    </row>
    <row r="153" spans="1:16" hidden="1">
      <c r="A153" s="2997" t="s">
        <v>3962</v>
      </c>
      <c r="B153" s="2997" t="s">
        <v>3101</v>
      </c>
      <c r="C153" s="2997" t="s">
        <v>3102</v>
      </c>
      <c r="D153" s="2997" t="s">
        <v>3111</v>
      </c>
      <c r="E153" s="2997">
        <v>16029</v>
      </c>
      <c r="F153" s="2997" t="s">
        <v>3963</v>
      </c>
      <c r="G153" s="2997">
        <v>11878</v>
      </c>
      <c r="H153" s="2997" t="s">
        <v>3964</v>
      </c>
      <c r="I153" s="2997" t="s">
        <v>3960</v>
      </c>
      <c r="J153" s="2997" t="s">
        <v>3965</v>
      </c>
      <c r="K153" s="2997" t="s">
        <v>3756</v>
      </c>
      <c r="L153" s="2997">
        <v>26000</v>
      </c>
      <c r="M153" s="2997">
        <v>1459.28</v>
      </c>
      <c r="N153" s="2997">
        <v>5472.3</v>
      </c>
      <c r="O153" s="2997">
        <v>62.87</v>
      </c>
      <c r="P153" s="2997" t="s">
        <v>3966</v>
      </c>
    </row>
    <row r="154" spans="1:16" hidden="1">
      <c r="A154" s="2997" t="s">
        <v>3967</v>
      </c>
      <c r="B154" s="2997" t="s">
        <v>3101</v>
      </c>
      <c r="C154" s="2997" t="s">
        <v>3110</v>
      </c>
      <c r="D154" s="2997" t="s">
        <v>3111</v>
      </c>
      <c r="E154" s="2997">
        <v>16027</v>
      </c>
      <c r="F154" s="2997" t="s">
        <v>3786</v>
      </c>
      <c r="G154" s="2997">
        <v>133461</v>
      </c>
      <c r="H154" s="2997" t="s">
        <v>3968</v>
      </c>
      <c r="I154" s="2997" t="s">
        <v>3969</v>
      </c>
      <c r="J154" s="2997" t="s">
        <v>3970</v>
      </c>
      <c r="K154" s="2997" t="s">
        <v>3390</v>
      </c>
      <c r="L154" s="2997">
        <v>35523</v>
      </c>
      <c r="M154" s="2997">
        <v>177.45</v>
      </c>
      <c r="N154" s="2997">
        <v>1182.97</v>
      </c>
      <c r="O154" s="2997">
        <v>0</v>
      </c>
      <c r="P154" s="2997" t="s">
        <v>3161</v>
      </c>
    </row>
    <row r="155" spans="1:16">
      <c r="A155" s="2997" t="s">
        <v>3971</v>
      </c>
      <c r="B155" s="2997" t="s">
        <v>3101</v>
      </c>
      <c r="C155" s="2997" t="s">
        <v>3110</v>
      </c>
      <c r="D155" s="2997" t="s">
        <v>3111</v>
      </c>
      <c r="E155" s="2997">
        <v>16026</v>
      </c>
      <c r="F155" s="2997" t="s">
        <v>3112</v>
      </c>
      <c r="G155" s="2993">
        <v>72982</v>
      </c>
      <c r="H155" s="2993" t="s">
        <v>3964</v>
      </c>
      <c r="I155" s="2997" t="s">
        <v>3969</v>
      </c>
      <c r="J155" s="2997" t="s">
        <v>3972</v>
      </c>
      <c r="K155" s="2997" t="s">
        <v>3390</v>
      </c>
      <c r="L155" s="2997">
        <v>28755</v>
      </c>
      <c r="M155" s="2997">
        <v>262.67</v>
      </c>
      <c r="N155" s="2997">
        <v>985</v>
      </c>
      <c r="O155" s="2997">
        <v>0</v>
      </c>
      <c r="P155" s="2997" t="s">
        <v>3161</v>
      </c>
    </row>
    <row r="156" spans="1:16">
      <c r="A156" s="2997" t="s">
        <v>3973</v>
      </c>
      <c r="B156" s="2997" t="s">
        <v>3101</v>
      </c>
      <c r="C156" s="2997" t="s">
        <v>3110</v>
      </c>
      <c r="D156" s="2997" t="s">
        <v>3111</v>
      </c>
      <c r="E156" s="2997">
        <v>16028</v>
      </c>
      <c r="F156" s="2997" t="s">
        <v>3786</v>
      </c>
      <c r="G156" s="2993">
        <v>165861</v>
      </c>
      <c r="H156" s="2993" t="s">
        <v>3974</v>
      </c>
      <c r="I156" s="2997" t="s">
        <v>3969</v>
      </c>
      <c r="J156" s="2997" t="s">
        <v>3975</v>
      </c>
      <c r="K156" s="2997" t="s">
        <v>3390</v>
      </c>
      <c r="L156" s="2997">
        <v>54634</v>
      </c>
      <c r="M156" s="2997">
        <v>219.6</v>
      </c>
      <c r="N156" s="2997">
        <v>1042.3900000000001</v>
      </c>
      <c r="O156" s="2997">
        <v>0</v>
      </c>
      <c r="P156" s="2997" t="s">
        <v>3161</v>
      </c>
    </row>
    <row r="157" spans="1:16">
      <c r="A157" s="2997" t="s">
        <v>3976</v>
      </c>
      <c r="B157" s="2997" t="s">
        <v>3101</v>
      </c>
      <c r="C157" s="2997" t="s">
        <v>3110</v>
      </c>
      <c r="D157" s="2997" t="s">
        <v>3111</v>
      </c>
      <c r="E157" s="2997">
        <v>16013</v>
      </c>
      <c r="F157" s="2997" t="s">
        <v>3112</v>
      </c>
      <c r="G157" s="2993">
        <v>109172</v>
      </c>
      <c r="H157" s="2993" t="s">
        <v>3977</v>
      </c>
      <c r="I157" s="2997" t="s">
        <v>3224</v>
      </c>
      <c r="J157" s="2997" t="s">
        <v>3978</v>
      </c>
      <c r="K157" s="2997" t="s">
        <v>3226</v>
      </c>
      <c r="L157" s="2997">
        <v>45795</v>
      </c>
      <c r="M157" s="2997">
        <v>279.64999999999998</v>
      </c>
      <c r="N157" s="2997">
        <v>1398.25</v>
      </c>
      <c r="O157" s="2997">
        <v>0</v>
      </c>
      <c r="P157" s="2997" t="s">
        <v>3108</v>
      </c>
    </row>
    <row r="158" spans="1:16" hidden="1">
      <c r="A158" s="2997" t="s">
        <v>3979</v>
      </c>
      <c r="B158" s="2997" t="s">
        <v>3101</v>
      </c>
      <c r="C158" s="2997" t="s">
        <v>3102</v>
      </c>
      <c r="D158" s="2997" t="s">
        <v>3111</v>
      </c>
      <c r="E158" s="2997">
        <v>16015</v>
      </c>
      <c r="F158" s="2997" t="s">
        <v>3143</v>
      </c>
      <c r="G158" s="2997">
        <v>9343</v>
      </c>
      <c r="H158" s="2997" t="s">
        <v>3980</v>
      </c>
      <c r="I158" s="2997" t="s">
        <v>3224</v>
      </c>
      <c r="J158" s="2997" t="s">
        <v>3981</v>
      </c>
      <c r="K158" s="2997" t="s">
        <v>3982</v>
      </c>
      <c r="L158" s="2997">
        <v>15371</v>
      </c>
      <c r="M158" s="2997">
        <v>1096.79</v>
      </c>
      <c r="N158" s="2997">
        <v>3852.9</v>
      </c>
      <c r="O158" s="2997">
        <v>0</v>
      </c>
      <c r="P158" s="2997" t="s">
        <v>3108</v>
      </c>
    </row>
    <row r="159" spans="1:16" hidden="1">
      <c r="A159" s="2997" t="s">
        <v>3983</v>
      </c>
      <c r="B159" s="2997" t="s">
        <v>3101</v>
      </c>
      <c r="C159" s="2997" t="s">
        <v>3110</v>
      </c>
      <c r="D159" s="2997" t="s">
        <v>3111</v>
      </c>
      <c r="E159" s="2997">
        <v>16018</v>
      </c>
      <c r="F159" s="2997" t="s">
        <v>3112</v>
      </c>
      <c r="G159" s="2997">
        <v>224940</v>
      </c>
      <c r="H159" s="2997" t="s">
        <v>3984</v>
      </c>
      <c r="I159" s="2997" t="s">
        <v>3224</v>
      </c>
      <c r="J159" s="2997" t="s">
        <v>3985</v>
      </c>
      <c r="K159" s="2997" t="s">
        <v>3926</v>
      </c>
      <c r="L159" s="2997">
        <v>255000</v>
      </c>
      <c r="M159" s="2997">
        <v>755.76</v>
      </c>
      <c r="N159" s="2997">
        <v>7608.28</v>
      </c>
      <c r="O159" s="2997">
        <v>63.39</v>
      </c>
      <c r="P159" s="2997" t="s">
        <v>3108</v>
      </c>
    </row>
    <row r="160" spans="1:16" hidden="1">
      <c r="A160" s="2997" t="s">
        <v>3986</v>
      </c>
      <c r="B160" s="2997" t="s">
        <v>3101</v>
      </c>
      <c r="C160" s="2997" t="s">
        <v>3110</v>
      </c>
      <c r="D160" s="2997" t="s">
        <v>3111</v>
      </c>
      <c r="E160" s="2997">
        <v>16017</v>
      </c>
      <c r="F160" s="2997" t="s">
        <v>3112</v>
      </c>
      <c r="G160" s="2997">
        <v>44713</v>
      </c>
      <c r="H160" s="2997" t="s">
        <v>3237</v>
      </c>
      <c r="I160" s="2997" t="s">
        <v>3224</v>
      </c>
      <c r="J160" s="2997" t="s">
        <v>3987</v>
      </c>
      <c r="K160" s="2997" t="s">
        <v>3988</v>
      </c>
      <c r="L160" s="2997">
        <v>14085</v>
      </c>
      <c r="M160" s="2997">
        <v>210.01</v>
      </c>
      <c r="N160" s="2997">
        <v>1575.04</v>
      </c>
      <c r="O160" s="2997">
        <v>0</v>
      </c>
      <c r="P160" s="2997" t="s">
        <v>3108</v>
      </c>
    </row>
    <row r="161" spans="1:16">
      <c r="A161" s="2997" t="s">
        <v>3989</v>
      </c>
      <c r="B161" s="2997" t="s">
        <v>3101</v>
      </c>
      <c r="C161" s="2997" t="s">
        <v>3110</v>
      </c>
      <c r="D161" s="2997" t="s">
        <v>3111</v>
      </c>
      <c r="E161" s="2997">
        <v>16014</v>
      </c>
      <c r="F161" s="2997" t="s">
        <v>3112</v>
      </c>
      <c r="G161" s="2993">
        <v>181387</v>
      </c>
      <c r="H161" s="2993" t="s">
        <v>3977</v>
      </c>
      <c r="I161" s="2997" t="s">
        <v>3224</v>
      </c>
      <c r="J161" s="2997" t="s">
        <v>3990</v>
      </c>
      <c r="K161" s="2997" t="s">
        <v>3226</v>
      </c>
      <c r="L161" s="2997">
        <v>77765</v>
      </c>
      <c r="M161" s="2997">
        <v>285.82</v>
      </c>
      <c r="N161" s="2997">
        <v>1429.07</v>
      </c>
      <c r="O161" s="2997">
        <v>0</v>
      </c>
      <c r="P161" s="2997" t="s">
        <v>3108</v>
      </c>
    </row>
    <row r="162" spans="1:16" hidden="1">
      <c r="A162" s="2997" t="s">
        <v>3991</v>
      </c>
      <c r="B162" s="2997" t="s">
        <v>3101</v>
      </c>
      <c r="C162" s="2997" t="s">
        <v>3102</v>
      </c>
      <c r="D162" s="2997" t="s">
        <v>3111</v>
      </c>
      <c r="E162" s="2997">
        <v>16011</v>
      </c>
      <c r="F162" s="2997" t="s">
        <v>3992</v>
      </c>
      <c r="G162" s="2997">
        <v>11527</v>
      </c>
      <c r="H162" s="2997" t="s">
        <v>3993</v>
      </c>
      <c r="I162" s="2997" t="s">
        <v>3994</v>
      </c>
      <c r="J162" s="2997" t="s">
        <v>3995</v>
      </c>
      <c r="K162" s="2997" t="s">
        <v>3996</v>
      </c>
      <c r="L162" s="2997">
        <v>3966</v>
      </c>
      <c r="M162" s="2997">
        <v>229.37</v>
      </c>
      <c r="N162" s="2997">
        <v>1720.3</v>
      </c>
      <c r="O162" s="2997">
        <v>0</v>
      </c>
      <c r="P162" s="2997" t="s">
        <v>3741</v>
      </c>
    </row>
    <row r="163" spans="1:16">
      <c r="A163" s="2997" t="s">
        <v>3162</v>
      </c>
      <c r="B163" s="2997" t="s">
        <v>3101</v>
      </c>
      <c r="C163" s="2997" t="s">
        <v>3110</v>
      </c>
      <c r="D163" s="2997" t="s">
        <v>3111</v>
      </c>
      <c r="E163" s="2997">
        <v>16006</v>
      </c>
      <c r="F163" s="2997" t="s">
        <v>3112</v>
      </c>
      <c r="G163" s="2993">
        <v>20123</v>
      </c>
      <c r="H163" s="2993" t="s">
        <v>3139</v>
      </c>
      <c r="I163" s="2997" t="s">
        <v>3163</v>
      </c>
      <c r="J163" s="2997" t="s">
        <v>3997</v>
      </c>
      <c r="K163" s="2997" t="s">
        <v>3164</v>
      </c>
      <c r="L163" s="2997">
        <v>9076</v>
      </c>
      <c r="M163" s="2997">
        <v>300.68</v>
      </c>
      <c r="N163" s="2997">
        <v>1288.6400000000001</v>
      </c>
      <c r="O163" s="2997">
        <v>0</v>
      </c>
      <c r="P163" s="2997" t="s">
        <v>3161</v>
      </c>
    </row>
    <row r="164" spans="1:16" hidden="1">
      <c r="A164" s="2997" t="s">
        <v>3998</v>
      </c>
      <c r="B164" s="2997" t="s">
        <v>3101</v>
      </c>
      <c r="C164" s="2997" t="s">
        <v>3102</v>
      </c>
      <c r="D164" s="2997" t="s">
        <v>3111</v>
      </c>
      <c r="E164" s="2997">
        <v>16002</v>
      </c>
      <c r="F164" s="2997" t="s">
        <v>3999</v>
      </c>
      <c r="G164" s="2997">
        <v>42310</v>
      </c>
      <c r="H164" s="2997" t="s">
        <v>4000</v>
      </c>
      <c r="I164" s="2997" t="s">
        <v>4001</v>
      </c>
      <c r="J164" s="2997" t="s">
        <v>4002</v>
      </c>
      <c r="K164" s="2997" t="s">
        <v>4003</v>
      </c>
      <c r="L164" s="2997">
        <v>36644</v>
      </c>
      <c r="M164" s="2997">
        <v>577.39</v>
      </c>
      <c r="N164" s="2997">
        <v>2500</v>
      </c>
      <c r="O164" s="2997">
        <v>0</v>
      </c>
      <c r="P164" s="2997" t="s">
        <v>4004</v>
      </c>
    </row>
    <row r="165" spans="1:16" hidden="1">
      <c r="A165" s="2997" t="s">
        <v>4005</v>
      </c>
      <c r="B165" s="2997" t="s">
        <v>3101</v>
      </c>
      <c r="C165" s="2997" t="s">
        <v>3110</v>
      </c>
      <c r="D165" s="2997" t="s">
        <v>3111</v>
      </c>
      <c r="E165" s="2997">
        <v>16001</v>
      </c>
      <c r="F165" s="2997" t="s">
        <v>3112</v>
      </c>
      <c r="G165" s="2997">
        <v>5348</v>
      </c>
      <c r="H165" s="2997" t="s">
        <v>4006</v>
      </c>
      <c r="I165" s="2997" t="s">
        <v>4001</v>
      </c>
      <c r="J165" s="2997" t="s">
        <v>4007</v>
      </c>
      <c r="K165" s="2997" t="s">
        <v>4008</v>
      </c>
      <c r="L165" s="2997">
        <v>888</v>
      </c>
      <c r="M165" s="2997">
        <v>110.7</v>
      </c>
      <c r="N165" s="2997">
        <v>1276.77</v>
      </c>
      <c r="O165" s="2997">
        <v>0</v>
      </c>
      <c r="P165" s="2997" t="s">
        <v>3161</v>
      </c>
    </row>
    <row r="166" spans="1:16">
      <c r="A166" s="2997" t="s">
        <v>4009</v>
      </c>
      <c r="B166" s="2997" t="s">
        <v>3101</v>
      </c>
      <c r="C166" s="2997" t="s">
        <v>3110</v>
      </c>
      <c r="D166" s="2997" t="s">
        <v>3111</v>
      </c>
      <c r="E166" s="2997">
        <v>15167</v>
      </c>
      <c r="F166" s="2997" t="s">
        <v>3112</v>
      </c>
      <c r="G166" s="2993">
        <v>56431</v>
      </c>
      <c r="H166" s="2993" t="s">
        <v>4010</v>
      </c>
      <c r="I166" s="2997" t="s">
        <v>3320</v>
      </c>
      <c r="J166" s="2997" t="s">
        <v>4011</v>
      </c>
      <c r="K166" s="2997" t="s">
        <v>3408</v>
      </c>
      <c r="L166" s="2997">
        <v>55698</v>
      </c>
      <c r="M166" s="2997">
        <v>658.01</v>
      </c>
      <c r="N166" s="2997">
        <v>2353.5100000000002</v>
      </c>
      <c r="O166" s="2997">
        <v>0</v>
      </c>
      <c r="P166" s="2997" t="s">
        <v>3161</v>
      </c>
    </row>
    <row r="167" spans="1:16" hidden="1">
      <c r="A167" s="2997" t="s">
        <v>4012</v>
      </c>
      <c r="B167" s="2997" t="s">
        <v>3101</v>
      </c>
      <c r="C167" s="2997" t="s">
        <v>3102</v>
      </c>
      <c r="D167" s="2997" t="s">
        <v>3111</v>
      </c>
      <c r="E167" s="2997">
        <v>15163</v>
      </c>
      <c r="F167" s="2997" t="s">
        <v>3963</v>
      </c>
      <c r="G167" s="2997">
        <v>36388</v>
      </c>
      <c r="H167" s="2997" t="s">
        <v>4010</v>
      </c>
      <c r="I167" s="2997" t="s">
        <v>3320</v>
      </c>
      <c r="J167" s="2997" t="s">
        <v>4013</v>
      </c>
      <c r="K167" s="2997" t="s">
        <v>3152</v>
      </c>
      <c r="L167" s="2997">
        <v>44500</v>
      </c>
      <c r="M167" s="2997">
        <v>815.29</v>
      </c>
      <c r="N167" s="2997">
        <v>2911.75</v>
      </c>
      <c r="O167" s="2997">
        <v>2.16</v>
      </c>
      <c r="P167" s="2997" t="s">
        <v>4014</v>
      </c>
    </row>
    <row r="168" spans="1:16">
      <c r="A168" s="2997" t="s">
        <v>4015</v>
      </c>
      <c r="B168" s="2997" t="s">
        <v>3101</v>
      </c>
      <c r="C168" s="2997" t="s">
        <v>3110</v>
      </c>
      <c r="D168" s="2997" t="s">
        <v>3111</v>
      </c>
      <c r="E168" s="2997">
        <v>15166</v>
      </c>
      <c r="F168" s="2997" t="s">
        <v>3112</v>
      </c>
      <c r="G168" s="2993">
        <v>9977</v>
      </c>
      <c r="H168" s="2993" t="s">
        <v>4016</v>
      </c>
      <c r="I168" s="2997" t="s">
        <v>3320</v>
      </c>
      <c r="J168" s="2997" t="s">
        <v>4017</v>
      </c>
      <c r="K168" s="2997" t="s">
        <v>4018</v>
      </c>
      <c r="L168" s="2997">
        <v>18200</v>
      </c>
      <c r="M168" s="2997">
        <v>1216.1300000000001</v>
      </c>
      <c r="N168" s="2997">
        <v>3648.38</v>
      </c>
      <c r="O168" s="2997">
        <v>31.24</v>
      </c>
      <c r="P168" s="2997" t="s">
        <v>3161</v>
      </c>
    </row>
    <row r="169" spans="1:16" hidden="1">
      <c r="A169" s="2997" t="s">
        <v>4019</v>
      </c>
      <c r="B169" s="2997" t="s">
        <v>3101</v>
      </c>
      <c r="C169" s="2997" t="s">
        <v>3102</v>
      </c>
      <c r="D169" s="2997" t="s">
        <v>3111</v>
      </c>
      <c r="E169" s="2997">
        <v>15154</v>
      </c>
      <c r="F169" s="2997" t="s">
        <v>3155</v>
      </c>
      <c r="G169" s="2997">
        <v>53254</v>
      </c>
      <c r="H169" s="2997" t="s">
        <v>4020</v>
      </c>
      <c r="I169" s="2997" t="s">
        <v>3445</v>
      </c>
      <c r="J169" s="2997" t="s">
        <v>4021</v>
      </c>
      <c r="K169" s="2997" t="s">
        <v>3226</v>
      </c>
      <c r="L169" s="2997">
        <v>26093</v>
      </c>
      <c r="M169" s="2997">
        <v>326.64999999999998</v>
      </c>
      <c r="N169" s="2997">
        <v>1633.08</v>
      </c>
      <c r="O169" s="2997">
        <v>0</v>
      </c>
      <c r="P169" s="2997" t="s">
        <v>4014</v>
      </c>
    </row>
    <row r="170" spans="1:16" hidden="1">
      <c r="A170" s="2997" t="s">
        <v>4022</v>
      </c>
      <c r="B170" s="2997" t="s">
        <v>3101</v>
      </c>
      <c r="C170" s="2997" t="s">
        <v>3102</v>
      </c>
      <c r="D170" s="2997" t="s">
        <v>3111</v>
      </c>
      <c r="E170" s="2997">
        <v>15157</v>
      </c>
      <c r="F170" s="2997" t="s">
        <v>3121</v>
      </c>
      <c r="G170" s="2997">
        <v>172848</v>
      </c>
      <c r="H170" s="2997" t="s">
        <v>4023</v>
      </c>
      <c r="I170" s="2997" t="s">
        <v>3445</v>
      </c>
      <c r="J170" s="2997" t="s">
        <v>4024</v>
      </c>
      <c r="K170" s="2997" t="s">
        <v>4025</v>
      </c>
      <c r="L170" s="2997">
        <v>202600</v>
      </c>
      <c r="M170" s="2997">
        <v>781.42</v>
      </c>
      <c r="N170" s="2997">
        <v>3014.4</v>
      </c>
      <c r="O170" s="2997">
        <v>0</v>
      </c>
      <c r="P170" s="2997" t="s">
        <v>4014</v>
      </c>
    </row>
    <row r="171" spans="1:16" hidden="1">
      <c r="A171" s="2997" t="s">
        <v>4026</v>
      </c>
      <c r="B171" s="2997" t="s">
        <v>3101</v>
      </c>
      <c r="C171" s="2997" t="s">
        <v>3102</v>
      </c>
      <c r="D171" s="2997" t="s">
        <v>3111</v>
      </c>
      <c r="E171" s="2997">
        <v>15158</v>
      </c>
      <c r="F171" s="2997" t="s">
        <v>4027</v>
      </c>
      <c r="G171" s="2997">
        <v>137234</v>
      </c>
      <c r="H171" s="2997" t="s">
        <v>4028</v>
      </c>
      <c r="I171" s="2997" t="s">
        <v>3445</v>
      </c>
      <c r="J171" s="2997" t="s">
        <v>4029</v>
      </c>
      <c r="K171" s="2997" t="s">
        <v>4025</v>
      </c>
      <c r="L171" s="2997">
        <v>106747</v>
      </c>
      <c r="M171" s="2997">
        <v>518.55999999999995</v>
      </c>
      <c r="N171" s="2997">
        <v>3400.9</v>
      </c>
      <c r="O171" s="2997">
        <v>0</v>
      </c>
      <c r="P171" s="2997" t="s">
        <v>4014</v>
      </c>
    </row>
    <row r="172" spans="1:16" hidden="1">
      <c r="A172" s="2997" t="s">
        <v>4030</v>
      </c>
      <c r="B172" s="2997" t="s">
        <v>3101</v>
      </c>
      <c r="C172" s="2997" t="s">
        <v>3102</v>
      </c>
      <c r="D172" s="2997" t="s">
        <v>3111</v>
      </c>
      <c r="E172" s="2997">
        <v>15156</v>
      </c>
      <c r="F172" s="2997" t="s">
        <v>4027</v>
      </c>
      <c r="G172" s="2997">
        <v>208370</v>
      </c>
      <c r="H172" s="2997" t="s">
        <v>4031</v>
      </c>
      <c r="I172" s="2997" t="s">
        <v>3445</v>
      </c>
      <c r="J172" s="2997" t="s">
        <v>4032</v>
      </c>
      <c r="K172" s="2997" t="s">
        <v>4025</v>
      </c>
      <c r="L172" s="2997">
        <v>143609</v>
      </c>
      <c r="M172" s="2997">
        <v>459.47</v>
      </c>
      <c r="N172" s="2997">
        <v>3413.86</v>
      </c>
      <c r="O172" s="2997">
        <v>0</v>
      </c>
      <c r="P172" s="2997" t="s">
        <v>4014</v>
      </c>
    </row>
    <row r="173" spans="1:16" hidden="1">
      <c r="A173" s="2997" t="s">
        <v>4033</v>
      </c>
      <c r="B173" s="2997" t="s">
        <v>3101</v>
      </c>
      <c r="C173" s="2997" t="s">
        <v>3102</v>
      </c>
      <c r="D173" s="2997" t="s">
        <v>3111</v>
      </c>
      <c r="E173" s="2997">
        <v>15147</v>
      </c>
      <c r="F173" s="2997" t="s">
        <v>4034</v>
      </c>
      <c r="G173" s="2997">
        <v>209654</v>
      </c>
      <c r="H173" s="2997" t="s">
        <v>4035</v>
      </c>
      <c r="I173" s="2997" t="s">
        <v>4036</v>
      </c>
      <c r="J173" s="2997" t="s">
        <v>4037</v>
      </c>
      <c r="K173" s="2997" t="s">
        <v>3152</v>
      </c>
      <c r="L173" s="2997">
        <v>183880</v>
      </c>
      <c r="M173" s="2997">
        <v>584.71</v>
      </c>
      <c r="N173" s="2997">
        <v>3021.42</v>
      </c>
      <c r="O173" s="2997">
        <v>0</v>
      </c>
      <c r="P173" s="2997" t="s">
        <v>4014</v>
      </c>
    </row>
    <row r="174" spans="1:16" hidden="1">
      <c r="A174" s="2997" t="s">
        <v>4038</v>
      </c>
      <c r="B174" s="2997" t="s">
        <v>3101</v>
      </c>
      <c r="C174" s="2997" t="s">
        <v>3102</v>
      </c>
      <c r="D174" s="2997" t="s">
        <v>3111</v>
      </c>
      <c r="E174" s="2997">
        <v>15149</v>
      </c>
      <c r="F174" s="2997" t="s">
        <v>3999</v>
      </c>
      <c r="G174" s="2997">
        <v>128014</v>
      </c>
      <c r="H174" s="2997" t="s">
        <v>4039</v>
      </c>
      <c r="I174" s="2997" t="s">
        <v>4036</v>
      </c>
      <c r="J174" s="2997" t="s">
        <v>4040</v>
      </c>
      <c r="K174" s="2997" t="s">
        <v>4041</v>
      </c>
      <c r="L174" s="2997">
        <v>57742</v>
      </c>
      <c r="M174" s="2997">
        <v>300.70999999999998</v>
      </c>
      <c r="N174" s="2997">
        <v>1487.23</v>
      </c>
      <c r="O174" s="2997">
        <v>0</v>
      </c>
      <c r="P174" s="2997" t="s">
        <v>4014</v>
      </c>
    </row>
    <row r="175" spans="1:16" hidden="1">
      <c r="A175" s="2997" t="s">
        <v>4042</v>
      </c>
      <c r="B175" s="2997" t="s">
        <v>3101</v>
      </c>
      <c r="C175" s="2997" t="s">
        <v>3102</v>
      </c>
      <c r="D175" s="2997" t="s">
        <v>3111</v>
      </c>
      <c r="E175" s="2997">
        <v>15148</v>
      </c>
      <c r="F175" s="2997" t="s">
        <v>4043</v>
      </c>
      <c r="G175" s="2997">
        <v>174406</v>
      </c>
      <c r="H175" s="2997" t="s">
        <v>4044</v>
      </c>
      <c r="I175" s="2997" t="s">
        <v>4036</v>
      </c>
      <c r="J175" s="2997" t="s">
        <v>4045</v>
      </c>
      <c r="K175" s="2997" t="s">
        <v>3152</v>
      </c>
      <c r="L175" s="2997">
        <v>149583</v>
      </c>
      <c r="M175" s="2997">
        <v>571.78</v>
      </c>
      <c r="N175" s="2997">
        <v>3000.01</v>
      </c>
      <c r="O175" s="2997">
        <v>0</v>
      </c>
      <c r="P175" s="2997" t="s">
        <v>4014</v>
      </c>
    </row>
    <row r="176" spans="1:16" hidden="1">
      <c r="A176" s="2997" t="s">
        <v>4046</v>
      </c>
      <c r="B176" s="2997" t="s">
        <v>3101</v>
      </c>
      <c r="C176" s="2997" t="s">
        <v>3102</v>
      </c>
      <c r="D176" s="2997" t="s">
        <v>3111</v>
      </c>
      <c r="E176" s="2997">
        <v>15145</v>
      </c>
      <c r="F176" s="2997" t="s">
        <v>3999</v>
      </c>
      <c r="G176" s="2997">
        <v>12912</v>
      </c>
      <c r="H176" s="2997" t="s">
        <v>4047</v>
      </c>
      <c r="I176" s="2997" t="s">
        <v>3324</v>
      </c>
      <c r="J176" s="2997" t="s">
        <v>4048</v>
      </c>
      <c r="K176" s="2997" t="s">
        <v>4049</v>
      </c>
      <c r="L176" s="2997">
        <v>34500</v>
      </c>
      <c r="M176" s="2997">
        <v>1781.29</v>
      </c>
      <c r="N176" s="2997">
        <v>4858.0600000000004</v>
      </c>
      <c r="O176" s="2997">
        <v>81.260000000000005</v>
      </c>
      <c r="P176" s="2997" t="s">
        <v>4014</v>
      </c>
    </row>
    <row r="177" spans="1:16" hidden="1">
      <c r="A177" s="2997" t="s">
        <v>4050</v>
      </c>
      <c r="B177" s="2997" t="s">
        <v>3101</v>
      </c>
      <c r="C177" s="2997" t="s">
        <v>3102</v>
      </c>
      <c r="D177" s="2997" t="s">
        <v>3111</v>
      </c>
      <c r="E177" s="2997">
        <v>15144</v>
      </c>
      <c r="F177" s="2997" t="s">
        <v>4051</v>
      </c>
      <c r="G177" s="2997">
        <v>65390</v>
      </c>
      <c r="H177" s="2997" t="s">
        <v>3753</v>
      </c>
      <c r="I177" s="2997" t="s">
        <v>3324</v>
      </c>
      <c r="J177" s="2997" t="s">
        <v>4052</v>
      </c>
      <c r="K177" s="2997" t="s">
        <v>4053</v>
      </c>
      <c r="L177" s="2997">
        <v>29345</v>
      </c>
      <c r="M177" s="2997">
        <v>299.18</v>
      </c>
      <c r="N177" s="2997">
        <v>1625.43</v>
      </c>
      <c r="O177" s="2997">
        <v>0</v>
      </c>
      <c r="P177" s="2997" t="s">
        <v>4014</v>
      </c>
    </row>
    <row r="178" spans="1:16" hidden="1">
      <c r="A178" s="2997" t="s">
        <v>4054</v>
      </c>
      <c r="B178" s="2997" t="s">
        <v>3101</v>
      </c>
      <c r="C178" s="2997" t="s">
        <v>3102</v>
      </c>
      <c r="D178" s="2997" t="s">
        <v>3111</v>
      </c>
      <c r="E178" s="2997">
        <v>15142</v>
      </c>
      <c r="F178" s="2997" t="s">
        <v>3999</v>
      </c>
      <c r="G178" s="2997">
        <v>64822</v>
      </c>
      <c r="H178" s="2997" t="s">
        <v>4055</v>
      </c>
      <c r="I178" s="2997" t="s">
        <v>4056</v>
      </c>
      <c r="J178" s="2997" t="s">
        <v>4057</v>
      </c>
      <c r="K178" s="2997" t="s">
        <v>4041</v>
      </c>
      <c r="L178" s="2997">
        <v>33449</v>
      </c>
      <c r="M178" s="2997">
        <v>344.01</v>
      </c>
      <c r="N178" s="2997">
        <v>1720.09</v>
      </c>
      <c r="O178" s="2997">
        <v>0</v>
      </c>
      <c r="P178" s="2997" t="s">
        <v>4058</v>
      </c>
    </row>
    <row r="179" spans="1:16" hidden="1">
      <c r="A179" s="2997" t="s">
        <v>4059</v>
      </c>
      <c r="B179" s="2997" t="s">
        <v>3101</v>
      </c>
      <c r="C179" s="2997" t="s">
        <v>3102</v>
      </c>
      <c r="D179" s="2997" t="s">
        <v>3111</v>
      </c>
      <c r="E179" s="2997">
        <v>15138</v>
      </c>
      <c r="F179" s="2997" t="s">
        <v>3999</v>
      </c>
      <c r="G179" s="2997">
        <v>120546</v>
      </c>
      <c r="H179" s="2997" t="s">
        <v>4060</v>
      </c>
      <c r="I179" s="2997" t="s">
        <v>4061</v>
      </c>
      <c r="J179" s="2997" t="s">
        <v>4062</v>
      </c>
      <c r="K179" s="2997" t="s">
        <v>4041</v>
      </c>
      <c r="L179" s="2997">
        <v>51783</v>
      </c>
      <c r="M179" s="2997">
        <v>286.38</v>
      </c>
      <c r="N179" s="2997">
        <v>1509.55</v>
      </c>
      <c r="O179" s="2997">
        <v>0</v>
      </c>
      <c r="P179" s="2997" t="s">
        <v>4014</v>
      </c>
    </row>
    <row r="180" spans="1:16" hidden="1">
      <c r="A180" s="2997" t="s">
        <v>4063</v>
      </c>
      <c r="B180" s="2997" t="s">
        <v>3101</v>
      </c>
      <c r="C180" s="2997" t="s">
        <v>3102</v>
      </c>
      <c r="D180" s="2997" t="s">
        <v>3111</v>
      </c>
      <c r="E180" s="2997">
        <v>15129</v>
      </c>
      <c r="F180" s="2997" t="s">
        <v>3999</v>
      </c>
      <c r="G180" s="2997">
        <v>79518</v>
      </c>
      <c r="H180" s="2997" t="s">
        <v>3951</v>
      </c>
      <c r="I180" s="2997" t="s">
        <v>3238</v>
      </c>
      <c r="J180" s="2997" t="s">
        <v>4064</v>
      </c>
      <c r="K180" s="2997" t="s">
        <v>4041</v>
      </c>
      <c r="L180" s="2997">
        <v>29886</v>
      </c>
      <c r="M180" s="2997">
        <v>250.56</v>
      </c>
      <c r="N180" s="2997">
        <v>1342.27</v>
      </c>
      <c r="O180" s="2997">
        <v>0</v>
      </c>
      <c r="P180" s="2997" t="s">
        <v>3108</v>
      </c>
    </row>
    <row r="181" spans="1:16" hidden="1">
      <c r="A181" s="2997" t="s">
        <v>4065</v>
      </c>
      <c r="B181" s="2997" t="s">
        <v>3101</v>
      </c>
      <c r="C181" s="2997" t="s">
        <v>3110</v>
      </c>
      <c r="D181" s="2997" t="s">
        <v>3111</v>
      </c>
      <c r="E181" s="2997">
        <v>15133</v>
      </c>
      <c r="F181" s="2997" t="s">
        <v>3112</v>
      </c>
      <c r="G181" s="2997">
        <v>16174</v>
      </c>
      <c r="H181" s="2997" t="s">
        <v>4066</v>
      </c>
      <c r="I181" s="2997" t="s">
        <v>3238</v>
      </c>
      <c r="J181" s="2997" t="s">
        <v>4067</v>
      </c>
      <c r="K181" s="2997" t="s">
        <v>4068</v>
      </c>
      <c r="L181" s="2997">
        <v>5419</v>
      </c>
      <c r="M181" s="2997">
        <v>223.36</v>
      </c>
      <c r="N181" s="2997">
        <v>1861.34</v>
      </c>
      <c r="O181" s="2997">
        <v>0</v>
      </c>
      <c r="P181" s="2997" t="s">
        <v>3108</v>
      </c>
    </row>
    <row r="182" spans="1:16" hidden="1">
      <c r="A182" s="2997" t="s">
        <v>4069</v>
      </c>
      <c r="B182" s="2997" t="s">
        <v>3101</v>
      </c>
      <c r="C182" s="2997" t="s">
        <v>3110</v>
      </c>
      <c r="D182" s="2997" t="s">
        <v>3111</v>
      </c>
      <c r="E182" s="2997">
        <v>15135</v>
      </c>
      <c r="F182" s="2997" t="s">
        <v>3112</v>
      </c>
      <c r="G182" s="2997">
        <v>94844</v>
      </c>
      <c r="H182" s="2997" t="s">
        <v>4070</v>
      </c>
      <c r="I182" s="2997" t="s">
        <v>3238</v>
      </c>
      <c r="J182" s="2997" t="s">
        <v>4071</v>
      </c>
      <c r="K182" s="2997" t="s">
        <v>4072</v>
      </c>
      <c r="L182" s="2997">
        <v>20771</v>
      </c>
      <c r="M182" s="2997">
        <v>146</v>
      </c>
      <c r="N182" s="2997">
        <v>1460</v>
      </c>
      <c r="O182" s="2997">
        <v>0</v>
      </c>
      <c r="P182" s="2997" t="s">
        <v>3108</v>
      </c>
    </row>
    <row r="183" spans="1:16" hidden="1">
      <c r="A183" s="2997" t="s">
        <v>4073</v>
      </c>
      <c r="B183" s="2997" t="s">
        <v>3101</v>
      </c>
      <c r="C183" s="2997" t="s">
        <v>3110</v>
      </c>
      <c r="D183" s="2997" t="s">
        <v>3111</v>
      </c>
      <c r="E183" s="2997">
        <v>15136</v>
      </c>
      <c r="F183" s="2997" t="s">
        <v>3112</v>
      </c>
      <c r="G183" s="2997">
        <v>20791</v>
      </c>
      <c r="H183" s="2997" t="s">
        <v>3241</v>
      </c>
      <c r="I183" s="2997" t="s">
        <v>3238</v>
      </c>
      <c r="J183" s="2997" t="s">
        <v>4074</v>
      </c>
      <c r="K183" s="2997" t="s">
        <v>4075</v>
      </c>
      <c r="L183" s="2997">
        <v>7776</v>
      </c>
      <c r="M183" s="2997">
        <v>249.34</v>
      </c>
      <c r="N183" s="2997">
        <v>1496.01</v>
      </c>
      <c r="O183" s="2997">
        <v>0</v>
      </c>
      <c r="P183" s="2997" t="s">
        <v>3161</v>
      </c>
    </row>
    <row r="184" spans="1:16" hidden="1">
      <c r="A184" s="2997" t="s">
        <v>4076</v>
      </c>
      <c r="B184" s="2997" t="s">
        <v>3101</v>
      </c>
      <c r="C184" s="2997" t="s">
        <v>3110</v>
      </c>
      <c r="D184" s="2997" t="s">
        <v>3111</v>
      </c>
      <c r="E184" s="2997">
        <v>15130</v>
      </c>
      <c r="F184" s="2997" t="s">
        <v>3112</v>
      </c>
      <c r="G184" s="2997">
        <v>123989</v>
      </c>
      <c r="H184" s="2997" t="s">
        <v>3237</v>
      </c>
      <c r="I184" s="2997" t="s">
        <v>3238</v>
      </c>
      <c r="J184" s="2997" t="s">
        <v>4077</v>
      </c>
      <c r="K184" s="2997" t="s">
        <v>4041</v>
      </c>
      <c r="L184" s="2997">
        <v>34469</v>
      </c>
      <c r="M184" s="2997">
        <v>185.33</v>
      </c>
      <c r="N184" s="2997">
        <v>1390</v>
      </c>
      <c r="O184" s="2997">
        <v>0</v>
      </c>
      <c r="P184" s="2997" t="s">
        <v>3108</v>
      </c>
    </row>
    <row r="185" spans="1:16" hidden="1">
      <c r="A185" s="2997" t="s">
        <v>3485</v>
      </c>
      <c r="B185" s="2997" t="s">
        <v>3101</v>
      </c>
      <c r="C185" s="2997" t="s">
        <v>3110</v>
      </c>
      <c r="D185" s="2997" t="s">
        <v>3111</v>
      </c>
      <c r="E185" s="2997">
        <v>15125</v>
      </c>
      <c r="F185" s="2997" t="s">
        <v>3112</v>
      </c>
      <c r="G185" s="2997">
        <v>57543</v>
      </c>
      <c r="H185" s="2997" t="s">
        <v>3241</v>
      </c>
      <c r="I185" s="2997" t="s">
        <v>4078</v>
      </c>
      <c r="J185" s="2997" t="s">
        <v>4079</v>
      </c>
      <c r="K185" s="2997" t="s">
        <v>4041</v>
      </c>
      <c r="L185" s="2997">
        <v>21291</v>
      </c>
      <c r="M185" s="2997">
        <v>246.67</v>
      </c>
      <c r="N185" s="2997">
        <v>1480</v>
      </c>
      <c r="O185" s="2997">
        <v>0</v>
      </c>
      <c r="P185" s="2997" t="s">
        <v>3108</v>
      </c>
    </row>
    <row r="186" spans="1:16" hidden="1">
      <c r="A186" s="2997" t="s">
        <v>4080</v>
      </c>
      <c r="B186" s="2997" t="s">
        <v>3101</v>
      </c>
      <c r="C186" s="2997" t="s">
        <v>3102</v>
      </c>
      <c r="D186" s="2997" t="s">
        <v>3111</v>
      </c>
      <c r="E186" s="2997">
        <v>15123</v>
      </c>
      <c r="F186" s="2997" t="s">
        <v>4081</v>
      </c>
      <c r="G186" s="2997">
        <v>35959</v>
      </c>
      <c r="H186" s="2997" t="s">
        <v>3237</v>
      </c>
      <c r="I186" s="2997" t="s">
        <v>4078</v>
      </c>
      <c r="J186" s="2997" t="s">
        <v>4082</v>
      </c>
      <c r="K186" s="2997" t="s">
        <v>4041</v>
      </c>
      <c r="L186" s="2997">
        <v>10213</v>
      </c>
      <c r="M186" s="2997">
        <v>189.35</v>
      </c>
      <c r="N186" s="2997">
        <v>1420.08</v>
      </c>
      <c r="O186" s="2997">
        <v>0</v>
      </c>
      <c r="P186" s="2997" t="s">
        <v>3108</v>
      </c>
    </row>
    <row r="187" spans="1:16" hidden="1">
      <c r="A187" s="2997" t="s">
        <v>4083</v>
      </c>
      <c r="B187" s="2997" t="s">
        <v>3101</v>
      </c>
      <c r="C187" s="2997" t="s">
        <v>3102</v>
      </c>
      <c r="D187" s="2997" t="s">
        <v>3111</v>
      </c>
      <c r="E187" s="2997">
        <v>15124</v>
      </c>
      <c r="F187" s="2997" t="s">
        <v>3999</v>
      </c>
      <c r="G187" s="2997">
        <v>87451</v>
      </c>
      <c r="H187" s="2997" t="s">
        <v>4084</v>
      </c>
      <c r="I187" s="2997" t="s">
        <v>4078</v>
      </c>
      <c r="J187" s="2997" t="s">
        <v>4085</v>
      </c>
      <c r="K187" s="2997" t="s">
        <v>4041</v>
      </c>
      <c r="L187" s="2997">
        <v>35441</v>
      </c>
      <c r="M187" s="2997">
        <v>270.18</v>
      </c>
      <c r="N187" s="2997">
        <v>1500.99</v>
      </c>
      <c r="O187" s="2997">
        <v>0</v>
      </c>
      <c r="P187" s="2997" t="s">
        <v>3108</v>
      </c>
    </row>
    <row r="188" spans="1:16" hidden="1">
      <c r="A188" s="2997" t="s">
        <v>4086</v>
      </c>
      <c r="B188" s="2997" t="s">
        <v>3101</v>
      </c>
      <c r="C188" s="2997" t="s">
        <v>3102</v>
      </c>
      <c r="D188" s="2997" t="s">
        <v>3111</v>
      </c>
      <c r="E188" s="2997">
        <v>15122</v>
      </c>
      <c r="F188" s="2997" t="s">
        <v>4087</v>
      </c>
      <c r="G188" s="2997">
        <v>91307</v>
      </c>
      <c r="H188" s="2997" t="s">
        <v>4088</v>
      </c>
      <c r="I188" s="2997" t="s">
        <v>4089</v>
      </c>
      <c r="J188" s="2997" t="s">
        <v>4090</v>
      </c>
      <c r="K188" s="2997" t="s">
        <v>4041</v>
      </c>
      <c r="L188" s="2997">
        <v>53507</v>
      </c>
      <c r="M188" s="2997">
        <v>390.67</v>
      </c>
      <c r="N188" s="2997">
        <v>1674.31</v>
      </c>
      <c r="O188" s="2997">
        <v>0</v>
      </c>
      <c r="P188" s="2997" t="s">
        <v>3108</v>
      </c>
    </row>
    <row r="189" spans="1:16" hidden="1">
      <c r="A189" s="2997" t="s">
        <v>3655</v>
      </c>
      <c r="B189" s="2997" t="s">
        <v>3101</v>
      </c>
      <c r="C189" s="2997" t="s">
        <v>3102</v>
      </c>
      <c r="D189" s="2997" t="s">
        <v>3111</v>
      </c>
      <c r="E189" s="2997">
        <v>15121</v>
      </c>
      <c r="F189" s="2997" t="s">
        <v>3999</v>
      </c>
      <c r="G189" s="2997">
        <v>74455</v>
      </c>
      <c r="H189" s="2997" t="s">
        <v>4091</v>
      </c>
      <c r="I189" s="2997" t="s">
        <v>4089</v>
      </c>
      <c r="J189" s="2997" t="s">
        <v>4092</v>
      </c>
      <c r="K189" s="2997" t="s">
        <v>4041</v>
      </c>
      <c r="L189" s="2997">
        <v>29146</v>
      </c>
      <c r="M189" s="2997">
        <v>260.97000000000003</v>
      </c>
      <c r="N189" s="2997">
        <v>1535.13</v>
      </c>
      <c r="O189" s="2997">
        <v>0</v>
      </c>
      <c r="P189" s="2997" t="s">
        <v>3108</v>
      </c>
    </row>
    <row r="190" spans="1:16" hidden="1">
      <c r="A190" s="2997" t="s">
        <v>3941</v>
      </c>
      <c r="B190" s="2997" t="s">
        <v>3101</v>
      </c>
      <c r="C190" s="2997" t="s">
        <v>3102</v>
      </c>
      <c r="D190" s="2997" t="s">
        <v>3111</v>
      </c>
      <c r="E190" s="2997">
        <v>15112</v>
      </c>
      <c r="F190" s="2997" t="s">
        <v>3121</v>
      </c>
      <c r="G190" s="2997">
        <v>163573</v>
      </c>
      <c r="H190" s="2997" t="s">
        <v>4093</v>
      </c>
      <c r="I190" s="2997" t="s">
        <v>3247</v>
      </c>
      <c r="J190" s="2997" t="s">
        <v>4094</v>
      </c>
      <c r="K190" s="2997" t="s">
        <v>4095</v>
      </c>
      <c r="L190" s="2997">
        <v>108214</v>
      </c>
      <c r="M190" s="2997">
        <v>441.04</v>
      </c>
      <c r="N190" s="2997">
        <v>2700.48</v>
      </c>
      <c r="O190" s="2997">
        <v>0</v>
      </c>
      <c r="P190" s="2997" t="s">
        <v>3136</v>
      </c>
    </row>
    <row r="191" spans="1:16" hidden="1">
      <c r="A191" s="2997" t="s">
        <v>3939</v>
      </c>
      <c r="B191" s="2997" t="s">
        <v>3101</v>
      </c>
      <c r="C191" s="2997" t="s">
        <v>3102</v>
      </c>
      <c r="D191" s="2997" t="s">
        <v>3111</v>
      </c>
      <c r="E191" s="2997">
        <v>15114</v>
      </c>
      <c r="F191" s="2997" t="s">
        <v>3121</v>
      </c>
      <c r="G191" s="2997">
        <v>165512</v>
      </c>
      <c r="H191" s="2997" t="s">
        <v>4096</v>
      </c>
      <c r="I191" s="2997" t="s">
        <v>3247</v>
      </c>
      <c r="J191" s="2997" t="s">
        <v>4097</v>
      </c>
      <c r="K191" s="2997" t="s">
        <v>4095</v>
      </c>
      <c r="L191" s="2997">
        <v>99326</v>
      </c>
      <c r="M191" s="2997">
        <v>400.08</v>
      </c>
      <c r="N191" s="2997">
        <v>3716.01</v>
      </c>
      <c r="O191" s="2997">
        <v>0</v>
      </c>
      <c r="P191" s="2997" t="s">
        <v>3136</v>
      </c>
    </row>
    <row r="192" spans="1:16" hidden="1">
      <c r="A192" s="2997" t="s">
        <v>3935</v>
      </c>
      <c r="B192" s="2997" t="s">
        <v>3101</v>
      </c>
      <c r="C192" s="2997" t="s">
        <v>3102</v>
      </c>
      <c r="D192" s="2997" t="s">
        <v>3111</v>
      </c>
      <c r="E192" s="2997">
        <v>15113</v>
      </c>
      <c r="F192" s="2997" t="s">
        <v>3121</v>
      </c>
      <c r="G192" s="2997">
        <v>100001</v>
      </c>
      <c r="H192" s="2997" t="s">
        <v>4098</v>
      </c>
      <c r="I192" s="2997" t="s">
        <v>3247</v>
      </c>
      <c r="J192" s="2997" t="s">
        <v>4099</v>
      </c>
      <c r="K192" s="2997" t="s">
        <v>4095</v>
      </c>
      <c r="L192" s="2997">
        <v>67605</v>
      </c>
      <c r="M192" s="2997">
        <v>450.7</v>
      </c>
      <c r="N192" s="2997">
        <v>2704.15</v>
      </c>
      <c r="O192" s="2997">
        <v>0</v>
      </c>
      <c r="P192" s="2997" t="s">
        <v>3136</v>
      </c>
    </row>
    <row r="193" spans="1:16" hidden="1">
      <c r="A193" s="2997" t="s">
        <v>3165</v>
      </c>
      <c r="B193" s="2997" t="s">
        <v>3101</v>
      </c>
      <c r="C193" s="2997" t="s">
        <v>3102</v>
      </c>
      <c r="D193" s="2997" t="s">
        <v>3111</v>
      </c>
      <c r="E193" s="2997">
        <v>15111</v>
      </c>
      <c r="F193" s="2997" t="s">
        <v>3121</v>
      </c>
      <c r="G193" s="2997">
        <v>9547</v>
      </c>
      <c r="H193" s="2997" t="s">
        <v>3166</v>
      </c>
      <c r="I193" s="2997" t="s">
        <v>3167</v>
      </c>
      <c r="J193" s="2997" t="s">
        <v>4100</v>
      </c>
      <c r="K193" s="2997" t="s">
        <v>3168</v>
      </c>
      <c r="L193" s="2997">
        <v>41098</v>
      </c>
      <c r="M193" s="2997">
        <v>2869.87</v>
      </c>
      <c r="N193" s="2997">
        <v>5337.39</v>
      </c>
      <c r="O193" s="2997">
        <v>0</v>
      </c>
      <c r="P193" s="2997" t="s">
        <v>3136</v>
      </c>
    </row>
    <row r="194" spans="1:16" hidden="1">
      <c r="A194" s="2997" t="s">
        <v>4101</v>
      </c>
      <c r="B194" s="2997" t="s">
        <v>3101</v>
      </c>
      <c r="C194" s="2997" t="s">
        <v>3110</v>
      </c>
      <c r="D194" s="2997" t="s">
        <v>3111</v>
      </c>
      <c r="E194" s="2997">
        <v>15103</v>
      </c>
      <c r="F194" s="2997" t="s">
        <v>3112</v>
      </c>
      <c r="G194" s="2997">
        <v>129790</v>
      </c>
      <c r="H194" s="2997" t="s">
        <v>4096</v>
      </c>
      <c r="I194" s="2997" t="s">
        <v>3360</v>
      </c>
      <c r="J194" s="2997" t="s">
        <v>4102</v>
      </c>
      <c r="K194" s="2997" t="s">
        <v>3362</v>
      </c>
      <c r="L194" s="2997">
        <v>29238</v>
      </c>
      <c r="M194" s="2997">
        <v>150.18</v>
      </c>
      <c r="N194" s="2997">
        <v>1407.95</v>
      </c>
      <c r="O194" s="2997">
        <v>0</v>
      </c>
      <c r="P194" s="2997" t="s">
        <v>3161</v>
      </c>
    </row>
    <row r="195" spans="1:16" hidden="1">
      <c r="A195" s="2997" t="s">
        <v>4103</v>
      </c>
      <c r="B195" s="2997" t="s">
        <v>3101</v>
      </c>
      <c r="C195" s="2997" t="s">
        <v>3102</v>
      </c>
      <c r="D195" s="2997" t="s">
        <v>3103</v>
      </c>
      <c r="E195" s="2997">
        <v>15093</v>
      </c>
      <c r="F195" s="2997" t="s">
        <v>3155</v>
      </c>
      <c r="G195" s="2997">
        <v>76425</v>
      </c>
      <c r="H195" s="2997" t="s">
        <v>4104</v>
      </c>
      <c r="I195" s="2997" t="s">
        <v>3253</v>
      </c>
      <c r="J195" s="2997" t="s">
        <v>4105</v>
      </c>
      <c r="K195" s="2997" t="s">
        <v>4041</v>
      </c>
      <c r="L195" s="2997">
        <v>14216</v>
      </c>
      <c r="M195" s="2997">
        <v>124.01</v>
      </c>
      <c r="N195" s="2997">
        <v>1771.54</v>
      </c>
      <c r="O195" s="2997">
        <v>0</v>
      </c>
      <c r="P195" s="2997" t="s">
        <v>3741</v>
      </c>
    </row>
    <row r="196" spans="1:16" hidden="1">
      <c r="A196" s="2997" t="s">
        <v>4106</v>
      </c>
      <c r="B196" s="2997" t="s">
        <v>3101</v>
      </c>
      <c r="C196" s="2997" t="s">
        <v>3102</v>
      </c>
      <c r="D196" s="2997" t="s">
        <v>3103</v>
      </c>
      <c r="E196" s="2997">
        <v>15094</v>
      </c>
      <c r="F196" s="2997" t="s">
        <v>3121</v>
      </c>
      <c r="G196" s="2997">
        <v>192433</v>
      </c>
      <c r="H196" s="2997" t="s">
        <v>4028</v>
      </c>
      <c r="I196" s="2997" t="s">
        <v>3253</v>
      </c>
      <c r="J196" s="2997" t="s">
        <v>4107</v>
      </c>
      <c r="K196" s="2997" t="s">
        <v>4041</v>
      </c>
      <c r="L196" s="2997">
        <v>64323</v>
      </c>
      <c r="M196" s="2997">
        <v>222.84</v>
      </c>
      <c r="N196" s="2997">
        <v>1453.42</v>
      </c>
      <c r="O196" s="2997">
        <v>0</v>
      </c>
      <c r="P196" s="2997" t="s">
        <v>3741</v>
      </c>
    </row>
    <row r="197" spans="1:16" hidden="1">
      <c r="A197" s="2997" t="s">
        <v>4108</v>
      </c>
      <c r="B197" s="2997" t="s">
        <v>3101</v>
      </c>
      <c r="C197" s="2997" t="s">
        <v>3102</v>
      </c>
      <c r="D197" s="2997" t="s">
        <v>3103</v>
      </c>
      <c r="E197" s="2997">
        <v>15095</v>
      </c>
      <c r="F197" s="2997" t="s">
        <v>3155</v>
      </c>
      <c r="G197" s="2997">
        <v>90907</v>
      </c>
      <c r="H197" s="2997" t="s">
        <v>4109</v>
      </c>
      <c r="I197" s="2997" t="s">
        <v>3253</v>
      </c>
      <c r="J197" s="2997" t="s">
        <v>4110</v>
      </c>
      <c r="K197" s="2997" t="s">
        <v>4041</v>
      </c>
      <c r="L197" s="2997">
        <v>28765</v>
      </c>
      <c r="M197" s="2997">
        <v>210.95</v>
      </c>
      <c r="N197" s="2997">
        <v>1638.31</v>
      </c>
      <c r="O197" s="2997">
        <v>0</v>
      </c>
      <c r="P197" s="2997" t="s">
        <v>3741</v>
      </c>
    </row>
    <row r="198" spans="1:16" hidden="1">
      <c r="A198" s="2997" t="s">
        <v>4111</v>
      </c>
      <c r="B198" s="2997" t="s">
        <v>3101</v>
      </c>
      <c r="C198" s="2997" t="s">
        <v>3102</v>
      </c>
      <c r="D198" s="2997" t="s">
        <v>3103</v>
      </c>
      <c r="E198" s="2997">
        <v>15091</v>
      </c>
      <c r="F198" s="2997" t="s">
        <v>3121</v>
      </c>
      <c r="G198" s="2997">
        <v>199371</v>
      </c>
      <c r="H198" s="2997" t="s">
        <v>4112</v>
      </c>
      <c r="I198" s="2997" t="s">
        <v>3253</v>
      </c>
      <c r="J198" s="2997" t="s">
        <v>4113</v>
      </c>
      <c r="K198" s="2997" t="s">
        <v>4041</v>
      </c>
      <c r="L198" s="2997">
        <v>58544</v>
      </c>
      <c r="M198" s="2997">
        <v>195.76</v>
      </c>
      <c r="N198" s="2997">
        <v>1502.35</v>
      </c>
      <c r="O198" s="2997">
        <v>0</v>
      </c>
      <c r="P198" s="2997" t="s">
        <v>3741</v>
      </c>
    </row>
    <row r="199" spans="1:16">
      <c r="A199" s="2997" t="s">
        <v>4114</v>
      </c>
      <c r="B199" s="2997" t="s">
        <v>3101</v>
      </c>
      <c r="C199" s="2997" t="s">
        <v>3110</v>
      </c>
      <c r="D199" s="2997" t="s">
        <v>3103</v>
      </c>
      <c r="E199" s="2997">
        <v>15098</v>
      </c>
      <c r="F199" s="2997" t="s">
        <v>3112</v>
      </c>
      <c r="G199" s="2993">
        <v>23279</v>
      </c>
      <c r="H199" s="2993" t="s">
        <v>3134</v>
      </c>
      <c r="I199" s="2997" t="s">
        <v>3253</v>
      </c>
      <c r="J199" s="2997" t="s">
        <v>4115</v>
      </c>
      <c r="K199" s="2997" t="s">
        <v>4116</v>
      </c>
      <c r="L199" s="2997">
        <v>21956</v>
      </c>
      <c r="M199" s="2997">
        <v>628.78</v>
      </c>
      <c r="N199" s="2997">
        <v>3143.88</v>
      </c>
      <c r="O199" s="2997">
        <v>0</v>
      </c>
      <c r="P199" s="2997" t="s">
        <v>3161</v>
      </c>
    </row>
    <row r="200" spans="1:16" hidden="1">
      <c r="A200" s="2997" t="s">
        <v>4117</v>
      </c>
      <c r="B200" s="2997" t="s">
        <v>3101</v>
      </c>
      <c r="C200" s="2997" t="s">
        <v>3110</v>
      </c>
      <c r="D200" s="2997" t="s">
        <v>3111</v>
      </c>
      <c r="E200" s="2997">
        <v>15089</v>
      </c>
      <c r="F200" s="2997" t="s">
        <v>3112</v>
      </c>
      <c r="G200" s="2997">
        <v>14084</v>
      </c>
      <c r="H200" s="2997" t="s">
        <v>3257</v>
      </c>
      <c r="I200" s="2997" t="s">
        <v>4118</v>
      </c>
      <c r="J200" s="2997" t="s">
        <v>4119</v>
      </c>
      <c r="K200" s="2997" t="s">
        <v>3348</v>
      </c>
      <c r="L200" s="2997">
        <v>3381</v>
      </c>
      <c r="M200" s="2997">
        <v>160.04</v>
      </c>
      <c r="N200" s="2997">
        <v>1200.29</v>
      </c>
      <c r="O200" s="2997">
        <v>0</v>
      </c>
      <c r="P200" s="2997" t="s">
        <v>3161</v>
      </c>
    </row>
    <row r="201" spans="1:16" hidden="1">
      <c r="A201" s="2997" t="s">
        <v>4120</v>
      </c>
      <c r="B201" s="2997" t="s">
        <v>3101</v>
      </c>
      <c r="C201" s="2997" t="s">
        <v>3102</v>
      </c>
      <c r="D201" s="2997" t="s">
        <v>3111</v>
      </c>
      <c r="E201" s="2997">
        <v>15081</v>
      </c>
      <c r="F201" s="2997" t="s">
        <v>3155</v>
      </c>
      <c r="G201" s="2997">
        <v>61867</v>
      </c>
      <c r="H201" s="2997" t="s">
        <v>4121</v>
      </c>
      <c r="I201" s="2997" t="s">
        <v>4122</v>
      </c>
      <c r="J201" s="2997" t="s">
        <v>4123</v>
      </c>
      <c r="K201" s="2997" t="s">
        <v>3152</v>
      </c>
      <c r="L201" s="2997">
        <v>64000</v>
      </c>
      <c r="M201" s="2997">
        <v>689.65</v>
      </c>
      <c r="N201" s="2997">
        <v>2849</v>
      </c>
      <c r="O201" s="2997">
        <v>0</v>
      </c>
      <c r="P201" s="2997" t="s">
        <v>3914</v>
      </c>
    </row>
    <row r="202" spans="1:16" hidden="1">
      <c r="A202" s="2998" t="s">
        <v>4124</v>
      </c>
      <c r="B202" s="2998" t="s">
        <v>3101</v>
      </c>
      <c r="C202" s="2998" t="s">
        <v>3102</v>
      </c>
      <c r="D202" s="2998" t="s">
        <v>3111</v>
      </c>
      <c r="E202" s="2998">
        <v>15087</v>
      </c>
      <c r="F202" s="2998" t="s">
        <v>3155</v>
      </c>
      <c r="G202" s="2998">
        <v>112879</v>
      </c>
      <c r="H202" s="2998" t="s">
        <v>4125</v>
      </c>
      <c r="I202" s="2998" t="s">
        <v>4122</v>
      </c>
      <c r="J202" s="2998" t="s">
        <v>4126</v>
      </c>
      <c r="K202" s="2998" t="s">
        <v>4041</v>
      </c>
      <c r="L202" s="2998">
        <v>36688</v>
      </c>
      <c r="M202" s="2998">
        <v>216.68</v>
      </c>
      <c r="N202" s="2998">
        <v>1350.96</v>
      </c>
      <c r="O202" s="2998">
        <v>0</v>
      </c>
      <c r="P202" s="2998" t="s">
        <v>3914</v>
      </c>
    </row>
    <row r="203" spans="1:16" hidden="1">
      <c r="A203" s="2998" t="s">
        <v>4127</v>
      </c>
      <c r="B203" s="2998" t="s">
        <v>3101</v>
      </c>
      <c r="C203" s="2998" t="s">
        <v>3102</v>
      </c>
      <c r="D203" s="2998" t="s">
        <v>3111</v>
      </c>
      <c r="E203" s="2998">
        <v>15082</v>
      </c>
      <c r="F203" s="2998" t="s">
        <v>4128</v>
      </c>
      <c r="G203" s="2998">
        <v>120137</v>
      </c>
      <c r="H203" s="2998" t="s">
        <v>4129</v>
      </c>
      <c r="I203" s="2998" t="s">
        <v>4122</v>
      </c>
      <c r="J203" s="2998" t="s">
        <v>4130</v>
      </c>
      <c r="K203" s="2998" t="s">
        <v>3152</v>
      </c>
      <c r="L203" s="2998">
        <v>160592</v>
      </c>
      <c r="M203" s="2998">
        <v>891.16</v>
      </c>
      <c r="N203" s="2998">
        <v>3499.98</v>
      </c>
      <c r="O203" s="2998">
        <v>0</v>
      </c>
      <c r="P203" s="2998" t="s">
        <v>3914</v>
      </c>
    </row>
    <row r="204" spans="1:16" hidden="1">
      <c r="A204" s="2998" t="s">
        <v>4131</v>
      </c>
      <c r="B204" s="2998" t="s">
        <v>3101</v>
      </c>
      <c r="C204" s="2998" t="s">
        <v>3102</v>
      </c>
      <c r="D204" s="2998" t="s">
        <v>3111</v>
      </c>
      <c r="E204" s="2998">
        <v>15084</v>
      </c>
      <c r="F204" s="2998" t="s">
        <v>3155</v>
      </c>
      <c r="G204" s="2998">
        <v>112817</v>
      </c>
      <c r="H204" s="2998" t="s">
        <v>4132</v>
      </c>
      <c r="I204" s="2998" t="s">
        <v>4122</v>
      </c>
      <c r="J204" s="2998" t="s">
        <v>4133</v>
      </c>
      <c r="K204" s="2998" t="s">
        <v>4041</v>
      </c>
      <c r="L204" s="2998">
        <v>29569</v>
      </c>
      <c r="M204" s="2998">
        <v>174.73</v>
      </c>
      <c r="N204" s="2998">
        <v>1841.08</v>
      </c>
      <c r="O204" s="2998">
        <v>0</v>
      </c>
      <c r="P204" s="2998" t="s">
        <v>3914</v>
      </c>
    </row>
    <row r="205" spans="1:16" hidden="1">
      <c r="A205" s="2998" t="s">
        <v>4134</v>
      </c>
      <c r="B205" s="2998" t="s">
        <v>3101</v>
      </c>
      <c r="C205" s="2998" t="s">
        <v>3110</v>
      </c>
      <c r="D205" s="2998" t="s">
        <v>3111</v>
      </c>
      <c r="E205" s="2998">
        <v>15078</v>
      </c>
      <c r="F205" s="2998" t="s">
        <v>3112</v>
      </c>
      <c r="G205" s="2998">
        <v>54109</v>
      </c>
      <c r="H205" s="2998" t="s">
        <v>4098</v>
      </c>
      <c r="I205" s="2998" t="s">
        <v>4122</v>
      </c>
      <c r="J205" s="2998" t="s">
        <v>4135</v>
      </c>
      <c r="K205" s="2998" t="s">
        <v>4053</v>
      </c>
      <c r="L205" s="2998">
        <v>14772</v>
      </c>
      <c r="M205" s="2998">
        <v>182</v>
      </c>
      <c r="N205" s="2998">
        <v>1092</v>
      </c>
      <c r="O205" s="2998">
        <v>0</v>
      </c>
      <c r="P205" s="2998" t="s">
        <v>3161</v>
      </c>
    </row>
    <row r="206" spans="1:16" hidden="1">
      <c r="A206" s="2998" t="s">
        <v>4136</v>
      </c>
      <c r="B206" s="2998" t="s">
        <v>3101</v>
      </c>
      <c r="C206" s="2998" t="s">
        <v>3102</v>
      </c>
      <c r="D206" s="2998" t="s">
        <v>3111</v>
      </c>
      <c r="E206" s="2998">
        <v>15083</v>
      </c>
      <c r="F206" s="2998" t="s">
        <v>3155</v>
      </c>
      <c r="G206" s="2998">
        <v>18593</v>
      </c>
      <c r="H206" s="2998" t="s">
        <v>4137</v>
      </c>
      <c r="I206" s="2998" t="s">
        <v>4122</v>
      </c>
      <c r="J206" s="2998" t="s">
        <v>4138</v>
      </c>
      <c r="K206" s="2998" t="s">
        <v>4041</v>
      </c>
      <c r="L206" s="2998">
        <v>3180</v>
      </c>
      <c r="M206" s="2998">
        <v>114.02</v>
      </c>
      <c r="N206" s="2998">
        <v>1628.84</v>
      </c>
      <c r="O206" s="2998">
        <v>0</v>
      </c>
      <c r="P206" s="2998" t="s">
        <v>3914</v>
      </c>
    </row>
    <row r="207" spans="1:16" hidden="1">
      <c r="A207" s="2998" t="s">
        <v>4139</v>
      </c>
      <c r="B207" s="2998" t="s">
        <v>3101</v>
      </c>
      <c r="C207" s="2998" t="s">
        <v>3110</v>
      </c>
      <c r="D207" s="2998" t="s">
        <v>3111</v>
      </c>
      <c r="E207" s="2998">
        <v>15079</v>
      </c>
      <c r="F207" s="2998" t="s">
        <v>3112</v>
      </c>
      <c r="G207" s="2998">
        <v>32060</v>
      </c>
      <c r="H207" s="2998" t="s">
        <v>4140</v>
      </c>
      <c r="I207" s="2998" t="s">
        <v>4122</v>
      </c>
      <c r="J207" s="2998" t="s">
        <v>4141</v>
      </c>
      <c r="K207" s="2998" t="s">
        <v>4053</v>
      </c>
      <c r="L207" s="2998">
        <v>5996</v>
      </c>
      <c r="M207" s="2998">
        <v>124.68</v>
      </c>
      <c r="N207" s="2998">
        <v>1100.1400000000001</v>
      </c>
      <c r="O207" s="2998">
        <v>0</v>
      </c>
      <c r="P207" s="2998" t="s">
        <v>3161</v>
      </c>
    </row>
    <row r="208" spans="1:16" hidden="1">
      <c r="A208" s="2998" t="s">
        <v>4142</v>
      </c>
      <c r="B208" s="2998" t="s">
        <v>3101</v>
      </c>
      <c r="C208" s="2998" t="s">
        <v>3102</v>
      </c>
      <c r="D208" s="2998" t="s">
        <v>3111</v>
      </c>
      <c r="E208" s="2998">
        <v>15085</v>
      </c>
      <c r="F208" s="2998" t="s">
        <v>3155</v>
      </c>
      <c r="G208" s="2998">
        <v>135413</v>
      </c>
      <c r="H208" s="2998" t="s">
        <v>4098</v>
      </c>
      <c r="I208" s="2998" t="s">
        <v>4122</v>
      </c>
      <c r="J208" s="2998" t="s">
        <v>4143</v>
      </c>
      <c r="K208" s="2998" t="s">
        <v>4041</v>
      </c>
      <c r="L208" s="2998">
        <v>43796</v>
      </c>
      <c r="M208" s="2998">
        <v>215.62</v>
      </c>
      <c r="N208" s="2998">
        <v>1279.6600000000001</v>
      </c>
      <c r="O208" s="2998">
        <v>0</v>
      </c>
      <c r="P208" s="2998" t="s">
        <v>3914</v>
      </c>
    </row>
  </sheetData>
  <autoFilter ref="A1:P208">
    <filterColumn colId="5">
      <filters>
        <filter val="二类居住用地"/>
        <filter val="其他普通商品住房用地"/>
        <filter val="一类居住用地、二类居住用地"/>
      </filters>
    </filterColumn>
  </autoFilter>
  <phoneticPr fontId="143" type="noConversion"/>
  <hyperlinks>
    <hyperlink ref="Q32" r:id="rId1"/>
    <hyperlink ref="R32" r:id="rId2"/>
    <hyperlink ref="Q58" r:id="rId3"/>
    <hyperlink ref="Q70" r:id="rId4"/>
  </hyperlink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133"/>
  <sheetViews>
    <sheetView topLeftCell="A27" zoomScale="80" zoomScaleNormal="80" zoomScalePageLayoutView="80" workbookViewId="0">
      <selection activeCell="F57" sqref="F57:F58"/>
    </sheetView>
  </sheetViews>
  <sheetFormatPr defaultColWidth="8.875" defaultRowHeight="14.25"/>
  <cols>
    <col min="1" max="1" width="14.375" style="399" customWidth="1"/>
    <col min="2" max="2" width="15.625" style="399" customWidth="1"/>
    <col min="3" max="3" width="14.375" style="399" customWidth="1"/>
    <col min="4" max="4" width="14.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30" s="394" customFormat="1" ht="28.5" customHeight="1">
      <c r="A1" s="390" t="s">
        <v>2731</v>
      </c>
      <c r="B1" s="391"/>
      <c r="C1" s="392" t="s">
        <v>2732</v>
      </c>
      <c r="D1" s="751"/>
      <c r="E1" s="751"/>
      <c r="F1" s="750" t="s">
        <v>2519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1394</v>
      </c>
      <c r="B2" s="667">
        <f>F66</f>
        <v>134131</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3"/>
    </row>
    <row r="3" spans="1:30" s="394" customFormat="1" ht="28.5" customHeight="1" thickBot="1">
      <c r="A3" s="243" t="s">
        <v>1395</v>
      </c>
      <c r="B3" s="605">
        <f>ROUND(IF(D3="",B2*10000/'数据-汇总表'!E3,B2*10000/D3),0)</f>
        <v>3578</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7" t="s">
        <v>2522</v>
      </c>
      <c r="B4" s="398"/>
      <c r="C4" s="3369" t="s">
        <v>2523</v>
      </c>
      <c r="D4" s="3370"/>
      <c r="E4" s="3371" t="s">
        <v>2524</v>
      </c>
      <c r="F4" s="3372"/>
      <c r="G4" s="3369" t="s">
        <v>2525</v>
      </c>
      <c r="H4" s="3370"/>
      <c r="I4" s="3369" t="s">
        <v>2526</v>
      </c>
      <c r="J4" s="3370"/>
      <c r="K4" s="606" t="s">
        <v>2527</v>
      </c>
      <c r="L4" s="1123"/>
      <c r="M4" s="1124"/>
      <c r="N4" s="1124"/>
      <c r="O4" s="1124"/>
      <c r="P4" s="3373" t="s">
        <v>2528</v>
      </c>
      <c r="Q4" s="3374"/>
      <c r="R4" s="3356" t="s">
        <v>2524</v>
      </c>
      <c r="S4" s="3357"/>
      <c r="T4" s="3356" t="s">
        <v>2525</v>
      </c>
      <c r="U4" s="3357"/>
      <c r="V4" s="3381" t="s">
        <v>2526</v>
      </c>
      <c r="W4" s="3381"/>
      <c r="X4" s="2946"/>
      <c r="Y4" s="3356" t="s">
        <v>2528</v>
      </c>
      <c r="Z4" s="3357"/>
      <c r="AA4" s="3351" t="s">
        <v>2524</v>
      </c>
      <c r="AB4" s="3352" t="s">
        <v>2525</v>
      </c>
      <c r="AC4" s="3351" t="s">
        <v>2526</v>
      </c>
    </row>
    <row r="5" spans="1:30" ht="45.75" customHeight="1">
      <c r="A5" s="400"/>
      <c r="B5" s="401"/>
      <c r="C5" s="3362" t="s">
        <v>2529</v>
      </c>
      <c r="D5" s="3363"/>
      <c r="E5" s="3360" t="str">
        <f>'土地案例（商业）'!A8</f>
        <v>九龙坡区大杨石组团H分区H10-2/02号宗地</v>
      </c>
      <c r="F5" s="3361"/>
      <c r="G5" s="3362" t="str">
        <f>'土地案例（商业）'!A10</f>
        <v>两江新区人和组团M分区M9-2/02号宗地</v>
      </c>
      <c r="H5" s="3363"/>
      <c r="I5" s="3362" t="str">
        <f>'土地案例（商业）'!A17</f>
        <v>江北区大石坝组团L分区L10-12/02(部分)号宗地</v>
      </c>
      <c r="J5" s="3363"/>
      <c r="K5" s="606"/>
      <c r="L5" s="1123"/>
      <c r="M5" s="1124"/>
      <c r="N5" s="1124"/>
      <c r="O5" s="1124"/>
      <c r="P5" s="3375"/>
      <c r="Q5" s="3376"/>
      <c r="R5" s="3358"/>
      <c r="S5" s="3359"/>
      <c r="T5" s="3358"/>
      <c r="U5" s="3359"/>
      <c r="V5" s="3381"/>
      <c r="W5" s="3381"/>
      <c r="X5" s="2946"/>
      <c r="Y5" s="3358"/>
      <c r="Z5" s="3359"/>
      <c r="AA5" s="3352"/>
      <c r="AB5" s="3352"/>
      <c r="AC5" s="3352"/>
    </row>
    <row r="6" spans="1:30" ht="15.75" thickBot="1">
      <c r="A6" s="402"/>
      <c r="B6" s="403"/>
      <c r="C6" s="3364" t="s">
        <v>2533</v>
      </c>
      <c r="D6" s="3365"/>
      <c r="E6" s="3366">
        <f>'土地案例（商业）'!E8</f>
        <v>17147</v>
      </c>
      <c r="F6" s="3367"/>
      <c r="G6" s="3364">
        <f>'土地案例（商业）'!E10</f>
        <v>17101</v>
      </c>
      <c r="H6" s="3365"/>
      <c r="I6" s="3364">
        <f>'土地案例（商业）'!E17</f>
        <v>17042</v>
      </c>
      <c r="J6" s="3365"/>
      <c r="K6" s="606" t="s">
        <v>2534</v>
      </c>
      <c r="L6" s="1123"/>
      <c r="M6" s="1124"/>
      <c r="N6" s="1124"/>
      <c r="O6" s="1124"/>
      <c r="P6" s="3377"/>
      <c r="Q6" s="3378"/>
      <c r="R6" s="3358"/>
      <c r="S6" s="3359"/>
      <c r="T6" s="3379"/>
      <c r="U6" s="3380"/>
      <c r="V6" s="3381"/>
      <c r="W6" s="3381"/>
      <c r="X6" s="2946"/>
      <c r="Y6" s="3379"/>
      <c r="Z6" s="3380"/>
      <c r="AA6" s="3353"/>
      <c r="AB6" s="3353"/>
      <c r="AC6" s="3353"/>
    </row>
    <row r="7" spans="1:30" s="116" customFormat="1" ht="15.75" thickBot="1">
      <c r="A7" s="404" t="s">
        <v>2535</v>
      </c>
      <c r="B7" s="405"/>
      <c r="C7" s="406">
        <f>'数据-取费表'!B2</f>
        <v>43332</v>
      </c>
      <c r="D7" s="407">
        <v>100</v>
      </c>
      <c r="E7" s="408" t="str">
        <f>'土地案例（商业）'!I8</f>
        <v>2017-12-11</v>
      </c>
      <c r="F7" s="409">
        <f>SUMIF(70:70,YEAR(E7)&amp;"-"&amp;INT((MONTH(E7)+2)/3),71:71)</f>
        <v>98.5</v>
      </c>
      <c r="G7" s="2686" t="str">
        <f>'土地案例（商业）'!I10</f>
        <v>2017-08-17</v>
      </c>
      <c r="H7" s="407">
        <f>SUMIF(70:70,YEAR(G7)&amp;"-"&amp;INT((MONTH(G7)+2)/3),71:71)</f>
        <v>98</v>
      </c>
      <c r="I7" s="2686" t="str">
        <f>'土地案例（商业）'!I17</f>
        <v>2017-05-05</v>
      </c>
      <c r="J7" s="407">
        <f>SUMIF(70:70,YEAR(I7)&amp;"-"&amp;INT((MONTH(I7)+2)/3),71:71)</f>
        <v>97.5</v>
      </c>
      <c r="K7" s="607"/>
      <c r="L7" s="1125"/>
      <c r="M7" s="1126"/>
      <c r="N7" s="1126"/>
      <c r="O7" s="1126"/>
      <c r="P7" s="3354" t="s">
        <v>2536</v>
      </c>
      <c r="Q7" s="3382"/>
      <c r="R7" s="766" t="s">
        <v>17</v>
      </c>
      <c r="S7" s="767">
        <f t="shared" ref="S7:S15" si="0">F7</f>
        <v>98.5</v>
      </c>
      <c r="T7" s="766" t="s">
        <v>17</v>
      </c>
      <c r="U7" s="767">
        <f t="shared" ref="U7:U15" si="1">H7</f>
        <v>98</v>
      </c>
      <c r="V7" s="766" t="s">
        <v>17</v>
      </c>
      <c r="W7" s="767">
        <f t="shared" ref="W7:W15" si="2">J7</f>
        <v>97.5</v>
      </c>
      <c r="X7" s="768"/>
      <c r="Y7" s="3354" t="s">
        <v>2536</v>
      </c>
      <c r="Z7" s="3355"/>
      <c r="AA7" s="769">
        <f>D7/F7</f>
        <v>1.015228426395939</v>
      </c>
      <c r="AB7" s="769">
        <f>D7/H7</f>
        <v>1.0204081632653061</v>
      </c>
      <c r="AC7" s="769">
        <f>D7/J7</f>
        <v>1.0256410256410255</v>
      </c>
    </row>
    <row r="8" spans="1:30" s="116" customFormat="1" ht="15.75" thickBot="1">
      <c r="A8" s="404" t="s">
        <v>2537</v>
      </c>
      <c r="B8" s="405"/>
      <c r="C8" s="410" t="s">
        <v>2538</v>
      </c>
      <c r="D8" s="407">
        <v>100</v>
      </c>
      <c r="E8" s="410" t="s">
        <v>3189</v>
      </c>
      <c r="F8" s="409">
        <f>SUMIF(73:73,E8,74:74)-SUMIF(73:73,C8,74:74)+100</f>
        <v>100</v>
      </c>
      <c r="G8" s="410" t="s">
        <v>3189</v>
      </c>
      <c r="H8" s="407">
        <f>SUMIF(73:73,G8,74:74)-SUMIF(73:73,C8,74:74)+100</f>
        <v>100</v>
      </c>
      <c r="I8" s="410" t="s">
        <v>3189</v>
      </c>
      <c r="J8" s="407">
        <f>SUMIF(73:73,I8,74:74)-SUMIF(73:73,C8,74:74)+100</f>
        <v>100</v>
      </c>
      <c r="K8" s="607"/>
      <c r="L8" s="1125"/>
      <c r="M8" s="1126"/>
      <c r="N8" s="1126"/>
      <c r="O8" s="1126"/>
      <c r="P8" s="3354" t="s">
        <v>2539</v>
      </c>
      <c r="Q8" s="3355"/>
      <c r="R8" s="766" t="s">
        <v>17</v>
      </c>
      <c r="S8" s="767">
        <f t="shared" si="0"/>
        <v>100</v>
      </c>
      <c r="T8" s="766" t="s">
        <v>17</v>
      </c>
      <c r="U8" s="767">
        <f t="shared" si="1"/>
        <v>100</v>
      </c>
      <c r="V8" s="766" t="s">
        <v>17</v>
      </c>
      <c r="W8" s="767">
        <f t="shared" si="2"/>
        <v>100</v>
      </c>
      <c r="X8" s="768"/>
      <c r="Y8" s="3354" t="s">
        <v>2539</v>
      </c>
      <c r="Z8" s="3355"/>
      <c r="AA8" s="769">
        <f t="shared" ref="AA8:AA45" si="3">D8/F8</f>
        <v>1</v>
      </c>
      <c r="AB8" s="769">
        <f t="shared" ref="AB8:AB45" si="4">D8/H8</f>
        <v>1</v>
      </c>
      <c r="AC8" s="769">
        <f t="shared" ref="AC8:AC45" si="5">D8/J8</f>
        <v>1</v>
      </c>
    </row>
    <row r="9" spans="1:30" s="116" customFormat="1" ht="28.5">
      <c r="A9" s="411" t="s">
        <v>2540</v>
      </c>
      <c r="B9" s="71" t="s">
        <v>2541</v>
      </c>
      <c r="C9" s="2689" t="s">
        <v>1377</v>
      </c>
      <c r="D9" s="132">
        <v>100</v>
      </c>
      <c r="E9" s="2689" t="s">
        <v>3203</v>
      </c>
      <c r="F9" s="132">
        <f>SUMIF(75:75,E9,76:76)-SUMIF(75:75,C9,76:76)+100</f>
        <v>100</v>
      </c>
      <c r="G9" s="2689" t="s">
        <v>3271</v>
      </c>
      <c r="H9" s="132">
        <f>SUMIF(75:75,G9,76:76)-SUMIF(75:75,C9,76:76)+100</f>
        <v>100</v>
      </c>
      <c r="I9" s="2689" t="s">
        <v>3203</v>
      </c>
      <c r="J9" s="132">
        <f>SUMIF(75:75,I9,76:76)-SUMIF(75:75,C9,76:76)+100</f>
        <v>100</v>
      </c>
      <c r="K9" s="607"/>
      <c r="L9" s="1125"/>
      <c r="M9" s="1126"/>
      <c r="N9" s="1126"/>
      <c r="O9" s="1127"/>
      <c r="P9" s="3368" t="s">
        <v>2542</v>
      </c>
      <c r="Q9" s="2932" t="str">
        <f t="shared" ref="Q9:Q15" si="6">B9</f>
        <v>用途</v>
      </c>
      <c r="R9" s="766" t="s">
        <v>17</v>
      </c>
      <c r="S9" s="767">
        <f t="shared" si="0"/>
        <v>100</v>
      </c>
      <c r="T9" s="766" t="s">
        <v>17</v>
      </c>
      <c r="U9" s="767">
        <f t="shared" si="1"/>
        <v>100</v>
      </c>
      <c r="V9" s="766" t="s">
        <v>17</v>
      </c>
      <c r="W9" s="767">
        <f t="shared" si="2"/>
        <v>100</v>
      </c>
      <c r="X9" s="768"/>
      <c r="Y9" s="3224" t="s">
        <v>2543</v>
      </c>
      <c r="Z9" s="2933" t="str">
        <f t="shared" ref="Z9:Z15" si="7">Q9</f>
        <v>用途</v>
      </c>
      <c r="AA9" s="769">
        <f t="shared" si="3"/>
        <v>1</v>
      </c>
      <c r="AB9" s="769">
        <f t="shared" si="4"/>
        <v>1</v>
      </c>
      <c r="AC9" s="769">
        <f t="shared" si="5"/>
        <v>1</v>
      </c>
    </row>
    <row r="10" spans="1:30" s="423" customFormat="1" ht="27">
      <c r="A10" s="417"/>
      <c r="B10" s="2938" t="s">
        <v>2544</v>
      </c>
      <c r="C10" s="428">
        <f>项目基本情况!F16</f>
        <v>0</v>
      </c>
      <c r="D10" s="133">
        <v>100</v>
      </c>
      <c r="E10" s="2984" t="s">
        <v>3364</v>
      </c>
      <c r="F10" s="3031">
        <f>ROUND(100/'数据-取费表'!G6,0)</f>
        <v>107</v>
      </c>
      <c r="G10" s="2984" t="s">
        <v>3364</v>
      </c>
      <c r="H10" s="3031">
        <f>ROUND(100/'数据-取费表'!G6,0)</f>
        <v>107</v>
      </c>
      <c r="I10" s="2984" t="s">
        <v>3364</v>
      </c>
      <c r="J10" s="3031">
        <f>ROUND(100/'数据-取费表'!G6,0)</f>
        <v>107</v>
      </c>
      <c r="K10" s="668"/>
      <c r="L10" s="1128"/>
      <c r="M10" s="1129"/>
      <c r="N10" s="1129"/>
      <c r="O10" s="1130"/>
      <c r="P10" s="3368"/>
      <c r="Q10" s="2932" t="str">
        <f t="shared" si="6"/>
        <v>土地使用年限（年）</v>
      </c>
      <c r="R10" s="766" t="s">
        <v>17</v>
      </c>
      <c r="S10" s="767">
        <f t="shared" si="0"/>
        <v>107</v>
      </c>
      <c r="T10" s="766" t="s">
        <v>17</v>
      </c>
      <c r="U10" s="767">
        <f t="shared" si="1"/>
        <v>107</v>
      </c>
      <c r="V10" s="766" t="s">
        <v>17</v>
      </c>
      <c r="W10" s="767">
        <f t="shared" si="2"/>
        <v>107</v>
      </c>
      <c r="X10" s="768"/>
      <c r="Y10" s="3224"/>
      <c r="Z10" s="2933" t="str">
        <f t="shared" si="7"/>
        <v>土地使用年限（年）</v>
      </c>
      <c r="AA10" s="769">
        <f t="shared" si="3"/>
        <v>0.93457943925233644</v>
      </c>
      <c r="AB10" s="769">
        <f t="shared" si="4"/>
        <v>0.93457943925233644</v>
      </c>
      <c r="AC10" s="769">
        <f t="shared" si="5"/>
        <v>0.93457943925233644</v>
      </c>
    </row>
    <row r="11" spans="1:30" ht="15.75" thickBot="1">
      <c r="A11" s="424"/>
      <c r="B11" s="2938" t="s">
        <v>2545</v>
      </c>
      <c r="C11" s="425">
        <f>'数据-汇总表'!I6</f>
        <v>8.73</v>
      </c>
      <c r="D11" s="133">
        <v>100</v>
      </c>
      <c r="E11" s="425">
        <v>6</v>
      </c>
      <c r="F11" s="133">
        <f>LOOKUP(E11,80:80,81:81)-LOOKUP(C11,80:80,81:81)+100</f>
        <v>102</v>
      </c>
      <c r="G11" s="426">
        <v>4.5</v>
      </c>
      <c r="H11" s="133">
        <f>LOOKUP(G11,80:80,81:81)-LOOKUP(C11,80:80,81:81)+100</f>
        <v>104</v>
      </c>
      <c r="I11" s="425">
        <v>4.5</v>
      </c>
      <c r="J11" s="133">
        <f>LOOKUP(I11,80:80,81:81)-LOOKUP(C11,80:80,81:81)+100</f>
        <v>104</v>
      </c>
      <c r="K11" s="669">
        <f>'土地比较法-住宅'!K11</f>
        <v>2</v>
      </c>
      <c r="L11" s="1131"/>
      <c r="M11" s="1124"/>
      <c r="N11" s="1124"/>
      <c r="O11" s="1132"/>
      <c r="P11" s="3368"/>
      <c r="Q11" s="2932" t="str">
        <f t="shared" si="6"/>
        <v>容积率</v>
      </c>
      <c r="R11" s="766" t="s">
        <v>17</v>
      </c>
      <c r="S11" s="767">
        <f t="shared" si="0"/>
        <v>102</v>
      </c>
      <c r="T11" s="766" t="s">
        <v>17</v>
      </c>
      <c r="U11" s="767">
        <f t="shared" si="1"/>
        <v>104</v>
      </c>
      <c r="V11" s="766" t="s">
        <v>17</v>
      </c>
      <c r="W11" s="767">
        <f t="shared" si="2"/>
        <v>104</v>
      </c>
      <c r="X11" s="768"/>
      <c r="Y11" s="3224"/>
      <c r="Z11" s="2933" t="str">
        <f t="shared" si="7"/>
        <v>容积率</v>
      </c>
      <c r="AA11" s="769">
        <f t="shared" si="3"/>
        <v>0.98039215686274506</v>
      </c>
      <c r="AB11" s="769">
        <f t="shared" si="4"/>
        <v>0.96153846153846156</v>
      </c>
      <c r="AC11" s="769">
        <f t="shared" si="5"/>
        <v>0.96153846153846156</v>
      </c>
    </row>
    <row r="12" spans="1:30" s="116" customFormat="1" ht="15.75" hidden="1" thickBot="1">
      <c r="A12" s="427"/>
      <c r="B12" s="2590"/>
      <c r="C12" s="428"/>
      <c r="D12" s="429">
        <v>100</v>
      </c>
      <c r="E12" s="461"/>
      <c r="F12" s="133">
        <f>SUMIF(82:82,E12,83:83)-SUMIF(82:82,C12,83:83)+100</f>
        <v>100</v>
      </c>
      <c r="G12" s="459"/>
      <c r="H12" s="133">
        <f>SUMIF(82:82,G12,83:83)-SUMIF(82:82,C12,83:83)+100</f>
        <v>100</v>
      </c>
      <c r="I12" s="461"/>
      <c r="J12" s="133">
        <f>SUMIF(82:82,I12,83:83)-SUMIF(82:82,C12,83:83)+100</f>
        <v>100</v>
      </c>
      <c r="K12" s="668"/>
      <c r="L12" s="1125"/>
      <c r="M12" s="1126"/>
      <c r="N12" s="1126"/>
      <c r="O12" s="1127"/>
      <c r="P12" s="3368"/>
      <c r="Q12" s="2932">
        <f t="shared" si="6"/>
        <v>0</v>
      </c>
      <c r="R12" s="766" t="s">
        <v>17</v>
      </c>
      <c r="S12" s="767">
        <f t="shared" si="0"/>
        <v>100</v>
      </c>
      <c r="T12" s="766" t="s">
        <v>17</v>
      </c>
      <c r="U12" s="767">
        <f t="shared" si="1"/>
        <v>100</v>
      </c>
      <c r="V12" s="766" t="s">
        <v>17</v>
      </c>
      <c r="W12" s="767">
        <f t="shared" si="2"/>
        <v>100</v>
      </c>
      <c r="X12" s="768"/>
      <c r="Y12" s="3224"/>
      <c r="Z12" s="2933">
        <f t="shared" si="7"/>
        <v>0</v>
      </c>
      <c r="AA12" s="769">
        <f>D12/F12</f>
        <v>1</v>
      </c>
      <c r="AB12" s="769">
        <f>D12/H12</f>
        <v>1</v>
      </c>
      <c r="AC12" s="769">
        <f>D12/J12</f>
        <v>1</v>
      </c>
    </row>
    <row r="13" spans="1:30" ht="15.75" hidden="1" thickBot="1">
      <c r="A13" s="424"/>
      <c r="B13" s="2590"/>
      <c r="C13" s="430"/>
      <c r="D13" s="431">
        <v>100</v>
      </c>
      <c r="E13" s="545"/>
      <c r="F13" s="133">
        <f>SUMIF(84:84,E13,85:85)-SUMIF(84:84,C13,85:85)+100</f>
        <v>100</v>
      </c>
      <c r="G13" s="670"/>
      <c r="H13" s="431">
        <f>SUMIF(84:84,G13,85:85)-SUMIF(84:84,C13,85:85)+100</f>
        <v>100</v>
      </c>
      <c r="I13" s="670"/>
      <c r="J13" s="431">
        <f>SUMIF(84:84,I13,85:85)-SUMIF(84:84,C13,85:85)+100</f>
        <v>100</v>
      </c>
      <c r="K13" s="668"/>
      <c r="L13" s="1133"/>
      <c r="M13" s="1124"/>
      <c r="N13" s="1124"/>
      <c r="O13" s="1132"/>
      <c r="P13" s="3368"/>
      <c r="Q13" s="2932">
        <f t="shared" si="6"/>
        <v>0</v>
      </c>
      <c r="R13" s="766" t="s">
        <v>17</v>
      </c>
      <c r="S13" s="767">
        <f t="shared" si="0"/>
        <v>100</v>
      </c>
      <c r="T13" s="766" t="s">
        <v>17</v>
      </c>
      <c r="U13" s="767">
        <f t="shared" si="1"/>
        <v>100</v>
      </c>
      <c r="V13" s="766" t="s">
        <v>17</v>
      </c>
      <c r="W13" s="767">
        <f t="shared" si="2"/>
        <v>100</v>
      </c>
      <c r="X13" s="768"/>
      <c r="Y13" s="3224"/>
      <c r="Z13" s="2933">
        <f t="shared" si="7"/>
        <v>0</v>
      </c>
      <c r="AA13" s="769">
        <f>D13/F13</f>
        <v>1</v>
      </c>
      <c r="AB13" s="769">
        <f>D13/H13</f>
        <v>1</v>
      </c>
      <c r="AC13" s="769">
        <f>D13/J13</f>
        <v>1</v>
      </c>
    </row>
    <row r="14" spans="1:30" ht="15.75" hidden="1" thickBot="1">
      <c r="A14" s="432"/>
      <c r="B14" s="2592"/>
      <c r="C14" s="433"/>
      <c r="D14" s="434">
        <v>100</v>
      </c>
      <c r="E14" s="545"/>
      <c r="F14" s="434">
        <f>SUMIF(86:86,E14,87:87)-SUMIF(86:86,C14,87:87)+100</f>
        <v>100</v>
      </c>
      <c r="G14" s="670"/>
      <c r="H14" s="434">
        <f>SUMIF(86:86,G14,87:87)-SUMIF(86:86,C14,87:87)+100</f>
        <v>100</v>
      </c>
      <c r="I14" s="670"/>
      <c r="J14" s="434">
        <f>SUMIF(86:86,I14,87:87)-SUMIF(86:86,C14,87:87)+100</f>
        <v>100</v>
      </c>
      <c r="K14" s="668"/>
      <c r="L14" s="1133"/>
      <c r="M14" s="1124"/>
      <c r="N14" s="1124"/>
      <c r="O14" s="1132"/>
      <c r="P14" s="3368"/>
      <c r="Q14" s="2932">
        <f t="shared" si="6"/>
        <v>0</v>
      </c>
      <c r="R14" s="766" t="s">
        <v>17</v>
      </c>
      <c r="S14" s="767">
        <f t="shared" si="0"/>
        <v>100</v>
      </c>
      <c r="T14" s="766" t="s">
        <v>17</v>
      </c>
      <c r="U14" s="767">
        <f t="shared" si="1"/>
        <v>100</v>
      </c>
      <c r="V14" s="766" t="s">
        <v>17</v>
      </c>
      <c r="W14" s="767">
        <f t="shared" si="2"/>
        <v>100</v>
      </c>
      <c r="X14" s="768"/>
      <c r="Y14" s="3224"/>
      <c r="Z14" s="2933">
        <f t="shared" si="7"/>
        <v>0</v>
      </c>
      <c r="AA14" s="769">
        <f>D14/F14</f>
        <v>1</v>
      </c>
      <c r="AB14" s="769">
        <f>D14/H14</f>
        <v>1</v>
      </c>
      <c r="AC14" s="769">
        <f>D14/J14</f>
        <v>1</v>
      </c>
    </row>
    <row r="15" spans="1:30" ht="57">
      <c r="A15" s="436" t="s">
        <v>2546</v>
      </c>
      <c r="B15" s="69" t="s">
        <v>2084</v>
      </c>
      <c r="C15" s="2593" t="str">
        <f>估价对象房地状况!C15</f>
        <v>周边居住用地比例、居住小区规模和社区发展完善程度</v>
      </c>
      <c r="D15" s="437">
        <v>100</v>
      </c>
      <c r="E15" s="438"/>
      <c r="F15" s="437">
        <f>SUMIF(88:88,E16,89:89)-SUMIF(88:88,C16,89:89)+100</f>
        <v>100</v>
      </c>
      <c r="G15" s="438"/>
      <c r="H15" s="437">
        <f>SUMIF(88:88,G16,89:89)-SUMIF(88:88,C16,89:89)+100</f>
        <v>100</v>
      </c>
      <c r="I15" s="440"/>
      <c r="J15" s="437">
        <f>SUMIF(88:88,I16,89:89)-SUMIF(88:88,C16,89:89)+100</f>
        <v>100</v>
      </c>
      <c r="K15" s="669"/>
      <c r="L15" s="1133"/>
      <c r="M15" s="1124"/>
      <c r="N15" s="1124"/>
      <c r="O15" s="1132"/>
      <c r="P15" s="3383" t="s">
        <v>2547</v>
      </c>
      <c r="Q15" s="2944" t="str">
        <f t="shared" si="6"/>
        <v>居住社区成熟度</v>
      </c>
      <c r="R15" s="770" t="s">
        <v>17</v>
      </c>
      <c r="S15" s="771">
        <f t="shared" si="0"/>
        <v>100</v>
      </c>
      <c r="T15" s="770" t="s">
        <v>17</v>
      </c>
      <c r="U15" s="771">
        <f t="shared" si="1"/>
        <v>100</v>
      </c>
      <c r="V15" s="770" t="s">
        <v>17</v>
      </c>
      <c r="W15" s="771">
        <f t="shared" si="2"/>
        <v>100</v>
      </c>
      <c r="X15" s="2946"/>
      <c r="Y15" s="3383" t="s">
        <v>2547</v>
      </c>
      <c r="Z15" s="2947" t="str">
        <f t="shared" si="7"/>
        <v>居住社区成熟度</v>
      </c>
      <c r="AA15" s="2945">
        <f t="shared" si="3"/>
        <v>1</v>
      </c>
      <c r="AB15" s="2945">
        <f t="shared" si="4"/>
        <v>1</v>
      </c>
      <c r="AC15" s="2945">
        <f t="shared" si="5"/>
        <v>1</v>
      </c>
    </row>
    <row r="16" spans="1:30" ht="15">
      <c r="A16" s="424"/>
      <c r="B16" s="442"/>
      <c r="C16" s="443"/>
      <c r="D16" s="444"/>
      <c r="E16" s="2595"/>
      <c r="F16" s="444"/>
      <c r="G16" s="2595"/>
      <c r="H16" s="446"/>
      <c r="I16" s="2594"/>
      <c r="J16" s="444"/>
      <c r="K16" s="668"/>
      <c r="L16" s="1133"/>
      <c r="M16" s="1124"/>
      <c r="N16" s="1124"/>
      <c r="O16" s="1132"/>
      <c r="P16" s="3384"/>
      <c r="Q16" s="2944"/>
      <c r="R16" s="770"/>
      <c r="S16" s="771"/>
      <c r="T16" s="770"/>
      <c r="U16" s="771"/>
      <c r="V16" s="770"/>
      <c r="W16" s="771"/>
      <c r="X16" s="2946"/>
      <c r="Y16" s="3384"/>
      <c r="Z16" s="2947"/>
      <c r="AA16" s="2945">
        <v>1</v>
      </c>
      <c r="AB16" s="2945">
        <v>1</v>
      </c>
      <c r="AC16" s="2945">
        <v>1</v>
      </c>
    </row>
    <row r="17" spans="1:29" ht="28.5">
      <c r="A17" s="424"/>
      <c r="B17" s="447" t="s">
        <v>2640</v>
      </c>
      <c r="C17" s="2654" t="str">
        <f>估价对象房地状况!C16</f>
        <v>XX商圈，周边商业氛围，人流量</v>
      </c>
      <c r="D17" s="446">
        <v>100</v>
      </c>
      <c r="E17" s="448"/>
      <c r="F17" s="446">
        <f>SUMIF(90:90,E18,91:91)-SUMIF(90:90,C18,91:91)+100</f>
        <v>90</v>
      </c>
      <c r="G17" s="448"/>
      <c r="H17" s="451">
        <f>SUMIF(90:90,G18,91:91)-SUMIF(90:90,C18,91:91)+100</f>
        <v>90</v>
      </c>
      <c r="I17" s="450"/>
      <c r="J17" s="451">
        <f>SUMIF(90:90,I18,91:91)-SUMIF(90:90,C18,91:91)+100</f>
        <v>90</v>
      </c>
      <c r="K17" s="669">
        <v>5</v>
      </c>
      <c r="L17" s="1133"/>
      <c r="M17" s="1124"/>
      <c r="N17" s="1124"/>
      <c r="O17" s="1132"/>
      <c r="P17" s="3384"/>
      <c r="Q17" s="2944" t="str">
        <f>B17</f>
        <v>商业繁华度</v>
      </c>
      <c r="R17" s="770" t="s">
        <v>17</v>
      </c>
      <c r="S17" s="771">
        <f>F17</f>
        <v>90</v>
      </c>
      <c r="T17" s="770" t="s">
        <v>17</v>
      </c>
      <c r="U17" s="771">
        <f>H17</f>
        <v>90</v>
      </c>
      <c r="V17" s="770" t="s">
        <v>17</v>
      </c>
      <c r="W17" s="771">
        <f>J17</f>
        <v>90</v>
      </c>
      <c r="X17" s="2946"/>
      <c r="Y17" s="3384"/>
      <c r="Z17" s="2947" t="str">
        <f>Q17</f>
        <v>商业繁华度</v>
      </c>
      <c r="AA17" s="2945">
        <f t="shared" si="3"/>
        <v>1.1111111111111112</v>
      </c>
      <c r="AB17" s="2945">
        <f t="shared" si="4"/>
        <v>1.1111111111111112</v>
      </c>
      <c r="AC17" s="2945">
        <f t="shared" si="5"/>
        <v>1.1111111111111112</v>
      </c>
    </row>
    <row r="18" spans="1:29" ht="15">
      <c r="A18" s="424"/>
      <c r="B18" s="452"/>
      <c r="C18" s="2598" t="s">
        <v>3191</v>
      </c>
      <c r="D18" s="446"/>
      <c r="E18" s="2600" t="s">
        <v>3190</v>
      </c>
      <c r="F18" s="446"/>
      <c r="G18" s="2600" t="s">
        <v>3190</v>
      </c>
      <c r="H18" s="444"/>
      <c r="I18" s="3157" t="s">
        <v>4494</v>
      </c>
      <c r="J18" s="444"/>
      <c r="K18" s="668"/>
      <c r="L18" s="1133"/>
      <c r="M18" s="1124"/>
      <c r="N18" s="1124"/>
      <c r="O18" s="1132"/>
      <c r="P18" s="3384"/>
      <c r="Q18" s="2944"/>
      <c r="R18" s="770"/>
      <c r="S18" s="771"/>
      <c r="T18" s="770"/>
      <c r="U18" s="771"/>
      <c r="V18" s="770"/>
      <c r="W18" s="771"/>
      <c r="X18" s="2946"/>
      <c r="Y18" s="3384"/>
      <c r="Z18" s="2947"/>
      <c r="AA18" s="2945">
        <v>1</v>
      </c>
      <c r="AB18" s="2945">
        <v>1</v>
      </c>
      <c r="AC18" s="2945">
        <v>1</v>
      </c>
    </row>
    <row r="19" spans="1:29" ht="42.75">
      <c r="A19" s="424"/>
      <c r="B19" s="447" t="s">
        <v>2674</v>
      </c>
      <c r="C19" s="2654" t="str">
        <f>估价对象房地状况!C17</f>
        <v>XX商圈，周边办公楼项目，入驻率</v>
      </c>
      <c r="D19" s="451">
        <v>100</v>
      </c>
      <c r="E19" s="453"/>
      <c r="F19" s="451">
        <f>SUMIF(92:92,E20,93:93)-SUMIF(92:92,C20,93:93)+100</f>
        <v>94</v>
      </c>
      <c r="G19" s="453"/>
      <c r="H19" s="446">
        <f>SUMIF(92:92,G20,93:93)-SUMIF(92:92,C20,93:93)+100</f>
        <v>94</v>
      </c>
      <c r="I19" s="455"/>
      <c r="J19" s="446">
        <f>SUMIF(92:92,I20,93:93)-SUMIF(92:92,C20,93:93)+100</f>
        <v>94</v>
      </c>
      <c r="K19" s="669">
        <v>3</v>
      </c>
      <c r="L19" s="1133"/>
      <c r="M19" s="1124"/>
      <c r="N19" s="1124"/>
      <c r="O19" s="1132"/>
      <c r="P19" s="3384"/>
      <c r="Q19" s="2944" t="str">
        <f>B19</f>
        <v>办公集聚程度</v>
      </c>
      <c r="R19" s="770" t="s">
        <v>17</v>
      </c>
      <c r="S19" s="771">
        <f>F19</f>
        <v>94</v>
      </c>
      <c r="T19" s="770" t="s">
        <v>17</v>
      </c>
      <c r="U19" s="771">
        <f>H19</f>
        <v>94</v>
      </c>
      <c r="V19" s="770" t="s">
        <v>17</v>
      </c>
      <c r="W19" s="771">
        <f>J19</f>
        <v>94</v>
      </c>
      <c r="X19" s="2946"/>
      <c r="Y19" s="3384"/>
      <c r="Z19" s="2947" t="str">
        <f>Q19</f>
        <v>办公集聚程度</v>
      </c>
      <c r="AA19" s="2945">
        <f t="shared" si="3"/>
        <v>1.0638297872340425</v>
      </c>
      <c r="AB19" s="2945">
        <f t="shared" si="4"/>
        <v>1.0638297872340425</v>
      </c>
      <c r="AC19" s="2945">
        <f t="shared" si="5"/>
        <v>1.0638297872340425</v>
      </c>
    </row>
    <row r="20" spans="1:29" ht="15">
      <c r="A20" s="424"/>
      <c r="B20" s="452"/>
      <c r="C20" s="443" t="s">
        <v>3191</v>
      </c>
      <c r="D20" s="444"/>
      <c r="E20" s="2595" t="s">
        <v>3190</v>
      </c>
      <c r="F20" s="444"/>
      <c r="G20" s="2595" t="s">
        <v>3190</v>
      </c>
      <c r="H20" s="444"/>
      <c r="I20" s="3156" t="s">
        <v>3190</v>
      </c>
      <c r="J20" s="444"/>
      <c r="K20" s="668"/>
      <c r="L20" s="1133"/>
      <c r="M20" s="1124"/>
      <c r="N20" s="1124"/>
      <c r="O20" s="1132"/>
      <c r="P20" s="3384"/>
      <c r="Q20" s="2944"/>
      <c r="R20" s="770"/>
      <c r="S20" s="771"/>
      <c r="T20" s="770"/>
      <c r="U20" s="771"/>
      <c r="V20" s="770"/>
      <c r="W20" s="771"/>
      <c r="X20" s="2946"/>
      <c r="Y20" s="3384"/>
      <c r="Z20" s="2947"/>
      <c r="AA20" s="2945">
        <v>1</v>
      </c>
      <c r="AB20" s="2945">
        <v>1</v>
      </c>
      <c r="AC20" s="2945">
        <v>1</v>
      </c>
    </row>
    <row r="21" spans="1:29" ht="71.25">
      <c r="A21" s="424"/>
      <c r="B21" s="447" t="s">
        <v>2696</v>
      </c>
      <c r="C21" s="2597" t="str">
        <f>估价对象房地状况!C18</f>
        <v>周边道路状况、公共交通通达情况、停车便捷程度（地铁三号线观音桥</v>
      </c>
      <c r="D21" s="446">
        <v>100</v>
      </c>
      <c r="E21" s="2988" t="s">
        <v>4212</v>
      </c>
      <c r="F21" s="451">
        <f>SUMIF(94:94,E22,95:95)-SUMIF(94:94,C22,95:95)+100</f>
        <v>90</v>
      </c>
      <c r="G21" s="448"/>
      <c r="H21" s="446">
        <f>SUMIF(94:94,G22,95:95)-SUMIF(94:94,C22,95:95)+100</f>
        <v>90</v>
      </c>
      <c r="I21" s="450" t="s">
        <v>4211</v>
      </c>
      <c r="J21" s="446">
        <f>SUMIF(94:94,I22,95:95)-SUMIF(94:94,C22,95:95)+100</f>
        <v>90</v>
      </c>
      <c r="K21" s="669">
        <v>5</v>
      </c>
      <c r="L21" s="1133"/>
      <c r="M21" s="1124"/>
      <c r="N21" s="1124"/>
      <c r="O21" s="1132"/>
      <c r="P21" s="3384"/>
      <c r="Q21" s="2944" t="str">
        <f>B21</f>
        <v>交通便捷度</v>
      </c>
      <c r="R21" s="770" t="s">
        <v>17</v>
      </c>
      <c r="S21" s="771">
        <f>F21</f>
        <v>90</v>
      </c>
      <c r="T21" s="770" t="s">
        <v>17</v>
      </c>
      <c r="U21" s="771">
        <f>H21</f>
        <v>90</v>
      </c>
      <c r="V21" s="770" t="s">
        <v>17</v>
      </c>
      <c r="W21" s="771">
        <f>J21</f>
        <v>90</v>
      </c>
      <c r="X21" s="2946"/>
      <c r="Y21" s="3384"/>
      <c r="Z21" s="2947" t="str">
        <f>Q21</f>
        <v>交通便捷度</v>
      </c>
      <c r="AA21" s="2945">
        <f t="shared" si="3"/>
        <v>1.1111111111111112</v>
      </c>
      <c r="AB21" s="2945">
        <f t="shared" si="4"/>
        <v>1.1111111111111112</v>
      </c>
      <c r="AC21" s="2945">
        <f t="shared" si="5"/>
        <v>1.1111111111111112</v>
      </c>
    </row>
    <row r="22" spans="1:29" ht="15">
      <c r="A22" s="424"/>
      <c r="B22" s="1377"/>
      <c r="C22" s="443" t="s">
        <v>3191</v>
      </c>
      <c r="D22" s="446"/>
      <c r="E22" s="3012" t="s">
        <v>3190</v>
      </c>
      <c r="F22" s="444"/>
      <c r="G22" s="3012" t="s">
        <v>3190</v>
      </c>
      <c r="H22" s="444"/>
      <c r="I22" s="3013" t="s">
        <v>3190</v>
      </c>
      <c r="J22" s="444"/>
      <c r="K22" s="668"/>
      <c r="L22" s="1133"/>
      <c r="M22" s="1124"/>
      <c r="N22" s="1124"/>
      <c r="O22" s="1132"/>
      <c r="P22" s="3384"/>
      <c r="Q22" s="2944"/>
      <c r="R22" s="770"/>
      <c r="S22" s="771"/>
      <c r="T22" s="770"/>
      <c r="U22" s="771"/>
      <c r="V22" s="770"/>
      <c r="W22" s="771"/>
      <c r="X22" s="2946"/>
      <c r="Y22" s="3384"/>
      <c r="Z22" s="2947"/>
      <c r="AA22" s="2945">
        <v>1</v>
      </c>
      <c r="AB22" s="2945">
        <v>1</v>
      </c>
      <c r="AC22" s="2945">
        <v>1</v>
      </c>
    </row>
    <row r="23" spans="1:29" ht="15">
      <c r="A23" s="400"/>
      <c r="B23" s="447" t="s">
        <v>2734</v>
      </c>
      <c r="C23" s="1382">
        <f>估价对象房地状况!C19</f>
        <v>0</v>
      </c>
      <c r="D23" s="451">
        <v>100</v>
      </c>
      <c r="E23" s="448"/>
      <c r="F23" s="451">
        <f>SUMIF(96:96,E24,97:97)-SUMIF(96:96,C24,97:97)+100</f>
        <v>100</v>
      </c>
      <c r="G23" s="448"/>
      <c r="H23" s="451">
        <f>SUMIF(96:96,G24,97:97)-SUMIF(96:96,C24,97:97)+100</f>
        <v>100</v>
      </c>
      <c r="I23" s="450"/>
      <c r="J23" s="451">
        <f>SUMIF(96:96,I24,97:97)-SUMIF(96:96,C24,97:97)+100</f>
        <v>100</v>
      </c>
      <c r="K23" s="669">
        <v>5</v>
      </c>
      <c r="L23" s="1133"/>
      <c r="M23" s="1124"/>
      <c r="N23" s="1124"/>
      <c r="O23" s="1132"/>
      <c r="P23" s="3384"/>
      <c r="Q23" s="2944" t="str">
        <f t="shared" ref="Q23:Q37" si="8">B23</f>
        <v>区域土地利用方向</v>
      </c>
      <c r="R23" s="770" t="s">
        <v>17</v>
      </c>
      <c r="S23" s="771">
        <f>F23</f>
        <v>100</v>
      </c>
      <c r="T23" s="770" t="s">
        <v>17</v>
      </c>
      <c r="U23" s="771">
        <f>H23</f>
        <v>100</v>
      </c>
      <c r="V23" s="770" t="s">
        <v>17</v>
      </c>
      <c r="W23" s="771">
        <f>J23</f>
        <v>100</v>
      </c>
      <c r="X23" s="2946"/>
      <c r="Y23" s="3384"/>
      <c r="Z23" s="2947" t="str">
        <f>Q23</f>
        <v>区域土地利用方向</v>
      </c>
      <c r="AA23" s="2945">
        <f t="shared" si="3"/>
        <v>1</v>
      </c>
      <c r="AB23" s="2945">
        <f t="shared" si="4"/>
        <v>1</v>
      </c>
      <c r="AC23" s="2945">
        <f t="shared" si="5"/>
        <v>1</v>
      </c>
    </row>
    <row r="24" spans="1:29" ht="15">
      <c r="A24" s="400"/>
      <c r="B24" s="452"/>
      <c r="C24" s="612" t="s">
        <v>3174</v>
      </c>
      <c r="D24" s="444"/>
      <c r="E24" s="612" t="s">
        <v>3174</v>
      </c>
      <c r="F24" s="444"/>
      <c r="G24" s="612" t="s">
        <v>3174</v>
      </c>
      <c r="H24" s="444"/>
      <c r="I24" s="612" t="s">
        <v>3174</v>
      </c>
      <c r="J24" s="444"/>
      <c r="K24" s="802"/>
      <c r="L24" s="1133"/>
      <c r="M24" s="1124"/>
      <c r="N24" s="1124"/>
      <c r="O24" s="1132"/>
      <c r="P24" s="3384"/>
      <c r="Q24" s="2944"/>
      <c r="R24" s="770"/>
      <c r="S24" s="771"/>
      <c r="T24" s="770"/>
      <c r="U24" s="771"/>
      <c r="V24" s="770"/>
      <c r="W24" s="771"/>
      <c r="X24" s="2946"/>
      <c r="Y24" s="3384"/>
      <c r="Z24" s="2947"/>
      <c r="AA24" s="2945"/>
      <c r="AB24" s="2945"/>
      <c r="AC24" s="2945"/>
    </row>
    <row r="25" spans="1:29" ht="27">
      <c r="A25" s="400"/>
      <c r="B25" s="1377" t="s">
        <v>2735</v>
      </c>
      <c r="C25" s="2654">
        <f>估价对象房地状况!C20</f>
        <v>0</v>
      </c>
      <c r="D25" s="446">
        <v>100</v>
      </c>
      <c r="E25" s="448"/>
      <c r="F25" s="446">
        <f>SUMIF(98:98,E26,99:99)-SUMIF(98:98,C26,99:99)+100</f>
        <v>100</v>
      </c>
      <c r="G25" s="448"/>
      <c r="H25" s="446">
        <f>SUMIF(98:98,G26,99:99)-SUMIF(98:98,C26,99:99)+100</f>
        <v>100</v>
      </c>
      <c r="I25" s="450"/>
      <c r="J25" s="446">
        <f>SUMIF(98:98,I26,99:99)-SUMIF(98:98,C26,99:99)+100</f>
        <v>100</v>
      </c>
      <c r="K25" s="669">
        <v>5</v>
      </c>
      <c r="L25" s="1133"/>
      <c r="M25" s="1124"/>
      <c r="N25" s="1124"/>
      <c r="O25" s="1132"/>
      <c r="P25" s="3384"/>
      <c r="Q25" s="2944" t="str">
        <f t="shared" si="8"/>
        <v>自然及人文环境状况</v>
      </c>
      <c r="R25" s="770" t="s">
        <v>17</v>
      </c>
      <c r="S25" s="771">
        <f>F25</f>
        <v>100</v>
      </c>
      <c r="T25" s="770" t="s">
        <v>17</v>
      </c>
      <c r="U25" s="771">
        <f>H25</f>
        <v>100</v>
      </c>
      <c r="V25" s="770" t="s">
        <v>17</v>
      </c>
      <c r="W25" s="771">
        <f>J25</f>
        <v>100</v>
      </c>
      <c r="X25" s="2946"/>
      <c r="Y25" s="3384"/>
      <c r="Z25" s="2947" t="str">
        <f>Q25</f>
        <v>自然及人文环境状况</v>
      </c>
      <c r="AA25" s="2945">
        <f t="shared" si="3"/>
        <v>1</v>
      </c>
      <c r="AB25" s="2945">
        <f t="shared" si="4"/>
        <v>1</v>
      </c>
      <c r="AC25" s="2945">
        <f t="shared" si="5"/>
        <v>1</v>
      </c>
    </row>
    <row r="26" spans="1:29" ht="15">
      <c r="A26" s="400"/>
      <c r="B26" s="452"/>
      <c r="C26" s="443" t="s">
        <v>3174</v>
      </c>
      <c r="D26" s="444"/>
      <c r="E26" s="2601" t="s">
        <v>3174</v>
      </c>
      <c r="F26" s="444"/>
      <c r="G26" s="2601" t="s">
        <v>3174</v>
      </c>
      <c r="H26" s="444"/>
      <c r="I26" s="2601" t="s">
        <v>3174</v>
      </c>
      <c r="J26" s="444"/>
      <c r="K26" s="668"/>
      <c r="L26" s="1133"/>
      <c r="M26" s="1124"/>
      <c r="N26" s="1124"/>
      <c r="O26" s="1132"/>
      <c r="P26" s="3384"/>
      <c r="Q26" s="2944"/>
      <c r="R26" s="770"/>
      <c r="S26" s="771"/>
      <c r="T26" s="770"/>
      <c r="U26" s="771"/>
      <c r="V26" s="770"/>
      <c r="W26" s="771"/>
      <c r="X26" s="2946"/>
      <c r="Y26" s="3384"/>
      <c r="Z26" s="2947"/>
      <c r="AA26" s="2945">
        <v>1</v>
      </c>
      <c r="AB26" s="2945">
        <v>1</v>
      </c>
      <c r="AC26" s="2945">
        <v>1</v>
      </c>
    </row>
    <row r="27" spans="1:29" s="116" customFormat="1" ht="15">
      <c r="A27" s="645"/>
      <c r="B27" s="1377" t="s">
        <v>2641</v>
      </c>
      <c r="C27" s="2597">
        <f>估价对象房地状况!C21</f>
        <v>0</v>
      </c>
      <c r="D27" s="446">
        <v>100</v>
      </c>
      <c r="E27" s="448"/>
      <c r="F27" s="446">
        <f>SUMIF(100:100,E28,101:101)-SUMIF(100:100,C28,101:101)+100</f>
        <v>95</v>
      </c>
      <c r="G27" s="448"/>
      <c r="H27" s="446">
        <f>SUMIF(100:100,G28,101:101)-SUMIF(100:100,C28,101:101)+100</f>
        <v>95</v>
      </c>
      <c r="I27" s="450"/>
      <c r="J27" s="446">
        <f>SUMIF(100:100,I28,101:101)-SUMIF(100:100,C28,101:101)+100</f>
        <v>95</v>
      </c>
      <c r="K27" s="669">
        <v>5</v>
      </c>
      <c r="L27" s="1125"/>
      <c r="M27" s="1126"/>
      <c r="N27" s="1126"/>
      <c r="O27" s="1127"/>
      <c r="P27" s="3384"/>
      <c r="Q27" s="2932" t="str">
        <f t="shared" si="8"/>
        <v>公共配套设施</v>
      </c>
      <c r="R27" s="766" t="s">
        <v>17</v>
      </c>
      <c r="S27" s="767">
        <f>F27</f>
        <v>95</v>
      </c>
      <c r="T27" s="766" t="s">
        <v>17</v>
      </c>
      <c r="U27" s="767">
        <f>H27</f>
        <v>95</v>
      </c>
      <c r="V27" s="766" t="s">
        <v>17</v>
      </c>
      <c r="W27" s="767">
        <f>J27</f>
        <v>95</v>
      </c>
      <c r="X27" s="768"/>
      <c r="Y27" s="3384"/>
      <c r="Z27" s="2933" t="str">
        <f>Q27</f>
        <v>公共配套设施</v>
      </c>
      <c r="AA27" s="2945">
        <f>D27/F27</f>
        <v>1.0526315789473684</v>
      </c>
      <c r="AB27" s="2945">
        <f>D27/H27</f>
        <v>1.0526315789473684</v>
      </c>
      <c r="AC27" s="2945">
        <f>D27/J27</f>
        <v>1.0526315789473684</v>
      </c>
    </row>
    <row r="28" spans="1:29" s="116" customFormat="1" ht="15">
      <c r="A28" s="645"/>
      <c r="B28" s="452"/>
      <c r="C28" s="2690" t="s">
        <v>3174</v>
      </c>
      <c r="D28" s="444"/>
      <c r="E28" s="2601" t="s">
        <v>3190</v>
      </c>
      <c r="F28" s="444"/>
      <c r="G28" s="2601" t="s">
        <v>3190</v>
      </c>
      <c r="H28" s="444"/>
      <c r="I28" s="3494" t="s">
        <v>3190</v>
      </c>
      <c r="J28" s="444"/>
      <c r="K28" s="668"/>
      <c r="L28" s="1125"/>
      <c r="M28" s="1126"/>
      <c r="N28" s="1126"/>
      <c r="O28" s="1127"/>
      <c r="P28" s="3384"/>
      <c r="Q28" s="2932"/>
      <c r="R28" s="766"/>
      <c r="S28" s="767"/>
      <c r="T28" s="766"/>
      <c r="U28" s="767"/>
      <c r="V28" s="766"/>
      <c r="W28" s="767"/>
      <c r="X28" s="768"/>
      <c r="Y28" s="3384"/>
      <c r="Z28" s="2933"/>
      <c r="AA28" s="2945">
        <v>1</v>
      </c>
      <c r="AB28" s="2945">
        <v>1</v>
      </c>
      <c r="AC28" s="2945">
        <v>1</v>
      </c>
    </row>
    <row r="29" spans="1:29" s="116" customFormat="1" ht="15">
      <c r="A29" s="645"/>
      <c r="B29" s="1377" t="s">
        <v>2642</v>
      </c>
      <c r="C29" s="2597">
        <f>估价对象房地状况!C22</f>
        <v>0</v>
      </c>
      <c r="D29" s="446">
        <v>100</v>
      </c>
      <c r="E29" s="448"/>
      <c r="F29" s="446">
        <f>SUMIF(102:102,E30,103:103)-SUMIF(102:102,C30,103:103)+100</f>
        <v>100</v>
      </c>
      <c r="G29" s="448"/>
      <c r="H29" s="446">
        <f>SUMIF(102:102,G30,103:103)-SUMIF(102:102,C30,103:103)+100</f>
        <v>100</v>
      </c>
      <c r="I29" s="450"/>
      <c r="J29" s="446">
        <f>SUMIF(102:102,I30,103:103)-SUMIF(102:102,C30,103:103)+100</f>
        <v>100</v>
      </c>
      <c r="K29" s="669">
        <v>2</v>
      </c>
      <c r="L29" s="1125"/>
      <c r="M29" s="1126"/>
      <c r="N29" s="1126"/>
      <c r="O29" s="1127"/>
      <c r="P29" s="3384"/>
      <c r="Q29" s="2932" t="str">
        <f t="shared" ref="Q29" si="9">B29</f>
        <v>基础设施水平</v>
      </c>
      <c r="R29" s="766" t="s">
        <v>17</v>
      </c>
      <c r="S29" s="767">
        <f>F29</f>
        <v>100</v>
      </c>
      <c r="T29" s="766" t="s">
        <v>17</v>
      </c>
      <c r="U29" s="767">
        <f>H29</f>
        <v>100</v>
      </c>
      <c r="V29" s="766" t="s">
        <v>17</v>
      </c>
      <c r="W29" s="767">
        <f>J29</f>
        <v>100</v>
      </c>
      <c r="X29" s="768"/>
      <c r="Y29" s="3384"/>
      <c r="Z29" s="2933" t="str">
        <f>Q29</f>
        <v>基础设施水平</v>
      </c>
      <c r="AA29" s="2945">
        <f>D29/F29</f>
        <v>1</v>
      </c>
      <c r="AB29" s="2945">
        <f>D29/H29</f>
        <v>1</v>
      </c>
      <c r="AC29" s="2945">
        <f>D29/J29</f>
        <v>1</v>
      </c>
    </row>
    <row r="30" spans="1:29" s="116" customFormat="1" ht="15">
      <c r="A30" s="645"/>
      <c r="B30" s="452"/>
      <c r="C30" s="2690" t="s">
        <v>3363</v>
      </c>
      <c r="D30" s="444"/>
      <c r="E30" s="2690" t="s">
        <v>3363</v>
      </c>
      <c r="F30" s="444"/>
      <c r="G30" s="2690" t="s">
        <v>3363</v>
      </c>
      <c r="H30" s="444"/>
      <c r="I30" s="2690" t="s">
        <v>3363</v>
      </c>
      <c r="J30" s="444"/>
      <c r="K30" s="668"/>
      <c r="L30" s="1125"/>
      <c r="M30" s="1126"/>
      <c r="N30" s="1126"/>
      <c r="O30" s="1127"/>
      <c r="P30" s="3384"/>
      <c r="Q30" s="2932"/>
      <c r="R30" s="766"/>
      <c r="S30" s="767"/>
      <c r="T30" s="766"/>
      <c r="U30" s="767"/>
      <c r="V30" s="766"/>
      <c r="W30" s="767"/>
      <c r="X30" s="768"/>
      <c r="Y30" s="3384"/>
      <c r="Z30" s="2933"/>
      <c r="AA30" s="2945">
        <v>1</v>
      </c>
      <c r="AB30" s="2945">
        <v>1</v>
      </c>
      <c r="AC30" s="2945">
        <v>1</v>
      </c>
    </row>
    <row r="31" spans="1:29" ht="15" hidden="1">
      <c r="A31" s="424"/>
      <c r="B31" s="452" t="s">
        <v>2643</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3"/>
      <c r="M31" s="1124"/>
      <c r="N31" s="1124"/>
      <c r="O31" s="1132"/>
      <c r="P31" s="3384"/>
      <c r="Q31" s="2944" t="str">
        <f t="shared" si="8"/>
        <v>临街状况</v>
      </c>
      <c r="R31" s="770" t="s">
        <v>17</v>
      </c>
      <c r="S31" s="771">
        <f t="shared" ref="S31:S45" si="10">F31</f>
        <v>100</v>
      </c>
      <c r="T31" s="770" t="s">
        <v>17</v>
      </c>
      <c r="U31" s="771">
        <f t="shared" ref="U31:U45" si="11">H31</f>
        <v>100</v>
      </c>
      <c r="V31" s="770" t="s">
        <v>17</v>
      </c>
      <c r="W31" s="771">
        <f t="shared" ref="W31:W45" si="12">J31</f>
        <v>100</v>
      </c>
      <c r="X31" s="2946"/>
      <c r="Y31" s="3384"/>
      <c r="Z31" s="2947" t="str">
        <f t="shared" ref="Z31:Z45" si="13">Q31</f>
        <v>临街状况</v>
      </c>
      <c r="AA31" s="2945">
        <f t="shared" si="3"/>
        <v>1</v>
      </c>
      <c r="AB31" s="2945">
        <f t="shared" si="4"/>
        <v>1</v>
      </c>
      <c r="AC31" s="2945">
        <f t="shared" si="5"/>
        <v>1</v>
      </c>
    </row>
    <row r="32" spans="1:29" ht="27">
      <c r="A32" s="424"/>
      <c r="B32" s="1377" t="s">
        <v>2678</v>
      </c>
      <c r="C32" s="450" t="str">
        <f>'土地比较法-住宅'!C32</f>
        <v>江北一支路</v>
      </c>
      <c r="D32" s="446">
        <v>100</v>
      </c>
      <c r="E32" s="2988" t="s">
        <v>4209</v>
      </c>
      <c r="F32" s="446">
        <f>SUMIF(106:106,E33,107:107)-SUMIF(106:106,C33,107:107)+100</f>
        <v>100</v>
      </c>
      <c r="G32" s="2988" t="s">
        <v>4214</v>
      </c>
      <c r="H32" s="446">
        <f>SUMIF(106:106,G33,107:107)-SUMIF(106:106,C33,107:107)+100</f>
        <v>101</v>
      </c>
      <c r="I32" s="2987" t="s">
        <v>4213</v>
      </c>
      <c r="J32" s="446">
        <f>SUMIF(106:106,I33,107:107)-SUMIF(106:106,C33,107:107)+100</f>
        <v>100</v>
      </c>
      <c r="K32" s="669">
        <f>'土地比较法-住宅'!K32</f>
        <v>1</v>
      </c>
      <c r="L32" s="1133"/>
      <c r="M32" s="1124"/>
      <c r="N32" s="1124"/>
      <c r="O32" s="1132"/>
      <c r="P32" s="3384"/>
      <c r="Q32" s="2944" t="str">
        <f t="shared" si="8"/>
        <v>毗邻道路的类型与等级</v>
      </c>
      <c r="R32" s="770" t="s">
        <v>17</v>
      </c>
      <c r="S32" s="771">
        <f t="shared" si="10"/>
        <v>100</v>
      </c>
      <c r="T32" s="770" t="s">
        <v>17</v>
      </c>
      <c r="U32" s="771">
        <f t="shared" si="11"/>
        <v>101</v>
      </c>
      <c r="V32" s="770" t="s">
        <v>17</v>
      </c>
      <c r="W32" s="771">
        <f t="shared" si="12"/>
        <v>100</v>
      </c>
      <c r="X32" s="2946"/>
      <c r="Y32" s="3384"/>
      <c r="Z32" s="2947" t="str">
        <f t="shared" si="13"/>
        <v>毗邻道路的类型与等级</v>
      </c>
      <c r="AA32" s="2945">
        <f t="shared" si="3"/>
        <v>1</v>
      </c>
      <c r="AB32" s="2945">
        <f t="shared" si="4"/>
        <v>0.99009900990099009</v>
      </c>
      <c r="AC32" s="2945">
        <f t="shared" si="5"/>
        <v>1</v>
      </c>
    </row>
    <row r="33" spans="1:29" ht="15.75" thickBot="1">
      <c r="A33" s="424"/>
      <c r="B33" s="452"/>
      <c r="C33" s="443" t="s">
        <v>3180</v>
      </c>
      <c r="D33" s="444"/>
      <c r="E33" s="2601" t="s">
        <v>3180</v>
      </c>
      <c r="F33" s="444"/>
      <c r="G33" s="2601" t="s">
        <v>3178</v>
      </c>
      <c r="H33" s="444"/>
      <c r="I33" s="2992" t="s">
        <v>3180</v>
      </c>
      <c r="J33" s="444"/>
      <c r="K33" s="609"/>
      <c r="L33" s="1133"/>
      <c r="M33" s="1124"/>
      <c r="N33" s="1124"/>
      <c r="O33" s="1132"/>
      <c r="P33" s="3384"/>
      <c r="Q33" s="2944"/>
      <c r="R33" s="770"/>
      <c r="S33" s="771"/>
      <c r="T33" s="770"/>
      <c r="U33" s="771"/>
      <c r="V33" s="770"/>
      <c r="W33" s="771"/>
      <c r="X33" s="2946"/>
      <c r="Y33" s="3384"/>
      <c r="Z33" s="2947"/>
      <c r="AA33" s="2945">
        <v>1</v>
      </c>
      <c r="AB33" s="2945">
        <v>1</v>
      </c>
      <c r="AC33" s="2945">
        <v>1</v>
      </c>
    </row>
    <row r="34" spans="1:29" ht="15.75" hidden="1" thickBot="1">
      <c r="A34" s="424"/>
      <c r="B34" s="293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3"/>
      <c r="M34" s="1124"/>
      <c r="N34" s="1124"/>
      <c r="O34" s="1132"/>
      <c r="P34" s="3384"/>
      <c r="Q34" s="2944" t="str">
        <f t="shared" si="8"/>
        <v>土地级别</v>
      </c>
      <c r="R34" s="770" t="s">
        <v>17</v>
      </c>
      <c r="S34" s="771">
        <f t="shared" si="10"/>
        <v>100</v>
      </c>
      <c r="T34" s="770" t="s">
        <v>17</v>
      </c>
      <c r="U34" s="771">
        <f t="shared" si="11"/>
        <v>100</v>
      </c>
      <c r="V34" s="770" t="s">
        <v>17</v>
      </c>
      <c r="W34" s="771">
        <f t="shared" si="12"/>
        <v>100</v>
      </c>
      <c r="X34" s="2946"/>
      <c r="Y34" s="3384"/>
      <c r="Z34" s="2947" t="str">
        <f t="shared" si="13"/>
        <v>土地级别</v>
      </c>
      <c r="AA34" s="2945">
        <f t="shared" si="3"/>
        <v>1</v>
      </c>
      <c r="AB34" s="2945">
        <f t="shared" si="4"/>
        <v>1</v>
      </c>
      <c r="AC34" s="2945">
        <f t="shared" si="5"/>
        <v>1</v>
      </c>
    </row>
    <row r="35" spans="1:29" ht="15.75" hidden="1" thickBot="1">
      <c r="A35" s="400"/>
      <c r="B35" s="1379"/>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3"/>
      <c r="M35" s="1124"/>
      <c r="N35" s="1124"/>
      <c r="O35" s="1132"/>
      <c r="P35" s="3384"/>
      <c r="Q35" s="2944">
        <f t="shared" si="8"/>
        <v>0</v>
      </c>
      <c r="R35" s="770" t="s">
        <v>17</v>
      </c>
      <c r="S35" s="771">
        <f t="shared" si="10"/>
        <v>100</v>
      </c>
      <c r="T35" s="770" t="s">
        <v>17</v>
      </c>
      <c r="U35" s="771">
        <f t="shared" si="11"/>
        <v>100</v>
      </c>
      <c r="V35" s="770" t="s">
        <v>17</v>
      </c>
      <c r="W35" s="771">
        <f t="shared" si="12"/>
        <v>100</v>
      </c>
      <c r="X35" s="2946"/>
      <c r="Y35" s="3384"/>
      <c r="Z35" s="2947">
        <f t="shared" si="13"/>
        <v>0</v>
      </c>
      <c r="AA35" s="2945">
        <f t="shared" si="3"/>
        <v>1</v>
      </c>
      <c r="AB35" s="2945">
        <f t="shared" si="4"/>
        <v>1</v>
      </c>
      <c r="AC35" s="2945">
        <f t="shared" si="5"/>
        <v>1</v>
      </c>
    </row>
    <row r="36" spans="1:29" ht="15.75" hidden="1" thickBot="1">
      <c r="A36" s="671"/>
      <c r="B36" s="1380"/>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3"/>
      <c r="M36" s="1124"/>
      <c r="N36" s="1124"/>
      <c r="O36" s="1132"/>
      <c r="P36" s="3385" t="s">
        <v>2552</v>
      </c>
      <c r="Q36" s="2944">
        <f t="shared" si="8"/>
        <v>0</v>
      </c>
      <c r="R36" s="770" t="s">
        <v>17</v>
      </c>
      <c r="S36" s="771">
        <f t="shared" si="10"/>
        <v>100</v>
      </c>
      <c r="T36" s="770" t="s">
        <v>17</v>
      </c>
      <c r="U36" s="771">
        <f t="shared" si="11"/>
        <v>100</v>
      </c>
      <c r="V36" s="770" t="s">
        <v>17</v>
      </c>
      <c r="W36" s="771">
        <f t="shared" si="12"/>
        <v>100</v>
      </c>
      <c r="X36" s="2946"/>
      <c r="Y36" s="3386" t="s">
        <v>2552</v>
      </c>
      <c r="Z36" s="2947">
        <f t="shared" si="13"/>
        <v>0</v>
      </c>
      <c r="AA36" s="2945">
        <f t="shared" si="3"/>
        <v>1</v>
      </c>
      <c r="AB36" s="2945">
        <f t="shared" si="4"/>
        <v>1</v>
      </c>
      <c r="AC36" s="2945">
        <f t="shared" si="5"/>
        <v>1</v>
      </c>
    </row>
    <row r="37" spans="1:29" s="467" customFormat="1" ht="15.75" hidden="1" thickBot="1">
      <c r="A37" s="672"/>
      <c r="B37" s="1381"/>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1"/>
      <c r="M37" s="1134"/>
      <c r="N37" s="1134"/>
      <c r="O37" s="1135"/>
      <c r="P37" s="3386"/>
      <c r="Q37" s="2944">
        <f t="shared" si="8"/>
        <v>0</v>
      </c>
      <c r="R37" s="773" t="s">
        <v>17</v>
      </c>
      <c r="S37" s="774">
        <f t="shared" si="10"/>
        <v>100</v>
      </c>
      <c r="T37" s="773" t="s">
        <v>17</v>
      </c>
      <c r="U37" s="774">
        <f t="shared" si="11"/>
        <v>100</v>
      </c>
      <c r="V37" s="773" t="s">
        <v>17</v>
      </c>
      <c r="W37" s="774">
        <f t="shared" si="12"/>
        <v>100</v>
      </c>
      <c r="X37" s="775"/>
      <c r="Y37" s="3386"/>
      <c r="Z37" s="776">
        <f t="shared" si="13"/>
        <v>0</v>
      </c>
      <c r="AA37" s="2945">
        <f t="shared" si="3"/>
        <v>1</v>
      </c>
      <c r="AB37" s="2945">
        <f t="shared" si="4"/>
        <v>1</v>
      </c>
      <c r="AC37" s="2945">
        <f t="shared" si="5"/>
        <v>1</v>
      </c>
    </row>
    <row r="38" spans="1:29" ht="15">
      <c r="A38" s="468" t="s">
        <v>2550</v>
      </c>
      <c r="B38" s="452" t="s">
        <v>2737</v>
      </c>
      <c r="C38" s="675">
        <f>'数据-汇总表'!D3</f>
        <v>25136</v>
      </c>
      <c r="D38" s="463">
        <v>100</v>
      </c>
      <c r="E38" s="675">
        <f>'土地案例（商业）'!G8</f>
        <v>7174</v>
      </c>
      <c r="F38" s="463">
        <f>LOOKUP(E38,117:117,118:118)-LOOKUP(C38,117:117,118:118)+100</f>
        <v>100</v>
      </c>
      <c r="G38" s="675">
        <f>'土地案例（商业）'!G10</f>
        <v>9241</v>
      </c>
      <c r="H38" s="463">
        <f>LOOKUP(G38,117:117,118:118)-LOOKUP(C38,117:117,118:118)+100</f>
        <v>100</v>
      </c>
      <c r="I38" s="526">
        <f>'土地案例（商业）'!G17</f>
        <v>5230</v>
      </c>
      <c r="J38" s="463">
        <f>LOOKUP(I38,117:117,118:118)-LOOKUP(C38,117:117,118:118)+100</f>
        <v>100</v>
      </c>
      <c r="K38" s="609"/>
      <c r="L38" s="1133"/>
      <c r="M38" s="1124"/>
      <c r="N38" s="1124"/>
      <c r="O38" s="1132"/>
      <c r="P38" s="3386"/>
      <c r="Q38" s="2944" t="str">
        <f>B38</f>
        <v>宗地面积</v>
      </c>
      <c r="R38" s="770" t="s">
        <v>17</v>
      </c>
      <c r="S38" s="771">
        <f t="shared" si="10"/>
        <v>100</v>
      </c>
      <c r="T38" s="770" t="s">
        <v>17</v>
      </c>
      <c r="U38" s="771">
        <f t="shared" si="11"/>
        <v>100</v>
      </c>
      <c r="V38" s="770" t="s">
        <v>17</v>
      </c>
      <c r="W38" s="771">
        <f t="shared" si="12"/>
        <v>100</v>
      </c>
      <c r="X38" s="2946"/>
      <c r="Y38" s="3386"/>
      <c r="Z38" s="2947" t="str">
        <f t="shared" si="13"/>
        <v>宗地面积</v>
      </c>
      <c r="AA38" s="2945">
        <f t="shared" si="3"/>
        <v>1</v>
      </c>
      <c r="AB38" s="2945">
        <f t="shared" si="4"/>
        <v>1</v>
      </c>
      <c r="AC38" s="2945">
        <f t="shared" si="5"/>
        <v>1</v>
      </c>
    </row>
    <row r="39" spans="1:29" ht="15">
      <c r="A39" s="468"/>
      <c r="B39" s="2938" t="s">
        <v>2738</v>
      </c>
      <c r="C39" s="2603" t="s">
        <v>3169</v>
      </c>
      <c r="D39" s="431">
        <v>100</v>
      </c>
      <c r="E39" s="2603" t="s">
        <v>3169</v>
      </c>
      <c r="F39" s="431">
        <f>SUMIF(119:119,E39,120:120)-SUMIF(119:119,C39,120:120)+100</f>
        <v>100</v>
      </c>
      <c r="G39" s="2603" t="s">
        <v>3169</v>
      </c>
      <c r="H39" s="431">
        <f>SUMIF(119:119,G39,120:120)-SUMIF(119:119,C39,120:120)+100</f>
        <v>100</v>
      </c>
      <c r="I39" s="2603" t="s">
        <v>3169</v>
      </c>
      <c r="J39" s="431">
        <f>SUMIF(119:119,I39,120:120)-SUMIF(119:119,C39,120:120)+100</f>
        <v>100</v>
      </c>
      <c r="K39" s="608">
        <v>2</v>
      </c>
      <c r="L39" s="1133"/>
      <c r="M39" s="1124"/>
      <c r="N39" s="1124"/>
      <c r="O39" s="1132"/>
      <c r="P39" s="3386"/>
      <c r="Q39" s="2944" t="str">
        <f t="shared" ref="Q39:Q45" si="14">B39</f>
        <v>宗地形状</v>
      </c>
      <c r="R39" s="770" t="s">
        <v>17</v>
      </c>
      <c r="S39" s="771">
        <f t="shared" si="10"/>
        <v>100</v>
      </c>
      <c r="T39" s="770" t="s">
        <v>17</v>
      </c>
      <c r="U39" s="771">
        <f t="shared" si="11"/>
        <v>100</v>
      </c>
      <c r="V39" s="770" t="s">
        <v>17</v>
      </c>
      <c r="W39" s="771">
        <f t="shared" si="12"/>
        <v>100</v>
      </c>
      <c r="X39" s="2946"/>
      <c r="Y39" s="3386"/>
      <c r="Z39" s="2947" t="str">
        <f t="shared" si="13"/>
        <v>宗地形状</v>
      </c>
      <c r="AA39" s="2945">
        <f t="shared" si="3"/>
        <v>1</v>
      </c>
      <c r="AB39" s="2945">
        <f t="shared" si="4"/>
        <v>1</v>
      </c>
      <c r="AC39" s="2945">
        <f t="shared" si="5"/>
        <v>1</v>
      </c>
    </row>
    <row r="40" spans="1:29" ht="15" hidden="1">
      <c r="A40" s="468"/>
      <c r="B40" s="2938" t="s">
        <v>2739</v>
      </c>
      <c r="C40" s="2603"/>
      <c r="D40" s="431">
        <v>100</v>
      </c>
      <c r="E40" s="2603"/>
      <c r="F40" s="431">
        <f>SUMIF(121:121,E40,122:122)-SUMIF(121:121,C40,122:122)+100</f>
        <v>100</v>
      </c>
      <c r="G40" s="2603"/>
      <c r="H40" s="431">
        <f>SUMIF(121:121,G40,122:122)-SUMIF(121:121,C40,122:122)+100</f>
        <v>100</v>
      </c>
      <c r="I40" s="2603"/>
      <c r="J40" s="431">
        <f>SUMIF(121:121,I40,122:122)-SUMIF(121:121,C40,122:122)+100</f>
        <v>100</v>
      </c>
      <c r="K40" s="608"/>
      <c r="L40" s="1133"/>
      <c r="M40" s="1124"/>
      <c r="N40" s="1124"/>
      <c r="O40" s="1132"/>
      <c r="P40" s="3386"/>
      <c r="Q40" s="2944" t="str">
        <f t="shared" si="14"/>
        <v>临街宽度及深度</v>
      </c>
      <c r="R40" s="770" t="s">
        <v>17</v>
      </c>
      <c r="S40" s="771">
        <f t="shared" si="10"/>
        <v>100</v>
      </c>
      <c r="T40" s="770" t="s">
        <v>17</v>
      </c>
      <c r="U40" s="771">
        <f t="shared" si="11"/>
        <v>100</v>
      </c>
      <c r="V40" s="770" t="s">
        <v>17</v>
      </c>
      <c r="W40" s="771">
        <f t="shared" si="12"/>
        <v>100</v>
      </c>
      <c r="X40" s="2946"/>
      <c r="Y40" s="3386"/>
      <c r="Z40" s="2947" t="str">
        <f t="shared" si="13"/>
        <v>临街宽度及深度</v>
      </c>
      <c r="AA40" s="2945">
        <f t="shared" si="3"/>
        <v>1</v>
      </c>
      <c r="AB40" s="2945">
        <f t="shared" si="4"/>
        <v>1</v>
      </c>
      <c r="AC40" s="2945">
        <f t="shared" si="5"/>
        <v>1</v>
      </c>
    </row>
    <row r="41" spans="1:29" s="116" customFormat="1" ht="15">
      <c r="A41" s="469"/>
      <c r="B41" s="2938" t="s">
        <v>2740</v>
      </c>
      <c r="C41" s="2692"/>
      <c r="D41" s="133">
        <v>100</v>
      </c>
      <c r="E41" s="2692"/>
      <c r="F41" s="431">
        <f>SUMIF(123:123,E41,124:124)-SUMIF(123:123,C41,124:124)+100</f>
        <v>100</v>
      </c>
      <c r="G41" s="2692"/>
      <c r="H41" s="431">
        <f>SUMIF(123:123,G41,124:124)-SUMIF(123:123,C41,124:124)+100</f>
        <v>100</v>
      </c>
      <c r="I41" s="2692"/>
      <c r="J41" s="431">
        <f>SUMIF(123:123,I41,124:124)-SUMIF(123:123,C41,124:124)+100</f>
        <v>100</v>
      </c>
      <c r="K41" s="608"/>
      <c r="L41" s="1125"/>
      <c r="M41" s="1126"/>
      <c r="N41" s="1126"/>
      <c r="O41" s="1127"/>
      <c r="P41" s="3386"/>
      <c r="Q41" s="2944" t="str">
        <f t="shared" si="14"/>
        <v>宗地开发程度</v>
      </c>
      <c r="R41" s="766" t="s">
        <v>17</v>
      </c>
      <c r="S41" s="767">
        <f t="shared" si="10"/>
        <v>100</v>
      </c>
      <c r="T41" s="766" t="s">
        <v>17</v>
      </c>
      <c r="U41" s="767">
        <f t="shared" si="11"/>
        <v>100</v>
      </c>
      <c r="V41" s="766" t="s">
        <v>17</v>
      </c>
      <c r="W41" s="767">
        <f t="shared" si="12"/>
        <v>100</v>
      </c>
      <c r="X41" s="768"/>
      <c r="Y41" s="3386"/>
      <c r="Z41" s="2933" t="str">
        <f t="shared" si="13"/>
        <v>宗地开发程度</v>
      </c>
      <c r="AA41" s="769">
        <f t="shared" si="3"/>
        <v>1</v>
      </c>
      <c r="AB41" s="769">
        <f t="shared" si="4"/>
        <v>1</v>
      </c>
      <c r="AC41" s="769">
        <f t="shared" si="5"/>
        <v>1</v>
      </c>
    </row>
    <row r="42" spans="1:29" ht="15.75" thickBot="1">
      <c r="A42" s="468"/>
      <c r="B42" s="2938" t="s">
        <v>2741</v>
      </c>
      <c r="C42" s="2603" t="s">
        <v>3174</v>
      </c>
      <c r="D42" s="431">
        <v>100</v>
      </c>
      <c r="E42" s="2603" t="s">
        <v>3174</v>
      </c>
      <c r="F42" s="431">
        <f>SUMIF(125:125,E42,126:126)-SUMIF(125:125,C42,126:126)+100</f>
        <v>100</v>
      </c>
      <c r="G42" s="2603" t="s">
        <v>3174</v>
      </c>
      <c r="H42" s="431">
        <f>SUMIF(125:125,G42,126:126)-SUMIF(125:125,C42,126:126)+100</f>
        <v>100</v>
      </c>
      <c r="I42" s="2603" t="s">
        <v>3174</v>
      </c>
      <c r="J42" s="431">
        <f>SUMIF(125:125,I42,126:126)-SUMIF(125:125,C42,126:126)+100</f>
        <v>100</v>
      </c>
      <c r="K42" s="608">
        <v>2</v>
      </c>
      <c r="L42" s="1133"/>
      <c r="M42" s="1124"/>
      <c r="N42" s="1124"/>
      <c r="O42" s="1132"/>
      <c r="P42" s="3386" t="s">
        <v>2552</v>
      </c>
      <c r="Q42" s="2944" t="str">
        <f t="shared" si="14"/>
        <v>工程地质条件</v>
      </c>
      <c r="R42" s="770" t="s">
        <v>17</v>
      </c>
      <c r="S42" s="771">
        <f t="shared" si="10"/>
        <v>100</v>
      </c>
      <c r="T42" s="770" t="s">
        <v>17</v>
      </c>
      <c r="U42" s="771">
        <f t="shared" si="11"/>
        <v>100</v>
      </c>
      <c r="V42" s="770" t="s">
        <v>17</v>
      </c>
      <c r="W42" s="771">
        <f t="shared" si="12"/>
        <v>100</v>
      </c>
      <c r="X42" s="2946"/>
      <c r="Y42" s="3386" t="s">
        <v>2552</v>
      </c>
      <c r="Z42" s="2947" t="str">
        <f t="shared" si="13"/>
        <v>工程地质条件</v>
      </c>
      <c r="AA42" s="2945">
        <f t="shared" si="3"/>
        <v>1</v>
      </c>
      <c r="AB42" s="2945">
        <f t="shared" si="4"/>
        <v>1</v>
      </c>
      <c r="AC42" s="2945">
        <f t="shared" si="5"/>
        <v>1</v>
      </c>
    </row>
    <row r="43" spans="1:29" ht="15.75" hidden="1" thickBot="1">
      <c r="A43" s="468"/>
      <c r="B43" s="1380"/>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3"/>
      <c r="M43" s="1124"/>
      <c r="N43" s="1124"/>
      <c r="O43" s="1132"/>
      <c r="P43" s="3386"/>
      <c r="Q43" s="2944">
        <f t="shared" si="14"/>
        <v>0</v>
      </c>
      <c r="R43" s="770" t="s">
        <v>17</v>
      </c>
      <c r="S43" s="771">
        <f t="shared" si="10"/>
        <v>100</v>
      </c>
      <c r="T43" s="770" t="s">
        <v>17</v>
      </c>
      <c r="U43" s="771">
        <f t="shared" si="11"/>
        <v>100</v>
      </c>
      <c r="V43" s="770" t="s">
        <v>17</v>
      </c>
      <c r="W43" s="771">
        <f t="shared" si="12"/>
        <v>100</v>
      </c>
      <c r="X43" s="2946"/>
      <c r="Y43" s="3386"/>
      <c r="Z43" s="2947">
        <f t="shared" si="13"/>
        <v>0</v>
      </c>
      <c r="AA43" s="2945">
        <f t="shared" si="3"/>
        <v>1</v>
      </c>
      <c r="AB43" s="2945">
        <f t="shared" si="4"/>
        <v>1</v>
      </c>
      <c r="AC43" s="2945">
        <f t="shared" si="5"/>
        <v>1</v>
      </c>
    </row>
    <row r="44" spans="1:29" ht="15.75" hidden="1" thickBot="1">
      <c r="A44" s="468"/>
      <c r="B44" s="1380"/>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3"/>
      <c r="M44" s="1124"/>
      <c r="N44" s="1124"/>
      <c r="O44" s="1132"/>
      <c r="P44" s="3386"/>
      <c r="Q44" s="2944">
        <f t="shared" si="14"/>
        <v>0</v>
      </c>
      <c r="R44" s="770" t="s">
        <v>17</v>
      </c>
      <c r="S44" s="771">
        <f t="shared" si="10"/>
        <v>100</v>
      </c>
      <c r="T44" s="770" t="s">
        <v>17</v>
      </c>
      <c r="U44" s="771">
        <f t="shared" si="11"/>
        <v>100</v>
      </c>
      <c r="V44" s="770" t="s">
        <v>17</v>
      </c>
      <c r="W44" s="771">
        <f t="shared" si="12"/>
        <v>100</v>
      </c>
      <c r="X44" s="2946"/>
      <c r="Y44" s="3386"/>
      <c r="Z44" s="2947">
        <f t="shared" si="13"/>
        <v>0</v>
      </c>
      <c r="AA44" s="2945">
        <f t="shared" si="3"/>
        <v>1</v>
      </c>
      <c r="AB44" s="2945">
        <f t="shared" si="4"/>
        <v>1</v>
      </c>
      <c r="AC44" s="2945">
        <f t="shared" si="5"/>
        <v>1</v>
      </c>
    </row>
    <row r="45" spans="1:29" s="467" customFormat="1" ht="15.75" hidden="1" thickBot="1">
      <c r="A45" s="464"/>
      <c r="B45" s="1380"/>
      <c r="C45" s="2693"/>
      <c r="D45" s="676">
        <v>100</v>
      </c>
      <c r="E45" s="670"/>
      <c r="F45" s="434">
        <f>SUMIF(131:131,E45,132:132)-SUMIF(131:131,C45,132:132)+100</f>
        <v>100</v>
      </c>
      <c r="G45" s="670"/>
      <c r="H45" s="434">
        <f>SUMIF(131:131,G45,132:132)-SUMIF(131:131,C45,132:132)+100</f>
        <v>100</v>
      </c>
      <c r="I45" s="670"/>
      <c r="J45" s="434">
        <f>SUMIF(131:131,I45,132:132)-SUMIF(131:131,C45,132:132)+100</f>
        <v>100</v>
      </c>
      <c r="K45" s="677"/>
      <c r="L45" s="1131"/>
      <c r="M45" s="1134"/>
      <c r="N45" s="1134"/>
      <c r="O45" s="1135"/>
      <c r="P45" s="3386"/>
      <c r="Q45" s="2944">
        <f t="shared" si="14"/>
        <v>0</v>
      </c>
      <c r="R45" s="773" t="s">
        <v>17</v>
      </c>
      <c r="S45" s="774">
        <f t="shared" si="10"/>
        <v>100</v>
      </c>
      <c r="T45" s="773" t="s">
        <v>17</v>
      </c>
      <c r="U45" s="774">
        <f t="shared" si="11"/>
        <v>100</v>
      </c>
      <c r="V45" s="773" t="s">
        <v>17</v>
      </c>
      <c r="W45" s="774">
        <f t="shared" si="12"/>
        <v>100</v>
      </c>
      <c r="X45" s="775"/>
      <c r="Y45" s="3386"/>
      <c r="Z45" s="776">
        <f t="shared" si="13"/>
        <v>0</v>
      </c>
      <c r="AA45" s="2945">
        <f t="shared" si="3"/>
        <v>1</v>
      </c>
      <c r="AB45" s="2945">
        <f t="shared" si="4"/>
        <v>1</v>
      </c>
      <c r="AC45" s="2945">
        <f t="shared" si="5"/>
        <v>1</v>
      </c>
    </row>
    <row r="46" spans="1:29" ht="15">
      <c r="A46" s="475" t="s">
        <v>2707</v>
      </c>
      <c r="B46" s="2694" t="s">
        <v>2742</v>
      </c>
      <c r="C46" s="678" t="s">
        <v>1</v>
      </c>
      <c r="D46" s="477"/>
      <c r="E46" s="478">
        <f>'土地案例（商业）'!N8</f>
        <v>4443.3500000000004</v>
      </c>
      <c r="F46" s="479"/>
      <c r="G46" s="480">
        <f>'土地案例（商业）'!N10</f>
        <v>4520.8500000000004</v>
      </c>
      <c r="H46" s="481"/>
      <c r="I46" s="478">
        <f>'土地案例（商业）'!N17</f>
        <v>4720.1899999999996</v>
      </c>
      <c r="J46" s="481"/>
      <c r="K46" s="779"/>
      <c r="L46" s="1136"/>
      <c r="M46" s="1137"/>
      <c r="N46" s="1124"/>
      <c r="O46" s="1137"/>
      <c r="P46" s="3368" t="str">
        <f>A46</f>
        <v>成交单价</v>
      </c>
      <c r="Q46" s="3368"/>
      <c r="R46" s="3381">
        <f>E46</f>
        <v>4443.3500000000004</v>
      </c>
      <c r="S46" s="3381"/>
      <c r="T46" s="3381">
        <f>G46</f>
        <v>4520.8500000000004</v>
      </c>
      <c r="U46" s="3381"/>
      <c r="V46" s="3381">
        <f>I46</f>
        <v>4720.1899999999996</v>
      </c>
      <c r="W46" s="3381"/>
      <c r="X46" s="755"/>
      <c r="Y46" s="777"/>
      <c r="Z46" s="755"/>
      <c r="AA46" s="755"/>
      <c r="AB46" s="755"/>
      <c r="AC46" s="755"/>
    </row>
    <row r="47" spans="1:29" ht="15.75" thickBot="1">
      <c r="A47" s="482" t="s">
        <v>2565</v>
      </c>
      <c r="B47" s="679"/>
      <c r="C47" s="486">
        <f>R48</f>
        <v>5801</v>
      </c>
      <c r="D47" s="485"/>
      <c r="E47" s="486">
        <f>R47</f>
        <v>5714</v>
      </c>
      <c r="F47" s="487"/>
      <c r="G47" s="484">
        <f>T47</f>
        <v>5674</v>
      </c>
      <c r="H47" s="485"/>
      <c r="I47" s="486">
        <f>V47</f>
        <v>6015</v>
      </c>
      <c r="J47" s="485"/>
      <c r="K47" s="780"/>
      <c r="L47" s="1136"/>
      <c r="M47" s="1137"/>
      <c r="N47" s="1137"/>
      <c r="O47" s="1137"/>
      <c r="P47" s="3368" t="str">
        <f>A47</f>
        <v>比较价值（元/平方米）</v>
      </c>
      <c r="Q47" s="3368"/>
      <c r="R47" s="3387">
        <f>ROUND(PRODUCT(R46,AA7:AA45),0)</f>
        <v>5714</v>
      </c>
      <c r="S47" s="3387"/>
      <c r="T47" s="3387">
        <f>ROUND(PRODUCT(T46,AB7:AB45),0)</f>
        <v>5674</v>
      </c>
      <c r="U47" s="3387"/>
      <c r="V47" s="3387">
        <f>ROUND(PRODUCT(V46,AC7:AC45),0)</f>
        <v>6015</v>
      </c>
      <c r="W47" s="3387"/>
      <c r="X47" s="755"/>
      <c r="Y47" s="755"/>
      <c r="Z47" s="755"/>
      <c r="AA47" s="755"/>
      <c r="AB47" s="755"/>
      <c r="AC47" s="755"/>
    </row>
    <row r="48" spans="1:29" ht="15.75" thickBot="1">
      <c r="A48" s="488" t="s">
        <v>2743</v>
      </c>
      <c r="B48" s="489"/>
      <c r="C48" s="490">
        <f>R48</f>
        <v>5801</v>
      </c>
      <c r="D48" s="490"/>
      <c r="E48" s="490"/>
      <c r="F48" s="490"/>
      <c r="G48" s="490"/>
      <c r="H48" s="490"/>
      <c r="I48" s="490"/>
      <c r="J48" s="490"/>
      <c r="K48" s="781"/>
      <c r="L48" s="1136"/>
      <c r="M48" s="1137"/>
      <c r="N48" s="1137"/>
      <c r="O48" s="1137"/>
      <c r="P48" s="3388" t="str">
        <f>A48</f>
        <v>估价对象XX用房的比较价值（楼面单价，元/平方米）</v>
      </c>
      <c r="Q48" s="3389"/>
      <c r="R48" s="3390">
        <f>ROUND(AVERAGE(R47:V47),0)</f>
        <v>5801</v>
      </c>
      <c r="S48" s="3390"/>
      <c r="T48" s="3390"/>
      <c r="U48" s="3390"/>
      <c r="V48" s="3390"/>
      <c r="W48" s="3390"/>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3" t="s">
        <v>2567</v>
      </c>
      <c r="D51" s="494"/>
      <c r="E51" s="495">
        <f>IF(E46&lt;E47,E47/E46-1,E46/E47-1)</f>
        <v>0.28596666929231307</v>
      </c>
      <c r="F51" s="496" t="str">
        <f>IF(OR(E51&gt;=0.3,E51&lt;=-0.3),"超过30%","")</f>
        <v/>
      </c>
      <c r="G51" s="495">
        <f>IF(G46&lt;G47,G47/G46-1,G46/G47-1)</f>
        <v>0.2550737140139574</v>
      </c>
      <c r="H51" s="496" t="str">
        <f>IF(OR(G51&gt;=0.3,G51&lt;=-0.3),"超过30%","")</f>
        <v/>
      </c>
      <c r="I51" s="495">
        <f>IF(I46&lt;I47,I47/I46-1,I46/I47-1)</f>
        <v>0.27431311027734062</v>
      </c>
      <c r="J51" s="496" t="str">
        <f>IF(OR(I51&gt;=0.3,I51&lt;=-0.3),"超过30%","")</f>
        <v/>
      </c>
      <c r="K51" s="1098"/>
      <c r="L51" s="1099"/>
      <c r="M51" s="1137"/>
      <c r="N51" s="1137"/>
      <c r="O51" s="1137"/>
    </row>
    <row r="52" spans="1:15" ht="13.5" customHeight="1">
      <c r="A52" s="1137"/>
      <c r="B52" s="1137"/>
      <c r="C52" s="493" t="s">
        <v>2568</v>
      </c>
      <c r="D52" s="497"/>
      <c r="E52" s="495">
        <f>IF(E47&lt;G47,G47/E47-1,E47/G47-1)</f>
        <v>7.0497003877334485E-3</v>
      </c>
      <c r="F52" s="496" t="str">
        <f>IF(OR(E52&gt;=0.2,E52&lt;=-0.2),"超过20%","")</f>
        <v/>
      </c>
      <c r="G52" s="495">
        <f>IF(G47&lt;I47,I47/G47-1,G47/I47-1)</f>
        <v>6.009869580542837E-2</v>
      </c>
      <c r="H52" s="496" t="str">
        <f>IF(OR(G52&gt;=0.2,G52&lt;=-0.2),"超过20%","")</f>
        <v/>
      </c>
      <c r="I52" s="495">
        <f>IF(I47&lt;E47,E47/I47-1,I47/E47-1)</f>
        <v>5.2677633881694108E-2</v>
      </c>
      <c r="J52" s="496" t="str">
        <f>IF(OR(I52&gt;=0.2,I52&lt;=-0.2),"超过20%","")</f>
        <v/>
      </c>
      <c r="K52" s="1098"/>
      <c r="L52" s="1099"/>
      <c r="M52" s="1137"/>
      <c r="N52" s="1137"/>
      <c r="O52" s="1137"/>
    </row>
    <row r="53" spans="1:15" s="498" customFormat="1" ht="13.5" customHeight="1">
      <c r="A53" s="1138"/>
      <c r="B53" s="1138"/>
      <c r="C53" s="493" t="s">
        <v>2569</v>
      </c>
      <c r="D53" s="497"/>
      <c r="E53" s="495">
        <f>IF(E46&lt;G46,G46/E46-1,E46/G46-1)</f>
        <v>1.744179504202914E-2</v>
      </c>
      <c r="F53" s="496" t="str">
        <f>IF(OR(E53&gt;=0.3,E53&lt;=-0.3),"超过30%","")</f>
        <v/>
      </c>
      <c r="G53" s="495">
        <f>IF(G46&lt;I46,I46/G46-1,G46/I46-1)</f>
        <v>4.4093477996394403E-2</v>
      </c>
      <c r="H53" s="496" t="str">
        <f>IF(OR(G53&gt;=0.3,G53&lt;=-0.3),"超过30%","")</f>
        <v/>
      </c>
      <c r="I53" s="495">
        <f>IF(I46&lt;E46,E46/I46-1,I46/E46-1)</f>
        <v>6.230434244432681E-2</v>
      </c>
      <c r="J53" s="496" t="str">
        <f>IF(OR(I53&gt;=0.3,I53&lt;=-0.3),"超过30%","")</f>
        <v/>
      </c>
      <c r="K53" s="1141"/>
      <c r="L53" s="1142"/>
      <c r="M53" s="1138"/>
      <c r="N53" s="1138"/>
      <c r="O53" s="1138"/>
    </row>
    <row r="54" spans="1:15" s="498" customFormat="1" ht="15" thickBot="1">
      <c r="A54" s="1138"/>
      <c r="B54" s="1139"/>
      <c r="C54" s="758"/>
      <c r="D54" s="756"/>
      <c r="E54" s="756"/>
      <c r="F54" s="756"/>
      <c r="G54" s="756"/>
      <c r="H54" s="756"/>
      <c r="I54" s="756"/>
      <c r="J54" s="756"/>
      <c r="K54" s="1141"/>
      <c r="L54" s="1142"/>
      <c r="M54" s="1138"/>
      <c r="N54" s="1138"/>
      <c r="O54" s="1138"/>
    </row>
    <row r="55" spans="1:15" ht="27" customHeight="1">
      <c r="A55" s="680" t="s">
        <v>2744</v>
      </c>
      <c r="B55" s="681" t="s">
        <v>2745</v>
      </c>
      <c r="C55" s="2695" t="s">
        <v>4271</v>
      </c>
      <c r="D55" s="2696" t="s">
        <v>2747</v>
      </c>
      <c r="E55" s="2948" t="s">
        <v>2748</v>
      </c>
      <c r="F55" s="1100" t="s">
        <v>2749</v>
      </c>
      <c r="G55" s="3369" t="s">
        <v>2750</v>
      </c>
      <c r="H55" s="3391"/>
      <c r="I55" s="141" t="s">
        <v>2751</v>
      </c>
      <c r="J55" s="2697" t="str">
        <f>项目基本情况!F35</f>
        <v>重庆市</v>
      </c>
      <c r="K55" s="2698" t="s">
        <v>2752</v>
      </c>
      <c r="L55" s="1099"/>
      <c r="M55" s="1137"/>
      <c r="N55" s="1137"/>
      <c r="O55" s="1137"/>
    </row>
    <row r="56" spans="1:15" s="688" customFormat="1">
      <c r="A56" s="684" t="s">
        <v>2753</v>
      </c>
      <c r="B56" s="685">
        <f>C48</f>
        <v>5801</v>
      </c>
      <c r="C56" s="686">
        <v>1</v>
      </c>
      <c r="D56" s="1156">
        <v>1</v>
      </c>
      <c r="E56" s="686">
        <f>'数据-汇总表'!E8+'数据-汇总表'!E9</f>
        <v>212211.57</v>
      </c>
      <c r="F56" s="1096">
        <f t="shared" ref="F56:F65" si="15">ROUND(B56*E56/10000,0)</f>
        <v>123104</v>
      </c>
      <c r="G56" s="3392"/>
      <c r="H56" s="3368"/>
      <c r="I56" s="1101">
        <v>1</v>
      </c>
      <c r="J56" s="1104">
        <v>1</v>
      </c>
      <c r="K56" s="1138"/>
      <c r="L56" s="934"/>
      <c r="M56" s="934"/>
      <c r="N56" s="934"/>
      <c r="O56" s="934"/>
    </row>
    <row r="57" spans="1:15" s="688" customFormat="1">
      <c r="A57" s="689" t="s">
        <v>2754</v>
      </c>
      <c r="B57" s="258">
        <f>ROUND($C$48*C57*D57,0)</f>
        <v>4061</v>
      </c>
      <c r="C57" s="196">
        <f t="shared" ref="C57:C65" si="16">IF($C$55="北京市系数",I57,J57)</f>
        <v>0.7</v>
      </c>
      <c r="D57" s="1157">
        <v>1</v>
      </c>
      <c r="E57" s="3019">
        <v>17319.87</v>
      </c>
      <c r="F57" s="1096">
        <f t="shared" si="15"/>
        <v>7034</v>
      </c>
      <c r="G57" s="3393" t="s">
        <v>2755</v>
      </c>
      <c r="H57" s="1097">
        <f>项目基本情况!B37</f>
        <v>0</v>
      </c>
      <c r="I57" s="1101">
        <f>SUMIF(修正!A45:A56,H57,修正!B45:B56)</f>
        <v>0</v>
      </c>
      <c r="J57" s="1105">
        <v>0.7</v>
      </c>
      <c r="K57" s="1137"/>
      <c r="L57" s="934"/>
      <c r="M57" s="934"/>
      <c r="N57" s="934"/>
      <c r="O57" s="934"/>
    </row>
    <row r="58" spans="1:15" s="688" customFormat="1">
      <c r="A58" s="689" t="s">
        <v>2756</v>
      </c>
      <c r="B58" s="258">
        <f t="shared" ref="B58:B65" si="17">ROUND($C$48*C58*D58,0)</f>
        <v>2610</v>
      </c>
      <c r="C58" s="196">
        <f t="shared" si="16"/>
        <v>0.45</v>
      </c>
      <c r="D58" s="1157">
        <v>1</v>
      </c>
      <c r="E58" s="3019">
        <v>15298.45</v>
      </c>
      <c r="F58" s="1096">
        <f t="shared" si="15"/>
        <v>3993</v>
      </c>
      <c r="G58" s="3393"/>
      <c r="H58" s="1097">
        <f>项目基本情况!B37</f>
        <v>0</v>
      </c>
      <c r="I58" s="1101">
        <f>SUMIF(修正!A45:A56,H58,修正!C45:C56)</f>
        <v>0</v>
      </c>
      <c r="J58" s="1105">
        <v>0.45</v>
      </c>
      <c r="K58" s="1138"/>
      <c r="L58" s="934"/>
      <c r="M58" s="934"/>
      <c r="N58" s="934"/>
      <c r="O58" s="934"/>
    </row>
    <row r="59" spans="1:15" s="688" customFormat="1">
      <c r="A59" s="689" t="s">
        <v>2757</v>
      </c>
      <c r="B59" s="258">
        <f t="shared" si="17"/>
        <v>0</v>
      </c>
      <c r="C59" s="196">
        <f t="shared" si="16"/>
        <v>0</v>
      </c>
      <c r="D59" s="1157">
        <v>0.25</v>
      </c>
      <c r="E59" s="690"/>
      <c r="F59" s="1096">
        <f t="shared" si="15"/>
        <v>0</v>
      </c>
      <c r="G59" s="3393"/>
      <c r="H59" s="1097">
        <f>项目基本情况!B37</f>
        <v>0</v>
      </c>
      <c r="I59" s="1101">
        <f>SUMIF(修正!A45:A56,H59,修正!D45:D56)</f>
        <v>0</v>
      </c>
      <c r="J59" s="1105"/>
      <c r="K59" s="1137"/>
      <c r="L59" s="934"/>
      <c r="M59" s="934"/>
      <c r="N59" s="934"/>
      <c r="O59" s="934"/>
    </row>
    <row r="60" spans="1:15" s="688" customFormat="1">
      <c r="A60" s="689" t="s">
        <v>2758</v>
      </c>
      <c r="B60" s="258">
        <f t="shared" si="17"/>
        <v>0</v>
      </c>
      <c r="C60" s="196">
        <f t="shared" si="16"/>
        <v>0</v>
      </c>
      <c r="D60" s="1157">
        <v>0.25</v>
      </c>
      <c r="E60" s="690"/>
      <c r="F60" s="1096">
        <f t="shared" si="15"/>
        <v>0</v>
      </c>
      <c r="G60" s="3393"/>
      <c r="H60" s="1097">
        <f>项目基本情况!B37</f>
        <v>0</v>
      </c>
      <c r="I60" s="1101">
        <f>SUMIF(修正!A45:A56,H60,修正!E45:E56)</f>
        <v>0</v>
      </c>
      <c r="J60" s="1105"/>
      <c r="K60" s="1138"/>
      <c r="L60" s="934"/>
      <c r="M60" s="934"/>
      <c r="N60" s="934"/>
      <c r="O60" s="934"/>
    </row>
    <row r="61" spans="1:15" s="688" customFormat="1">
      <c r="A61" s="689" t="s">
        <v>2759</v>
      </c>
      <c r="B61" s="258">
        <f t="shared" si="17"/>
        <v>0</v>
      </c>
      <c r="C61" s="196">
        <f t="shared" si="16"/>
        <v>0</v>
      </c>
      <c r="D61" s="1157">
        <v>0.25</v>
      </c>
      <c r="E61" s="257">
        <f>'数据-汇总表'!E11</f>
        <v>0</v>
      </c>
      <c r="F61" s="1096">
        <f t="shared" si="15"/>
        <v>0</v>
      </c>
      <c r="G61" s="2949" t="s">
        <v>2760</v>
      </c>
      <c r="H61" s="1097">
        <f>项目基本情况!C37</f>
        <v>0</v>
      </c>
      <c r="I61" s="1101">
        <f>SUMIF(修正!A45:A56,H61,修正!F45:F56)</f>
        <v>0</v>
      </c>
      <c r="J61" s="1105"/>
      <c r="K61" s="1137"/>
      <c r="L61" s="934"/>
      <c r="M61" s="934"/>
      <c r="N61" s="934"/>
      <c r="O61" s="934"/>
    </row>
    <row r="62" spans="1:15" s="688" customFormat="1">
      <c r="A62" s="689" t="s">
        <v>2761</v>
      </c>
      <c r="B62" s="258">
        <f t="shared" si="17"/>
        <v>0</v>
      </c>
      <c r="C62" s="196">
        <f t="shared" si="16"/>
        <v>0</v>
      </c>
      <c r="D62" s="1157">
        <v>0.25</v>
      </c>
      <c r="E62" s="257">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8" customFormat="1">
      <c r="A63" s="689" t="s">
        <v>2763</v>
      </c>
      <c r="B63" s="258">
        <f t="shared" si="17"/>
        <v>0</v>
      </c>
      <c r="C63" s="196">
        <f t="shared" si="16"/>
        <v>0</v>
      </c>
      <c r="D63" s="1157">
        <v>0.25</v>
      </c>
      <c r="E63" s="257">
        <f>'数据-汇总表'!E13</f>
        <v>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8" customFormat="1">
      <c r="A64" s="689" t="s">
        <v>2765</v>
      </c>
      <c r="B64" s="258">
        <f t="shared" si="17"/>
        <v>0</v>
      </c>
      <c r="C64" s="196">
        <f t="shared" si="16"/>
        <v>0</v>
      </c>
      <c r="D64" s="1157">
        <v>0.25</v>
      </c>
      <c r="E64" s="257">
        <f>'数据-汇总表'!E14</f>
        <v>115386.06</v>
      </c>
      <c r="F64" s="1096">
        <f t="shared" si="15"/>
        <v>0</v>
      </c>
      <c r="G64" s="2949" t="s">
        <v>2755</v>
      </c>
      <c r="H64" s="1097">
        <f>项目基本情况!B37</f>
        <v>0</v>
      </c>
      <c r="I64" s="1101">
        <f>SUMIF(修正!A45:A56,H64,修正!H45:H56)</f>
        <v>0</v>
      </c>
      <c r="J64" s="1105"/>
      <c r="K64" s="1138"/>
      <c r="L64" s="934"/>
      <c r="M64" s="934"/>
      <c r="N64" s="934"/>
      <c r="O64" s="934"/>
    </row>
    <row r="65" spans="1:17" s="688" customFormat="1" ht="15" thickBot="1">
      <c r="A65" s="689" t="s">
        <v>2766</v>
      </c>
      <c r="B65" s="258">
        <f t="shared" si="17"/>
        <v>0</v>
      </c>
      <c r="C65" s="196">
        <f t="shared" si="16"/>
        <v>0</v>
      </c>
      <c r="D65" s="1157">
        <v>0.25</v>
      </c>
      <c r="E65" s="257">
        <f>'数据-汇总表'!E15</f>
        <v>0</v>
      </c>
      <c r="F65" s="1096">
        <f t="shared" si="15"/>
        <v>0</v>
      </c>
      <c r="G65" s="2700" t="s">
        <v>2760</v>
      </c>
      <c r="H65" s="1107">
        <f>项目基本情况!C37</f>
        <v>0</v>
      </c>
      <c r="I65" s="1103">
        <f>SUMIF(修正!A45:A56,H65,修正!H45:H56)</f>
        <v>0</v>
      </c>
      <c r="J65" s="1106"/>
      <c r="K65" s="1137"/>
      <c r="L65" s="934"/>
      <c r="M65" s="934"/>
      <c r="N65" s="934"/>
      <c r="O65" s="934"/>
    </row>
    <row r="66" spans="1:17" s="688" customFormat="1" ht="13.5" thickBot="1">
      <c r="A66" s="691" t="s">
        <v>2767</v>
      </c>
      <c r="B66" s="692" t="s">
        <v>28</v>
      </c>
      <c r="C66" s="692" t="s">
        <v>29</v>
      </c>
      <c r="D66" s="692" t="s">
        <v>1029</v>
      </c>
      <c r="E66" s="692">
        <f>IF(B46="楼面地价",SUM(E56:E65),'数据-汇总表'!D3)</f>
        <v>360215.95</v>
      </c>
      <c r="F66" s="693">
        <f>IF(B46="楼面地价",SUM(F56:F65),ROUND(C48*E66/10000,0))</f>
        <v>134131</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2018-8-1</v>
      </c>
      <c r="D68" s="757">
        <f>EDATE(C68,-3)</f>
        <v>43221</v>
      </c>
      <c r="E68" s="757">
        <f>EDATE(D68,-3)</f>
        <v>43132</v>
      </c>
      <c r="F68" s="757">
        <f t="shared" ref="F68:O68" si="18">EDATE(E68,-3)</f>
        <v>43040</v>
      </c>
      <c r="G68" s="757">
        <f t="shared" si="18"/>
        <v>42948</v>
      </c>
      <c r="H68" s="757">
        <f t="shared" si="18"/>
        <v>42856</v>
      </c>
      <c r="I68" s="757">
        <f t="shared" si="18"/>
        <v>42767</v>
      </c>
      <c r="J68" s="757">
        <f t="shared" si="18"/>
        <v>42675</v>
      </c>
      <c r="K68" s="757">
        <f t="shared" si="18"/>
        <v>42583</v>
      </c>
      <c r="L68" s="757">
        <f t="shared" si="18"/>
        <v>42491</v>
      </c>
      <c r="M68" s="757">
        <f t="shared" si="18"/>
        <v>42401</v>
      </c>
      <c r="N68" s="757">
        <f t="shared" si="18"/>
        <v>42309</v>
      </c>
      <c r="O68" s="757">
        <f t="shared" si="18"/>
        <v>42217</v>
      </c>
    </row>
    <row r="69" spans="1:17" ht="21.75" thickBot="1">
      <c r="A69" s="759" t="s">
        <v>2570</v>
      </c>
      <c r="B69" s="755"/>
      <c r="C69" s="760"/>
      <c r="D69" s="760"/>
      <c r="E69" s="760"/>
      <c r="F69" s="761"/>
      <c r="G69" s="761"/>
      <c r="H69" s="760"/>
      <c r="I69" s="760"/>
      <c r="J69" s="1152"/>
      <c r="K69" s="1153"/>
      <c r="L69" s="1154"/>
      <c r="M69" s="1152"/>
      <c r="N69" s="1152"/>
      <c r="O69" s="1152"/>
      <c r="P69" s="499"/>
      <c r="Q69" s="500"/>
    </row>
    <row r="70" spans="1:17" s="504" customFormat="1" ht="15">
      <c r="A70" s="2701" t="s">
        <v>2768</v>
      </c>
      <c r="B70" s="1352"/>
      <c r="C70" s="1564" t="str">
        <f>YEAR(C68)&amp;"-"&amp;ROUNDUP(MONTH(C68)/3,0)</f>
        <v>2018-3</v>
      </c>
      <c r="D70" s="1564" t="str">
        <f>YEAR(D68)&amp;"-"&amp;ROUNDUP(MONTH(D68)/3,0)</f>
        <v>2018-2</v>
      </c>
      <c r="E70" s="1564" t="str">
        <f t="shared" ref="E70:O70" si="19">YEAR(E68)&amp;"-"&amp;ROUNDUP(MONTH(E68)/3,0)</f>
        <v>2018-1</v>
      </c>
      <c r="F70" s="1564" t="str">
        <f t="shared" si="19"/>
        <v>2017-4</v>
      </c>
      <c r="G70" s="1564" t="str">
        <f t="shared" si="19"/>
        <v>2017-3</v>
      </c>
      <c r="H70" s="1564" t="str">
        <f t="shared" si="19"/>
        <v>2017-2</v>
      </c>
      <c r="I70" s="1564" t="str">
        <f t="shared" si="19"/>
        <v>2017-1</v>
      </c>
      <c r="J70" s="1564" t="str">
        <f t="shared" si="19"/>
        <v>2016-4</v>
      </c>
      <c r="K70" s="1564" t="str">
        <f t="shared" si="19"/>
        <v>2016-3</v>
      </c>
      <c r="L70" s="1564" t="str">
        <f t="shared" si="19"/>
        <v>2016-2</v>
      </c>
      <c r="M70" s="1564" t="str">
        <f t="shared" si="19"/>
        <v>2016-1</v>
      </c>
      <c r="N70" s="1564" t="str">
        <f t="shared" si="19"/>
        <v>2015-4</v>
      </c>
      <c r="O70" s="1564" t="str">
        <f t="shared" si="19"/>
        <v>2015-3</v>
      </c>
      <c r="P70" s="503"/>
    </row>
    <row r="71" spans="1:17" s="116" customFormat="1" ht="30" customHeight="1">
      <c r="A71" s="2702" t="s">
        <v>1377</v>
      </c>
      <c r="B71" s="328" t="str">
        <f>"北京市平均增长率"&amp;TEXT(SUMIF(基准地价修正!N21:N25,A71,基准地价修正!P21:P25),"0.00%")</f>
        <v>北京市平均增长率1.54%</v>
      </c>
      <c r="C71" s="599">
        <v>100</v>
      </c>
      <c r="D71" s="591">
        <f>C71-$C$72</f>
        <v>99.5</v>
      </c>
      <c r="E71" s="591">
        <f t="shared" ref="E71:O71" si="20">D71-$C$72</f>
        <v>99</v>
      </c>
      <c r="F71" s="591">
        <f t="shared" si="20"/>
        <v>98.5</v>
      </c>
      <c r="G71" s="591">
        <f t="shared" si="20"/>
        <v>98</v>
      </c>
      <c r="H71" s="591">
        <f t="shared" si="20"/>
        <v>97.5</v>
      </c>
      <c r="I71" s="591">
        <f t="shared" si="20"/>
        <v>97</v>
      </c>
      <c r="J71" s="591">
        <f t="shared" si="20"/>
        <v>96.5</v>
      </c>
      <c r="K71" s="591">
        <f t="shared" si="20"/>
        <v>96</v>
      </c>
      <c r="L71" s="591">
        <f t="shared" si="20"/>
        <v>95.5</v>
      </c>
      <c r="M71" s="591">
        <f t="shared" si="20"/>
        <v>95</v>
      </c>
      <c r="N71" s="591">
        <f t="shared" si="20"/>
        <v>94.5</v>
      </c>
      <c r="O71" s="591">
        <f t="shared" si="20"/>
        <v>94</v>
      </c>
      <c r="P71" s="500"/>
    </row>
    <row r="72" spans="1:17" s="116" customFormat="1" ht="15.75" thickBot="1">
      <c r="A72" s="511" t="s">
        <v>2572</v>
      </c>
      <c r="B72" s="512"/>
      <c r="C72" s="513">
        <v>0.5</v>
      </c>
      <c r="D72" s="514"/>
      <c r="E72" s="514"/>
      <c r="F72" s="514"/>
      <c r="G72" s="514"/>
      <c r="H72" s="514"/>
      <c r="I72" s="514"/>
      <c r="J72" s="514"/>
      <c r="K72" s="514"/>
      <c r="L72" s="514"/>
      <c r="M72" s="515"/>
      <c r="N72" s="514"/>
      <c r="O72" s="1155"/>
      <c r="P72" s="500"/>
      <c r="Q72" s="500"/>
    </row>
    <row r="73" spans="1:17" s="116" customFormat="1" ht="15">
      <c r="A73" s="517" t="s">
        <v>2537</v>
      </c>
      <c r="B73" s="506"/>
      <c r="C73" s="518" t="s">
        <v>2574</v>
      </c>
      <c r="D73" s="519"/>
      <c r="E73" s="519"/>
      <c r="F73" s="519"/>
      <c r="G73" s="519"/>
      <c r="H73" s="519"/>
      <c r="I73" s="519"/>
      <c r="J73" s="519"/>
      <c r="K73" s="519"/>
      <c r="L73" s="520"/>
      <c r="M73" s="521"/>
      <c r="N73" s="1144"/>
      <c r="O73" s="1144"/>
      <c r="P73" s="522"/>
      <c r="Q73" s="500"/>
    </row>
    <row r="74" spans="1:17" s="116" customFormat="1" ht="15.75" thickBot="1">
      <c r="A74" s="517"/>
      <c r="B74" s="506"/>
      <c r="C74" s="635">
        <v>100</v>
      </c>
      <c r="D74" s="508"/>
      <c r="E74" s="508"/>
      <c r="F74" s="508"/>
      <c r="G74" s="508"/>
      <c r="H74" s="508"/>
      <c r="I74" s="508"/>
      <c r="J74" s="508"/>
      <c r="K74" s="508"/>
      <c r="L74" s="508"/>
      <c r="M74" s="510"/>
      <c r="N74" s="1144"/>
      <c r="O74" s="1144"/>
      <c r="P74" s="500"/>
      <c r="Q74" s="500"/>
    </row>
    <row r="75" spans="1:17" ht="28.5">
      <c r="A75" s="523" t="s">
        <v>2575</v>
      </c>
      <c r="B75" s="524" t="s">
        <v>2541</v>
      </c>
      <c r="C75" s="2982" t="s">
        <v>3365</v>
      </c>
      <c r="D75" s="526" t="str">
        <f>'土地案例（商业）'!F8</f>
        <v>商业用地、商务用地</v>
      </c>
      <c r="E75" s="526" t="str">
        <f>'土地案例（商业）'!F10</f>
        <v>其它商务用地、防护绿地</v>
      </c>
      <c r="F75" s="526"/>
      <c r="G75" s="526"/>
      <c r="H75" s="526"/>
      <c r="I75" s="526"/>
      <c r="J75" s="526"/>
      <c r="K75" s="527"/>
      <c r="L75" s="528"/>
      <c r="M75" s="529"/>
      <c r="N75" s="1145"/>
      <c r="O75" s="1145"/>
      <c r="P75" s="45"/>
      <c r="Q75" s="500"/>
    </row>
    <row r="76" spans="1:17" ht="15.75" thickBot="1">
      <c r="A76" s="530"/>
      <c r="B76" s="531"/>
      <c r="C76" s="532">
        <v>100</v>
      </c>
      <c r="D76" s="532">
        <v>100</v>
      </c>
      <c r="E76" s="532">
        <v>100</v>
      </c>
      <c r="F76" s="532"/>
      <c r="G76" s="532"/>
      <c r="H76" s="532"/>
      <c r="I76" s="532"/>
      <c r="J76" s="532"/>
      <c r="K76" s="532"/>
      <c r="L76" s="532"/>
      <c r="M76" s="533"/>
      <c r="N76" s="1146"/>
      <c r="O76" s="1146"/>
      <c r="P76" s="45"/>
      <c r="Q76" s="500"/>
    </row>
    <row r="77" spans="1:17" ht="27.75" thickTop="1">
      <c r="A77" s="530"/>
      <c r="B77" s="534" t="s">
        <v>2544</v>
      </c>
      <c r="C77" s="535"/>
      <c r="D77" s="535"/>
      <c r="E77" s="535"/>
      <c r="F77" s="535"/>
      <c r="G77" s="535"/>
      <c r="H77" s="535"/>
      <c r="I77" s="535"/>
      <c r="J77" s="535"/>
      <c r="K77" s="536"/>
      <c r="L77" s="537"/>
      <c r="M77" s="538"/>
      <c r="N77" s="1145"/>
      <c r="O77" s="1145"/>
      <c r="P77" s="45"/>
      <c r="Q77" s="500"/>
    </row>
    <row r="78" spans="1:17" ht="15.75" thickBot="1">
      <c r="A78" s="530"/>
      <c r="B78" s="539"/>
      <c r="C78" s="540"/>
      <c r="D78" s="540"/>
      <c r="E78" s="540"/>
      <c r="F78" s="540"/>
      <c r="G78" s="540"/>
      <c r="H78" s="540"/>
      <c r="I78" s="540"/>
      <c r="J78" s="540"/>
      <c r="K78" s="540"/>
      <c r="L78" s="540"/>
      <c r="M78" s="541"/>
      <c r="N78" s="1146"/>
      <c r="O78" s="1146"/>
      <c r="P78" s="45"/>
      <c r="Q78" s="500"/>
    </row>
    <row r="79" spans="1:17" ht="15.75" thickTop="1">
      <c r="A79" s="530"/>
      <c r="B79" s="542" t="s">
        <v>2545</v>
      </c>
      <c r="C79" s="543" t="str">
        <f>C80&amp;"（含）"&amp;"-"&amp;D80</f>
        <v>0（含）-2</v>
      </c>
      <c r="D79" s="543" t="str">
        <f t="shared" ref="D79:L79" si="21">D80&amp;"（含）"&amp;"-"&amp;E80</f>
        <v>2（含）-4</v>
      </c>
      <c r="E79" s="543" t="str">
        <f t="shared" si="21"/>
        <v>4（含）-6</v>
      </c>
      <c r="F79" s="543" t="str">
        <f t="shared" si="21"/>
        <v>6（含）-8</v>
      </c>
      <c r="G79" s="543" t="str">
        <f t="shared" si="21"/>
        <v>8（含）-10</v>
      </c>
      <c r="H79" s="543" t="str">
        <f t="shared" si="21"/>
        <v>10（含）-12</v>
      </c>
      <c r="I79" s="543" t="str">
        <f t="shared" si="21"/>
        <v>12（含）-14</v>
      </c>
      <c r="J79" s="543" t="str">
        <f t="shared" si="21"/>
        <v>14（含）-16</v>
      </c>
      <c r="K79" s="543" t="str">
        <f t="shared" si="21"/>
        <v>16（含）-18</v>
      </c>
      <c r="L79" s="543" t="str">
        <f t="shared" si="21"/>
        <v>18（含）-20</v>
      </c>
      <c r="M79" s="444" t="str">
        <f>M80&amp;"（含）"&amp;"-"&amp;P80</f>
        <v>20（含）-</v>
      </c>
      <c r="N79" s="1146"/>
      <c r="O79" s="1146"/>
      <c r="P79" s="45"/>
      <c r="Q79" s="500"/>
    </row>
    <row r="80" spans="1:17" ht="15">
      <c r="A80" s="530"/>
      <c r="B80" s="544"/>
      <c r="C80" s="545">
        <v>0</v>
      </c>
      <c r="D80" s="545">
        <f>C80+2</f>
        <v>2</v>
      </c>
      <c r="E80" s="545">
        <f t="shared" ref="E80:M80" si="22">D80+2</f>
        <v>4</v>
      </c>
      <c r="F80" s="545">
        <f t="shared" si="22"/>
        <v>6</v>
      </c>
      <c r="G80" s="545">
        <f t="shared" si="22"/>
        <v>8</v>
      </c>
      <c r="H80" s="545">
        <f t="shared" si="22"/>
        <v>10</v>
      </c>
      <c r="I80" s="545">
        <f t="shared" si="22"/>
        <v>12</v>
      </c>
      <c r="J80" s="545">
        <f t="shared" si="22"/>
        <v>14</v>
      </c>
      <c r="K80" s="545">
        <f t="shared" si="22"/>
        <v>16</v>
      </c>
      <c r="L80" s="545">
        <f t="shared" si="22"/>
        <v>18</v>
      </c>
      <c r="M80" s="545">
        <f t="shared" si="22"/>
        <v>20</v>
      </c>
      <c r="N80" s="1145"/>
      <c r="O80" s="1145"/>
      <c r="P80" s="45"/>
      <c r="Q80" s="500"/>
    </row>
    <row r="81" spans="1:17" ht="15.75" thickBot="1">
      <c r="A81" s="530"/>
      <c r="B81" s="531"/>
      <c r="C81" s="540">
        <v>100</v>
      </c>
      <c r="D81" s="540">
        <f t="shared" ref="D81:M81" si="23">IF($B$46="单位面积地价",C81+$K11,C81-$K11)</f>
        <v>98</v>
      </c>
      <c r="E81" s="540">
        <f t="shared" si="23"/>
        <v>96</v>
      </c>
      <c r="F81" s="540">
        <f t="shared" si="23"/>
        <v>94</v>
      </c>
      <c r="G81" s="540">
        <f t="shared" si="23"/>
        <v>92</v>
      </c>
      <c r="H81" s="540">
        <f t="shared" si="23"/>
        <v>90</v>
      </c>
      <c r="I81" s="540">
        <f t="shared" si="23"/>
        <v>88</v>
      </c>
      <c r="J81" s="540">
        <f t="shared" si="23"/>
        <v>86</v>
      </c>
      <c r="K81" s="540">
        <f t="shared" si="23"/>
        <v>84</v>
      </c>
      <c r="L81" s="540">
        <f t="shared" si="23"/>
        <v>82</v>
      </c>
      <c r="M81" s="540">
        <f t="shared" si="23"/>
        <v>80</v>
      </c>
      <c r="N81" s="1146"/>
      <c r="O81" s="1146"/>
      <c r="P81" s="45"/>
      <c r="Q81" s="500"/>
    </row>
    <row r="82" spans="1:17" s="467" customFormat="1" ht="16.5" hidden="1" thickTop="1" thickBot="1">
      <c r="A82" s="549"/>
      <c r="B82" s="534">
        <f>B12</f>
        <v>0</v>
      </c>
      <c r="C82" s="550"/>
      <c r="D82" s="550"/>
      <c r="E82" s="550"/>
      <c r="F82" s="550"/>
      <c r="G82" s="550"/>
      <c r="H82" s="551"/>
      <c r="I82" s="551"/>
      <c r="J82" s="551"/>
      <c r="K82" s="551"/>
      <c r="L82" s="552"/>
      <c r="M82" s="553"/>
      <c r="N82" s="1147"/>
      <c r="O82" s="1147"/>
      <c r="P82" s="554"/>
      <c r="Q82" s="555"/>
    </row>
    <row r="83" spans="1:17" s="467" customFormat="1" ht="16.5" hidden="1" thickTop="1" thickBot="1">
      <c r="A83" s="549"/>
      <c r="B83" s="539"/>
      <c r="C83" s="556"/>
      <c r="D83" s="532"/>
      <c r="E83" s="532"/>
      <c r="F83" s="532"/>
      <c r="G83" s="532"/>
      <c r="H83" s="532"/>
      <c r="I83" s="532"/>
      <c r="J83" s="532"/>
      <c r="K83" s="532"/>
      <c r="L83" s="532"/>
      <c r="M83" s="533"/>
      <c r="N83" s="1146"/>
      <c r="O83" s="1146"/>
      <c r="P83" s="554"/>
      <c r="Q83" s="555"/>
    </row>
    <row r="84" spans="1:17" s="467" customFormat="1" ht="16.5" hidden="1" thickTop="1" thickBot="1">
      <c r="A84" s="549"/>
      <c r="B84" s="534">
        <f>B13</f>
        <v>0</v>
      </c>
      <c r="C84" s="550"/>
      <c r="D84" s="550"/>
      <c r="E84" s="550"/>
      <c r="F84" s="550"/>
      <c r="G84" s="550"/>
      <c r="H84" s="551"/>
      <c r="I84" s="551"/>
      <c r="J84" s="551"/>
      <c r="K84" s="551"/>
      <c r="L84" s="552"/>
      <c r="M84" s="553"/>
      <c r="N84" s="1147"/>
      <c r="O84" s="1147"/>
      <c r="P84" s="466"/>
      <c r="Q84" s="557"/>
    </row>
    <row r="85" spans="1:17" s="467" customFormat="1" ht="16.5" hidden="1" thickTop="1" thickBot="1">
      <c r="A85" s="549"/>
      <c r="B85" s="539"/>
      <c r="C85" s="556"/>
      <c r="D85" s="556"/>
      <c r="E85" s="556"/>
      <c r="F85" s="556"/>
      <c r="G85" s="556"/>
      <c r="H85" s="558"/>
      <c r="I85" s="558"/>
      <c r="J85" s="558"/>
      <c r="K85" s="558"/>
      <c r="L85" s="558"/>
      <c r="M85" s="559"/>
      <c r="N85" s="1147"/>
      <c r="O85" s="1147"/>
      <c r="P85" s="554"/>
      <c r="Q85" s="555"/>
    </row>
    <row r="86" spans="1:17" s="467" customFormat="1" ht="16.5" hidden="1" thickTop="1" thickBot="1">
      <c r="A86" s="549"/>
      <c r="B86" s="542">
        <f>B14</f>
        <v>0</v>
      </c>
      <c r="C86" s="519"/>
      <c r="D86" s="519"/>
      <c r="E86" s="519"/>
      <c r="F86" s="519"/>
      <c r="G86" s="519"/>
      <c r="H86" s="560"/>
      <c r="I86" s="560"/>
      <c r="J86" s="560"/>
      <c r="K86" s="560"/>
      <c r="L86" s="561"/>
      <c r="M86" s="562"/>
      <c r="N86" s="1147"/>
      <c r="O86" s="1147"/>
      <c r="P86" s="563"/>
      <c r="Q86" s="555"/>
    </row>
    <row r="87" spans="1:17" s="467" customFormat="1" ht="16.5" hidden="1" thickTop="1" thickBot="1">
      <c r="A87" s="564"/>
      <c r="B87" s="565"/>
      <c r="C87" s="566"/>
      <c r="D87" s="566"/>
      <c r="E87" s="566"/>
      <c r="F87" s="566"/>
      <c r="G87" s="566"/>
      <c r="H87" s="567"/>
      <c r="I87" s="567"/>
      <c r="J87" s="567"/>
      <c r="K87" s="567"/>
      <c r="L87" s="567"/>
      <c r="M87" s="568"/>
      <c r="N87" s="1147"/>
      <c r="O87" s="1147"/>
      <c r="P87" s="554"/>
      <c r="Q87" s="555"/>
    </row>
    <row r="88" spans="1:17" ht="15" thickTop="1">
      <c r="A88" s="523" t="s">
        <v>2546</v>
      </c>
      <c r="B88" s="524" t="s">
        <v>2583</v>
      </c>
      <c r="C88" s="569" t="s">
        <v>2584</v>
      </c>
      <c r="D88" s="569" t="s">
        <v>2585</v>
      </c>
      <c r="E88" s="569" t="s">
        <v>2586</v>
      </c>
      <c r="F88" s="569" t="s">
        <v>2587</v>
      </c>
      <c r="G88" s="569" t="s">
        <v>2588</v>
      </c>
      <c r="H88" s="525"/>
      <c r="I88" s="525"/>
      <c r="J88" s="525"/>
      <c r="K88" s="570"/>
      <c r="L88" s="571"/>
      <c r="M88" s="572"/>
      <c r="N88" s="1145"/>
      <c r="O88" s="1145"/>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6"/>
      <c r="O89" s="1146"/>
      <c r="P89" s="45"/>
      <c r="Q89" s="500"/>
    </row>
    <row r="90" spans="1:17" ht="15.75" thickTop="1">
      <c r="A90" s="530"/>
      <c r="B90" s="534" t="s">
        <v>2769</v>
      </c>
      <c r="C90" s="574" t="s">
        <v>2584</v>
      </c>
      <c r="D90" s="574" t="s">
        <v>2585</v>
      </c>
      <c r="E90" s="574" t="s">
        <v>2586</v>
      </c>
      <c r="F90" s="574" t="s">
        <v>2587</v>
      </c>
      <c r="G90" s="574" t="s">
        <v>2588</v>
      </c>
      <c r="H90" s="535"/>
      <c r="I90" s="535"/>
      <c r="J90" s="535"/>
      <c r="K90" s="536"/>
      <c r="L90" s="537"/>
      <c r="M90" s="538"/>
      <c r="N90" s="1145"/>
      <c r="O90" s="1145"/>
      <c r="P90" s="45"/>
      <c r="Q90" s="500"/>
    </row>
    <row r="91" spans="1:17" ht="15.75" thickBot="1">
      <c r="A91" s="530"/>
      <c r="B91" s="539"/>
      <c r="C91" s="540">
        <v>100</v>
      </c>
      <c r="D91" s="540">
        <f>C91-$K17</f>
        <v>95</v>
      </c>
      <c r="E91" s="540">
        <f>D91-$K17</f>
        <v>90</v>
      </c>
      <c r="F91" s="540">
        <f>E91-$K17</f>
        <v>85</v>
      </c>
      <c r="G91" s="540">
        <f>F91-$K17</f>
        <v>80</v>
      </c>
      <c r="H91" s="540"/>
      <c r="I91" s="540"/>
      <c r="J91" s="540"/>
      <c r="K91" s="540"/>
      <c r="L91" s="540"/>
      <c r="M91" s="541"/>
      <c r="N91" s="1146"/>
      <c r="O91" s="1146"/>
      <c r="P91" s="45"/>
      <c r="Q91" s="500"/>
    </row>
    <row r="92" spans="1:17" ht="15.75" thickTop="1">
      <c r="A92" s="530"/>
      <c r="B92" s="534" t="s">
        <v>2684</v>
      </c>
      <c r="C92" s="574" t="s">
        <v>2584</v>
      </c>
      <c r="D92" s="574" t="s">
        <v>2585</v>
      </c>
      <c r="E92" s="574" t="s">
        <v>2586</v>
      </c>
      <c r="F92" s="574" t="s">
        <v>2587</v>
      </c>
      <c r="G92" s="574" t="s">
        <v>2588</v>
      </c>
      <c r="H92" s="535"/>
      <c r="I92" s="535"/>
      <c r="J92" s="535"/>
      <c r="K92" s="536"/>
      <c r="L92" s="537"/>
      <c r="M92" s="538"/>
      <c r="N92" s="1145"/>
      <c r="O92" s="1145"/>
      <c r="P92" s="45"/>
      <c r="Q92" s="500"/>
    </row>
    <row r="93" spans="1:17" ht="15.75" thickBot="1">
      <c r="A93" s="530"/>
      <c r="B93" s="539"/>
      <c r="C93" s="540">
        <v>100</v>
      </c>
      <c r="D93" s="540">
        <f>C93-$K19</f>
        <v>97</v>
      </c>
      <c r="E93" s="540">
        <f>D93-$K19</f>
        <v>94</v>
      </c>
      <c r="F93" s="540">
        <f>E93-$K19</f>
        <v>91</v>
      </c>
      <c r="G93" s="540">
        <f>F93-$K19</f>
        <v>88</v>
      </c>
      <c r="H93" s="540"/>
      <c r="I93" s="540"/>
      <c r="J93" s="540"/>
      <c r="K93" s="540"/>
      <c r="L93" s="540"/>
      <c r="M93" s="541"/>
      <c r="N93" s="1146"/>
      <c r="O93" s="1146"/>
      <c r="P93" s="45"/>
      <c r="Q93" s="500"/>
    </row>
    <row r="94" spans="1:17" ht="15.75" thickTop="1">
      <c r="A94" s="530"/>
      <c r="B94" s="534" t="s">
        <v>2589</v>
      </c>
      <c r="C94" s="574" t="s">
        <v>2584</v>
      </c>
      <c r="D94" s="574" t="s">
        <v>2585</v>
      </c>
      <c r="E94" s="574" t="s">
        <v>2586</v>
      </c>
      <c r="F94" s="574" t="s">
        <v>2587</v>
      </c>
      <c r="G94" s="574" t="s">
        <v>2588</v>
      </c>
      <c r="H94" s="535"/>
      <c r="I94" s="535"/>
      <c r="J94" s="535"/>
      <c r="K94" s="536"/>
      <c r="L94" s="537"/>
      <c r="M94" s="538"/>
      <c r="N94" s="1145"/>
      <c r="O94" s="1145"/>
      <c r="P94" s="45"/>
      <c r="Q94" s="500"/>
    </row>
    <row r="95" spans="1:17" ht="15.75" thickBot="1">
      <c r="A95" s="530"/>
      <c r="B95" s="539"/>
      <c r="C95" s="540">
        <v>100</v>
      </c>
      <c r="D95" s="540">
        <f>C95-$K21</f>
        <v>95</v>
      </c>
      <c r="E95" s="540">
        <f>D95-$K21</f>
        <v>90</v>
      </c>
      <c r="F95" s="540">
        <f>E95-$K21</f>
        <v>85</v>
      </c>
      <c r="G95" s="540">
        <f>F95-$K21</f>
        <v>80</v>
      </c>
      <c r="H95" s="540"/>
      <c r="I95" s="540"/>
      <c r="J95" s="540"/>
      <c r="K95" s="540"/>
      <c r="L95" s="540"/>
      <c r="M95" s="541"/>
      <c r="N95" s="1146"/>
      <c r="O95" s="1146"/>
      <c r="P95" s="45"/>
      <c r="Q95" s="500"/>
    </row>
    <row r="96" spans="1:17" s="116" customFormat="1" ht="15.75" thickTop="1">
      <c r="A96" s="575"/>
      <c r="B96" s="534" t="s">
        <v>2770</v>
      </c>
      <c r="C96" s="574" t="s">
        <v>2584</v>
      </c>
      <c r="D96" s="574" t="s">
        <v>2585</v>
      </c>
      <c r="E96" s="574" t="s">
        <v>2586</v>
      </c>
      <c r="F96" s="574" t="s">
        <v>2587</v>
      </c>
      <c r="G96" s="574" t="s">
        <v>2588</v>
      </c>
      <c r="H96" s="574"/>
      <c r="I96" s="574"/>
      <c r="J96" s="574"/>
      <c r="K96" s="574"/>
      <c r="L96" s="694"/>
      <c r="M96" s="618"/>
      <c r="N96" s="1144"/>
      <c r="O96" s="1144"/>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6"/>
      <c r="O97" s="1146"/>
      <c r="P97" s="45"/>
      <c r="Q97" s="500"/>
    </row>
    <row r="98" spans="1:17" s="116" customFormat="1" ht="27.75" thickTop="1">
      <c r="A98" s="575"/>
      <c r="B98" s="534" t="s">
        <v>2771</v>
      </c>
      <c r="C98" s="569" t="s">
        <v>2584</v>
      </c>
      <c r="D98" s="569" t="s">
        <v>2585</v>
      </c>
      <c r="E98" s="569" t="s">
        <v>2586</v>
      </c>
      <c r="F98" s="569" t="s">
        <v>2587</v>
      </c>
      <c r="G98" s="569" t="s">
        <v>2588</v>
      </c>
      <c r="H98" s="574"/>
      <c r="I98" s="574"/>
      <c r="J98" s="574"/>
      <c r="K98" s="574"/>
      <c r="L98" s="574"/>
      <c r="M98" s="618"/>
      <c r="N98" s="1144"/>
      <c r="O98" s="1144"/>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6"/>
      <c r="O99" s="1146"/>
      <c r="P99" s="45"/>
      <c r="Q99" s="500"/>
    </row>
    <row r="100" spans="1:17" s="467" customFormat="1" ht="15.75" thickTop="1">
      <c r="A100" s="549"/>
      <c r="B100" s="534" t="s">
        <v>2641</v>
      </c>
      <c r="C100" s="569" t="s">
        <v>2584</v>
      </c>
      <c r="D100" s="569" t="s">
        <v>2585</v>
      </c>
      <c r="E100" s="569" t="s">
        <v>2586</v>
      </c>
      <c r="F100" s="569" t="s">
        <v>2587</v>
      </c>
      <c r="G100" s="569" t="s">
        <v>2588</v>
      </c>
      <c r="H100" s="596"/>
      <c r="I100" s="596"/>
      <c r="J100" s="596"/>
      <c r="K100" s="596"/>
      <c r="L100" s="597"/>
      <c r="M100" s="598"/>
      <c r="N100" s="1147"/>
      <c r="O100" s="1147"/>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7"/>
      <c r="O101" s="1147"/>
      <c r="P101" s="554"/>
      <c r="Q101" s="555"/>
    </row>
    <row r="102" spans="1:17" s="467" customFormat="1" ht="15.75" thickTop="1">
      <c r="A102" s="549"/>
      <c r="B102" s="542" t="s">
        <v>2642</v>
      </c>
      <c r="C102" s="656" t="s">
        <v>2662</v>
      </c>
      <c r="D102" s="656" t="s">
        <v>2663</v>
      </c>
      <c r="E102" s="656" t="s">
        <v>2664</v>
      </c>
      <c r="F102" s="656" t="s">
        <v>2665</v>
      </c>
      <c r="G102" s="656" t="s">
        <v>2666</v>
      </c>
      <c r="H102" s="596"/>
      <c r="I102" s="596"/>
      <c r="J102" s="596"/>
      <c r="K102" s="596"/>
      <c r="L102" s="596"/>
      <c r="M102" s="1378"/>
      <c r="N102" s="1147"/>
      <c r="O102" s="1147"/>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78"/>
      <c r="N103" s="1147"/>
      <c r="O103" s="1147"/>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45"/>
      <c r="O104" s="1145"/>
      <c r="P104" s="45"/>
      <c r="Q104" s="500"/>
    </row>
    <row r="105" spans="1:17" ht="15.75"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6"/>
      <c r="O105" s="1146"/>
      <c r="P105" s="45"/>
      <c r="Q105" s="500"/>
    </row>
    <row r="106" spans="1:17" ht="27.75" thickTop="1">
      <c r="A106" s="530"/>
      <c r="B106" s="534" t="s">
        <v>2678</v>
      </c>
      <c r="C106" s="2966" t="s">
        <v>3176</v>
      </c>
      <c r="D106" s="2966" t="s">
        <v>3177</v>
      </c>
      <c r="E106" s="2966" t="s">
        <v>3179</v>
      </c>
      <c r="F106" s="2966" t="s">
        <v>3181</v>
      </c>
      <c r="G106" s="550"/>
      <c r="H106" s="579"/>
      <c r="I106" s="579"/>
      <c r="J106" s="579"/>
      <c r="K106" s="580"/>
      <c r="L106" s="581"/>
      <c r="M106" s="582"/>
      <c r="N106" s="1145"/>
      <c r="O106" s="1145"/>
      <c r="P106" s="45"/>
      <c r="Q106" s="500"/>
    </row>
    <row r="107" spans="1:17" ht="15.75" thickBot="1">
      <c r="A107" s="530"/>
      <c r="B107" s="539"/>
      <c r="C107" s="540">
        <v>100</v>
      </c>
      <c r="D107" s="540">
        <f>C107-$K32</f>
        <v>99</v>
      </c>
      <c r="E107" s="540">
        <f t="shared" ref="E107:M107" si="25">D107-$K32</f>
        <v>98</v>
      </c>
      <c r="F107" s="540">
        <f t="shared" si="25"/>
        <v>97</v>
      </c>
      <c r="G107" s="540">
        <f t="shared" si="25"/>
        <v>96</v>
      </c>
      <c r="H107" s="540">
        <f t="shared" si="25"/>
        <v>95</v>
      </c>
      <c r="I107" s="540">
        <f t="shared" si="25"/>
        <v>94</v>
      </c>
      <c r="J107" s="540">
        <f t="shared" si="25"/>
        <v>93</v>
      </c>
      <c r="K107" s="540">
        <f t="shared" si="25"/>
        <v>92</v>
      </c>
      <c r="L107" s="540">
        <f t="shared" si="25"/>
        <v>91</v>
      </c>
      <c r="M107" s="540">
        <f t="shared" si="25"/>
        <v>90</v>
      </c>
      <c r="N107" s="1146"/>
      <c r="O107" s="1146"/>
      <c r="P107" s="45"/>
      <c r="Q107" s="500"/>
    </row>
    <row r="108" spans="1:17" ht="16.5" hidden="1" thickTop="1" thickBot="1">
      <c r="A108" s="530"/>
      <c r="B108" s="534" t="s">
        <v>2736</v>
      </c>
      <c r="C108" s="579"/>
      <c r="D108" s="579"/>
      <c r="E108" s="579"/>
      <c r="F108" s="579"/>
      <c r="G108" s="579"/>
      <c r="H108" s="579"/>
      <c r="I108" s="579"/>
      <c r="J108" s="579"/>
      <c r="K108" s="580"/>
      <c r="L108" s="581"/>
      <c r="M108" s="582"/>
      <c r="N108" s="1145"/>
      <c r="O108" s="1145"/>
      <c r="P108" s="45"/>
      <c r="Q108" s="500"/>
    </row>
    <row r="109" spans="1:17" ht="16.5" hidden="1" thickTop="1"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6"/>
      <c r="O109" s="1146"/>
      <c r="P109" s="45"/>
      <c r="Q109" s="500"/>
    </row>
    <row r="110" spans="1:17" ht="16.5" hidden="1" thickTop="1" thickBot="1">
      <c r="A110" s="530"/>
      <c r="B110" s="542">
        <f>B35</f>
        <v>0</v>
      </c>
      <c r="C110" s="550"/>
      <c r="D110" s="550"/>
      <c r="E110" s="550"/>
      <c r="F110" s="550"/>
      <c r="G110" s="583"/>
      <c r="H110" s="583"/>
      <c r="I110" s="583"/>
      <c r="J110" s="583"/>
      <c r="K110" s="584"/>
      <c r="L110" s="585"/>
      <c r="M110" s="586"/>
      <c r="N110" s="1145"/>
      <c r="O110" s="1145"/>
      <c r="P110" s="45"/>
      <c r="Q110" s="500"/>
    </row>
    <row r="111" spans="1:17" ht="16.5" hidden="1" thickTop="1" thickBot="1">
      <c r="A111" s="530"/>
      <c r="B111" s="565"/>
      <c r="C111" s="556"/>
      <c r="D111" s="556"/>
      <c r="E111" s="556"/>
      <c r="F111" s="556"/>
      <c r="G111" s="587"/>
      <c r="H111" s="587"/>
      <c r="I111" s="587"/>
      <c r="J111" s="587"/>
      <c r="K111" s="587"/>
      <c r="L111" s="587"/>
      <c r="M111" s="588"/>
      <c r="N111" s="1146"/>
      <c r="O111" s="1146"/>
      <c r="P111" s="45"/>
      <c r="Q111" s="500"/>
    </row>
    <row r="112" spans="1:17" ht="15.75" hidden="1" thickTop="1" thickBot="1">
      <c r="A112" s="671"/>
      <c r="B112" s="534">
        <f>B36</f>
        <v>0</v>
      </c>
      <c r="C112" s="519"/>
      <c r="D112" s="519"/>
      <c r="E112" s="519"/>
      <c r="F112" s="519"/>
      <c r="G112" s="579"/>
      <c r="H112" s="579"/>
      <c r="I112" s="579"/>
      <c r="J112" s="579"/>
      <c r="K112" s="580"/>
      <c r="L112" s="581"/>
      <c r="M112" s="582"/>
      <c r="N112" s="1145"/>
      <c r="O112" s="1145"/>
      <c r="P112" s="45"/>
      <c r="Q112" s="500"/>
    </row>
    <row r="113" spans="1:17" ht="16.5" hidden="1" thickTop="1" thickBot="1">
      <c r="A113" s="530"/>
      <c r="B113" s="539"/>
      <c r="C113" s="566"/>
      <c r="D113" s="566"/>
      <c r="E113" s="566"/>
      <c r="F113" s="566"/>
      <c r="G113" s="532"/>
      <c r="H113" s="532"/>
      <c r="I113" s="532"/>
      <c r="J113" s="532"/>
      <c r="K113" s="532"/>
      <c r="L113" s="532"/>
      <c r="M113" s="533"/>
      <c r="N113" s="1146"/>
      <c r="O113" s="1146"/>
      <c r="P113" s="45"/>
      <c r="Q113" s="500"/>
    </row>
    <row r="114" spans="1:17" s="467" customFormat="1" ht="15.75" hidden="1" thickTop="1" thickBot="1">
      <c r="A114" s="589"/>
      <c r="B114" s="590">
        <f>B37</f>
        <v>0</v>
      </c>
      <c r="C114" s="591"/>
      <c r="D114" s="591"/>
      <c r="E114" s="591"/>
      <c r="F114" s="591"/>
      <c r="G114" s="591"/>
      <c r="H114" s="591"/>
      <c r="I114" s="591"/>
      <c r="J114" s="592"/>
      <c r="K114" s="592"/>
      <c r="L114" s="593"/>
      <c r="M114" s="594"/>
      <c r="N114" s="1147"/>
      <c r="O114" s="1147"/>
      <c r="P114" s="554"/>
      <c r="Q114" s="555"/>
    </row>
    <row r="115" spans="1:17" s="467" customFormat="1" ht="16.5" hidden="1" thickTop="1" thickBot="1">
      <c r="A115" s="549"/>
      <c r="B115" s="542"/>
      <c r="C115" s="508"/>
      <c r="D115" s="673"/>
      <c r="E115" s="673"/>
      <c r="F115" s="673"/>
      <c r="G115" s="673"/>
      <c r="H115" s="673"/>
      <c r="I115" s="673"/>
      <c r="J115" s="673"/>
      <c r="K115" s="673"/>
      <c r="L115" s="673"/>
      <c r="M115" s="695"/>
      <c r="N115" s="1146"/>
      <c r="O115" s="1146"/>
      <c r="P115" s="554"/>
      <c r="Q115" s="555"/>
    </row>
    <row r="116" spans="1:17" ht="15" thickTop="1">
      <c r="A116" s="523" t="s">
        <v>2550</v>
      </c>
      <c r="B116" s="524" t="s">
        <v>2776</v>
      </c>
      <c r="C116" s="525" t="str">
        <f>C117&amp;"(含)"&amp;"-"&amp;D117</f>
        <v>0(含)-</v>
      </c>
      <c r="D116" s="525" t="str">
        <f t="shared" ref="D116:M116" si="27">D117&amp;"(含)"&amp;"-"&amp;E117</f>
        <v>(含)-</v>
      </c>
      <c r="E116" s="525" t="str">
        <f t="shared" si="27"/>
        <v>(含)-</v>
      </c>
      <c r="F116" s="525" t="str">
        <f t="shared" si="27"/>
        <v>(含)-</v>
      </c>
      <c r="G116" s="525" t="str">
        <f t="shared" si="27"/>
        <v>(含)-</v>
      </c>
      <c r="H116" s="525" t="str">
        <f t="shared" si="27"/>
        <v>(含)-</v>
      </c>
      <c r="I116" s="525" t="str">
        <f t="shared" si="27"/>
        <v>(含)-</v>
      </c>
      <c r="J116" s="525" t="str">
        <f t="shared" si="27"/>
        <v>(含)-</v>
      </c>
      <c r="K116" s="525" t="str">
        <f t="shared" si="27"/>
        <v>(含)-</v>
      </c>
      <c r="L116" s="525" t="str">
        <f t="shared" si="27"/>
        <v>(含)-</v>
      </c>
      <c r="M116" s="525" t="str">
        <f t="shared" si="27"/>
        <v>(含)-</v>
      </c>
      <c r="N116" s="1145"/>
      <c r="O116" s="1145"/>
      <c r="P116" s="45"/>
      <c r="Q116" s="500"/>
    </row>
    <row r="117" spans="1:17" ht="15">
      <c r="A117" s="530"/>
      <c r="B117" s="542"/>
      <c r="C117" s="591">
        <v>0</v>
      </c>
      <c r="D117" s="591"/>
      <c r="E117" s="591"/>
      <c r="F117" s="591"/>
      <c r="G117" s="591"/>
      <c r="H117" s="591"/>
      <c r="I117" s="591"/>
      <c r="J117" s="592"/>
      <c r="K117" s="592"/>
      <c r="L117" s="593"/>
      <c r="M117" s="594"/>
      <c r="N117" s="1145"/>
      <c r="O117" s="1145"/>
      <c r="P117" s="45"/>
      <c r="Q117" s="500"/>
    </row>
    <row r="118" spans="1:17" ht="15.75" thickBot="1">
      <c r="A118" s="530"/>
      <c r="B118" s="539"/>
      <c r="C118" s="566"/>
      <c r="D118" s="587"/>
      <c r="E118" s="587"/>
      <c r="F118" s="587"/>
      <c r="G118" s="587"/>
      <c r="H118" s="587"/>
      <c r="I118" s="587"/>
      <c r="J118" s="587"/>
      <c r="K118" s="587"/>
      <c r="L118" s="587"/>
      <c r="M118" s="588"/>
      <c r="N118" s="1146"/>
      <c r="O118" s="1146"/>
      <c r="P118" s="45"/>
      <c r="Q118" s="500"/>
    </row>
    <row r="119" spans="1:17" ht="15" thickTop="1">
      <c r="A119" s="595"/>
      <c r="B119" s="534" t="s">
        <v>2777</v>
      </c>
      <c r="C119" s="2965" t="s">
        <v>3170</v>
      </c>
      <c r="D119" s="579"/>
      <c r="E119" s="579"/>
      <c r="F119" s="579"/>
      <c r="G119" s="579"/>
      <c r="H119" s="579"/>
      <c r="I119" s="579"/>
      <c r="J119" s="579"/>
      <c r="K119" s="580"/>
      <c r="L119" s="581"/>
      <c r="M119" s="582"/>
      <c r="N119" s="1145"/>
      <c r="O119" s="1145"/>
      <c r="P119" s="45"/>
      <c r="Q119" s="500"/>
    </row>
    <row r="120" spans="1:17" ht="15.75" thickBot="1">
      <c r="A120" s="530"/>
      <c r="B120" s="539"/>
      <c r="C120" s="540">
        <v>100</v>
      </c>
      <c r="D120" s="540">
        <f t="shared" ref="D120:M120" si="28">C120-$K39</f>
        <v>98</v>
      </c>
      <c r="E120" s="540">
        <f t="shared" si="28"/>
        <v>96</v>
      </c>
      <c r="F120" s="540">
        <f t="shared" si="28"/>
        <v>94</v>
      </c>
      <c r="G120" s="540">
        <f t="shared" si="28"/>
        <v>92</v>
      </c>
      <c r="H120" s="540">
        <f t="shared" si="28"/>
        <v>90</v>
      </c>
      <c r="I120" s="540">
        <f t="shared" si="28"/>
        <v>88</v>
      </c>
      <c r="J120" s="540">
        <f t="shared" si="28"/>
        <v>86</v>
      </c>
      <c r="K120" s="540">
        <f t="shared" si="28"/>
        <v>84</v>
      </c>
      <c r="L120" s="540">
        <f t="shared" si="28"/>
        <v>82</v>
      </c>
      <c r="M120" s="541">
        <f t="shared" si="28"/>
        <v>80</v>
      </c>
      <c r="N120" s="1146"/>
      <c r="O120" s="1146"/>
      <c r="P120" s="45"/>
      <c r="Q120" s="500"/>
    </row>
    <row r="121" spans="1:17" ht="15.75" hidden="1" thickTop="1" thickBot="1">
      <c r="A121" s="595"/>
      <c r="B121" s="534" t="s">
        <v>2778</v>
      </c>
      <c r="C121" s="550"/>
      <c r="D121" s="550"/>
      <c r="E121" s="550"/>
      <c r="F121" s="579"/>
      <c r="G121" s="579"/>
      <c r="H121" s="579"/>
      <c r="I121" s="579"/>
      <c r="J121" s="579"/>
      <c r="K121" s="580"/>
      <c r="L121" s="581"/>
      <c r="M121" s="582"/>
      <c r="N121" s="1145"/>
      <c r="O121" s="1145"/>
      <c r="P121" s="45"/>
      <c r="Q121" s="500"/>
    </row>
    <row r="122" spans="1:17" ht="16.5" hidden="1" thickTop="1"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6"/>
      <c r="O122" s="1146"/>
      <c r="P122" s="45"/>
      <c r="Q122" s="500"/>
    </row>
    <row r="123" spans="1:17" s="467" customFormat="1" ht="15" thickTop="1">
      <c r="A123" s="589"/>
      <c r="B123" s="534" t="s">
        <v>2779</v>
      </c>
      <c r="C123" s="2966" t="s">
        <v>3171</v>
      </c>
      <c r="D123" s="2966" t="s">
        <v>3172</v>
      </c>
      <c r="E123" s="2966" t="s">
        <v>3173</v>
      </c>
      <c r="F123" s="550"/>
      <c r="G123" s="550"/>
      <c r="H123" s="579"/>
      <c r="I123" s="579"/>
      <c r="J123" s="579"/>
      <c r="K123" s="580"/>
      <c r="L123" s="581"/>
      <c r="M123" s="582"/>
      <c r="N123" s="1147"/>
      <c r="O123" s="1147"/>
      <c r="P123" s="554"/>
      <c r="Q123" s="555"/>
    </row>
    <row r="124" spans="1:17" s="467" customFormat="1" ht="15.75" thickBot="1">
      <c r="A124" s="549"/>
      <c r="B124" s="539"/>
      <c r="C124" s="540">
        <v>100</v>
      </c>
      <c r="D124" s="540">
        <f>C124-$K41</f>
        <v>100</v>
      </c>
      <c r="E124" s="540">
        <f t="shared" ref="E124:M124" si="30">D124-$K41</f>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7"/>
      <c r="O124" s="1147"/>
      <c r="P124" s="554"/>
      <c r="Q124" s="555"/>
    </row>
    <row r="125" spans="1:17" ht="15" thickTop="1">
      <c r="A125" s="595"/>
      <c r="B125" s="534" t="s">
        <v>2780</v>
      </c>
      <c r="C125" s="2966" t="s">
        <v>3175</v>
      </c>
      <c r="D125" s="550"/>
      <c r="E125" s="579"/>
      <c r="F125" s="579"/>
      <c r="G125" s="579"/>
      <c r="H125" s="579"/>
      <c r="I125" s="579"/>
      <c r="J125" s="579"/>
      <c r="K125" s="580"/>
      <c r="L125" s="581"/>
      <c r="M125" s="582"/>
      <c r="N125" s="1145"/>
      <c r="O125" s="1145"/>
      <c r="P125" s="45"/>
      <c r="Q125" s="500"/>
    </row>
    <row r="126" spans="1:17" ht="15.75" thickBot="1">
      <c r="A126" s="530"/>
      <c r="B126" s="539"/>
      <c r="C126" s="540">
        <v>100</v>
      </c>
      <c r="D126" s="540">
        <f t="shared" ref="D126:M126" si="31">C126-$K42</f>
        <v>98</v>
      </c>
      <c r="E126" s="540">
        <f t="shared" si="31"/>
        <v>96</v>
      </c>
      <c r="F126" s="540">
        <f t="shared" si="31"/>
        <v>94</v>
      </c>
      <c r="G126" s="540">
        <f t="shared" si="31"/>
        <v>92</v>
      </c>
      <c r="H126" s="540">
        <f t="shared" si="31"/>
        <v>90</v>
      </c>
      <c r="I126" s="540">
        <f t="shared" si="31"/>
        <v>88</v>
      </c>
      <c r="J126" s="540">
        <f t="shared" si="31"/>
        <v>86</v>
      </c>
      <c r="K126" s="540">
        <f t="shared" si="31"/>
        <v>84</v>
      </c>
      <c r="L126" s="540">
        <f t="shared" si="31"/>
        <v>82</v>
      </c>
      <c r="M126" s="541">
        <f t="shared" si="31"/>
        <v>80</v>
      </c>
      <c r="N126" s="1146"/>
      <c r="O126" s="1146"/>
      <c r="P126" s="45"/>
      <c r="Q126" s="500"/>
    </row>
    <row r="127" spans="1:17" ht="15" hidden="1" thickTop="1">
      <c r="A127" s="595"/>
      <c r="B127" s="534">
        <f>B43</f>
        <v>0</v>
      </c>
      <c r="C127" s="550"/>
      <c r="D127" s="550"/>
      <c r="E127" s="550"/>
      <c r="F127" s="550"/>
      <c r="G127" s="550"/>
      <c r="H127" s="579"/>
      <c r="I127" s="579"/>
      <c r="J127" s="579"/>
      <c r="K127" s="580"/>
      <c r="L127" s="581"/>
      <c r="M127" s="582"/>
      <c r="N127" s="1145"/>
      <c r="O127" s="1145"/>
      <c r="P127" s="45"/>
      <c r="Q127" s="500"/>
    </row>
    <row r="128" spans="1:17" ht="16.5" hidden="1" thickTop="1" thickBot="1">
      <c r="A128" s="530"/>
      <c r="B128" s="539"/>
      <c r="C128" s="556"/>
      <c r="D128" s="556"/>
      <c r="E128" s="556"/>
      <c r="F128" s="556"/>
      <c r="G128" s="532"/>
      <c r="H128" s="532"/>
      <c r="I128" s="532"/>
      <c r="J128" s="532"/>
      <c r="K128" s="532"/>
      <c r="L128" s="532"/>
      <c r="M128" s="533"/>
      <c r="N128" s="1146"/>
      <c r="O128" s="1146"/>
      <c r="P128" s="45"/>
      <c r="Q128" s="500"/>
    </row>
    <row r="129" spans="1:17" ht="15" hidden="1" thickTop="1">
      <c r="A129" s="595"/>
      <c r="B129" s="534">
        <f>B44</f>
        <v>0</v>
      </c>
      <c r="C129" s="519"/>
      <c r="D129" s="519"/>
      <c r="E129" s="519"/>
      <c r="F129" s="519"/>
      <c r="G129" s="579"/>
      <c r="H129" s="579"/>
      <c r="I129" s="579"/>
      <c r="J129" s="579"/>
      <c r="K129" s="580"/>
      <c r="L129" s="581"/>
      <c r="M129" s="582"/>
      <c r="N129" s="1145"/>
      <c r="O129" s="1145"/>
      <c r="P129" s="45"/>
      <c r="Q129" s="500"/>
    </row>
    <row r="130" spans="1:17" ht="16.5" hidden="1" thickTop="1" thickBot="1">
      <c r="A130" s="530"/>
      <c r="B130" s="539"/>
      <c r="C130" s="566"/>
      <c r="D130" s="566"/>
      <c r="E130" s="566"/>
      <c r="F130" s="566"/>
      <c r="G130" s="532"/>
      <c r="H130" s="532"/>
      <c r="I130" s="532"/>
      <c r="J130" s="532"/>
      <c r="K130" s="532"/>
      <c r="L130" s="532"/>
      <c r="M130" s="533"/>
      <c r="N130" s="1146"/>
      <c r="O130" s="1146"/>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7"/>
      <c r="O131" s="1147"/>
      <c r="P131" s="554"/>
      <c r="Q131" s="555"/>
    </row>
    <row r="132" spans="1:17" s="467" customFormat="1" ht="16.5" hidden="1" thickTop="1" thickBot="1">
      <c r="A132" s="564"/>
      <c r="B132" s="696"/>
      <c r="C132" s="566"/>
      <c r="D132" s="566"/>
      <c r="E132" s="566"/>
      <c r="F132" s="566"/>
      <c r="G132" s="587"/>
      <c r="H132" s="587"/>
      <c r="I132" s="587"/>
      <c r="J132" s="587"/>
      <c r="K132" s="587"/>
      <c r="L132" s="587"/>
      <c r="M132" s="588"/>
      <c r="N132" s="1147"/>
      <c r="O132" s="1147"/>
      <c r="P132" s="554"/>
      <c r="Q132" s="555"/>
    </row>
    <row r="133" spans="1:17" ht="15" thickTop="1"/>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75" priority="14" stopIfTrue="1" operator="containsText" text="超过">
      <formula>NOT(ISERROR(SEARCH("超过",F51)))</formula>
    </cfRule>
  </conditionalFormatting>
  <conditionalFormatting sqref="J53">
    <cfRule type="containsText" dxfId="174" priority="13" stopIfTrue="1" operator="containsText" text="超过">
      <formula>NOT(ISERROR(SEARCH("超过",J53)))</formula>
    </cfRule>
  </conditionalFormatting>
  <conditionalFormatting sqref="H53">
    <cfRule type="containsText" dxfId="173" priority="12" stopIfTrue="1" operator="containsText" text="超过">
      <formula>NOT(ISERROR(SEARCH("超过",H53)))</formula>
    </cfRule>
  </conditionalFormatting>
  <conditionalFormatting sqref="F53">
    <cfRule type="containsText" dxfId="172" priority="11" stopIfTrue="1" operator="containsText" text="超过">
      <formula>NOT(ISERROR(SEARCH("超过",F53)))</formula>
    </cfRule>
  </conditionalFormatting>
  <conditionalFormatting sqref="F52 H52 J52">
    <cfRule type="containsText" dxfId="171" priority="10" stopIfTrue="1" operator="containsText" text="超过">
      <formula>NOT(ISERROR(SEARCH("超过",F52)))</formula>
    </cfRule>
  </conditionalFormatting>
  <conditionalFormatting sqref="E51">
    <cfRule type="expression" dxfId="170" priority="9" stopIfTrue="1">
      <formula>$F$51="超过30%"</formula>
    </cfRule>
  </conditionalFormatting>
  <conditionalFormatting sqref="G53">
    <cfRule type="expression" dxfId="169" priority="8" stopIfTrue="1">
      <formula>$H$53="超过30%"</formula>
    </cfRule>
  </conditionalFormatting>
  <conditionalFormatting sqref="E52">
    <cfRule type="expression" dxfId="168" priority="7" stopIfTrue="1">
      <formula>$F$52="超过20%"</formula>
    </cfRule>
  </conditionalFormatting>
  <conditionalFormatting sqref="E53">
    <cfRule type="expression" dxfId="167" priority="6" stopIfTrue="1">
      <formula>$F$53="超过30%"</formula>
    </cfRule>
  </conditionalFormatting>
  <conditionalFormatting sqref="G51">
    <cfRule type="expression" dxfId="166" priority="5" stopIfTrue="1">
      <formula>$H$53+$H$51="超过30%"</formula>
    </cfRule>
  </conditionalFormatting>
  <conditionalFormatting sqref="G52">
    <cfRule type="expression" dxfId="165" priority="4" stopIfTrue="1">
      <formula>$H$52="超过20%"</formula>
    </cfRule>
  </conditionalFormatting>
  <conditionalFormatting sqref="I51">
    <cfRule type="expression" dxfId="164" priority="3" stopIfTrue="1">
      <formula>$J$51="超过30%"</formula>
    </cfRule>
  </conditionalFormatting>
  <conditionalFormatting sqref="I52">
    <cfRule type="expression" dxfId="163" priority="2" stopIfTrue="1">
      <formula>$J$52="超过20%"</formula>
    </cfRule>
  </conditionalFormatting>
  <conditionalFormatting sqref="I53">
    <cfRule type="expression" dxfId="162"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workbookViewId="0">
      <selection activeCell="F30" sqref="F30"/>
    </sheetView>
  </sheetViews>
  <sheetFormatPr defaultColWidth="8.875" defaultRowHeight="13.5"/>
  <cols>
    <col min="1" max="1" width="50.625" customWidth="1"/>
    <col min="2" max="4" width="9" hidden="1" customWidth="1"/>
    <col min="5" max="5" width="9" customWidth="1"/>
    <col min="6" max="6" width="44.5" customWidth="1"/>
    <col min="7" max="7" width="16.625" customWidth="1"/>
    <col min="8" max="8" width="24.125" customWidth="1"/>
    <col min="9" max="9" width="13.125" customWidth="1"/>
    <col min="10" max="10" width="27.625" customWidth="1"/>
    <col min="11" max="11" width="39.125" customWidth="1"/>
    <col min="12" max="12" width="13.625" customWidth="1"/>
    <col min="13" max="13" width="19.375" customWidth="1"/>
    <col min="14" max="14" width="17.625" customWidth="1"/>
    <col min="15" max="15" width="8.375" customWidth="1"/>
  </cols>
  <sheetData>
    <row r="1" spans="1:17" ht="14.25" customHeight="1">
      <c r="A1" s="3002" t="s">
        <v>3086</v>
      </c>
      <c r="B1" s="3002" t="s">
        <v>3087</v>
      </c>
      <c r="C1" s="3002" t="s">
        <v>3088</v>
      </c>
      <c r="D1" s="3002" t="s">
        <v>3089</v>
      </c>
      <c r="E1" s="3002" t="s">
        <v>3193</v>
      </c>
      <c r="F1" s="3002" t="s">
        <v>3090</v>
      </c>
      <c r="G1" s="3002" t="s">
        <v>3091</v>
      </c>
      <c r="H1" s="3002" t="s">
        <v>3092</v>
      </c>
      <c r="I1" s="3002" t="s">
        <v>3093</v>
      </c>
      <c r="J1" s="3002" t="s">
        <v>3194</v>
      </c>
      <c r="K1" s="3002" t="s">
        <v>3094</v>
      </c>
      <c r="L1" s="3002" t="s">
        <v>3095</v>
      </c>
      <c r="M1" s="3002" t="s">
        <v>3096</v>
      </c>
      <c r="N1" s="3002" t="s">
        <v>3097</v>
      </c>
      <c r="O1" s="3002" t="s">
        <v>3098</v>
      </c>
      <c r="P1" s="3002" t="s">
        <v>3099</v>
      </c>
    </row>
    <row r="2" spans="1:17" hidden="1">
      <c r="A2" s="3002" t="s">
        <v>3373</v>
      </c>
      <c r="B2" s="3002" t="s">
        <v>3101</v>
      </c>
      <c r="C2" s="3002" t="s">
        <v>3196</v>
      </c>
      <c r="D2" s="3002" t="s">
        <v>3103</v>
      </c>
      <c r="E2" s="3002">
        <v>18060</v>
      </c>
      <c r="F2" s="3002" t="s">
        <v>3285</v>
      </c>
      <c r="G2" s="3002">
        <v>22884</v>
      </c>
      <c r="H2" s="3002" t="s">
        <v>3374</v>
      </c>
      <c r="I2" s="3002" t="s">
        <v>3375</v>
      </c>
      <c r="J2" s="3002" t="s">
        <v>3376</v>
      </c>
      <c r="K2" s="3002" t="s">
        <v>3377</v>
      </c>
      <c r="L2" s="3002">
        <v>7369</v>
      </c>
      <c r="M2" s="3002">
        <v>214.68</v>
      </c>
      <c r="N2" s="3002">
        <v>1610.07</v>
      </c>
      <c r="O2" s="3002">
        <v>0</v>
      </c>
      <c r="P2" s="3002" t="s">
        <v>3108</v>
      </c>
    </row>
    <row r="3" spans="1:17" hidden="1">
      <c r="A3" s="3002" t="s">
        <v>4152</v>
      </c>
      <c r="B3" s="3002" t="s">
        <v>3101</v>
      </c>
      <c r="C3" s="3002" t="s">
        <v>3196</v>
      </c>
      <c r="D3" s="3002" t="s">
        <v>3103</v>
      </c>
      <c r="E3" s="3002">
        <v>18039</v>
      </c>
      <c r="F3" s="3002" t="s">
        <v>4153</v>
      </c>
      <c r="G3" s="3002">
        <v>46339</v>
      </c>
      <c r="H3" s="3002" t="s">
        <v>3117</v>
      </c>
      <c r="I3" s="3002" t="s">
        <v>3470</v>
      </c>
      <c r="J3" s="3002" t="s">
        <v>4154</v>
      </c>
      <c r="K3" s="3002" t="s">
        <v>3836</v>
      </c>
      <c r="L3" s="3002">
        <v>9315</v>
      </c>
      <c r="M3" s="3002">
        <v>134.01</v>
      </c>
      <c r="N3" s="3002">
        <v>1340.11</v>
      </c>
      <c r="O3" s="3002">
        <v>0</v>
      </c>
      <c r="P3" s="3002" t="s">
        <v>3108</v>
      </c>
    </row>
    <row r="4" spans="1:17" hidden="1">
      <c r="A4" s="3002" t="s">
        <v>3378</v>
      </c>
      <c r="B4" s="3002" t="s">
        <v>3101</v>
      </c>
      <c r="C4" s="3002" t="s">
        <v>3196</v>
      </c>
      <c r="D4" s="3002" t="s">
        <v>3103</v>
      </c>
      <c r="E4" s="3002">
        <v>18024</v>
      </c>
      <c r="F4" s="3002" t="s">
        <v>3379</v>
      </c>
      <c r="G4" s="3002">
        <v>138372</v>
      </c>
      <c r="H4" s="3002" t="s">
        <v>3380</v>
      </c>
      <c r="I4" s="3002" t="s">
        <v>3198</v>
      </c>
      <c r="J4" s="3002" t="s">
        <v>3381</v>
      </c>
      <c r="K4" s="3002" t="s">
        <v>3382</v>
      </c>
      <c r="L4" s="3002">
        <v>35977</v>
      </c>
      <c r="M4" s="3002">
        <v>173.33</v>
      </c>
      <c r="N4" s="3002">
        <v>2600.0100000000002</v>
      </c>
      <c r="O4" s="3002">
        <v>0</v>
      </c>
      <c r="P4" s="3002" t="s">
        <v>3108</v>
      </c>
    </row>
    <row r="5" spans="1:17" hidden="1">
      <c r="A5" s="3002" t="s">
        <v>3195</v>
      </c>
      <c r="B5" s="3002" t="s">
        <v>3101</v>
      </c>
      <c r="C5" s="3002" t="s">
        <v>3196</v>
      </c>
      <c r="D5" s="3002" t="s">
        <v>3111</v>
      </c>
      <c r="E5" s="3002">
        <v>18023</v>
      </c>
      <c r="F5" s="3002" t="s">
        <v>3197</v>
      </c>
      <c r="G5" s="3002">
        <v>11896</v>
      </c>
      <c r="H5" s="3002" t="s">
        <v>3117</v>
      </c>
      <c r="I5" s="3002" t="s">
        <v>3198</v>
      </c>
      <c r="J5" s="3002" t="s">
        <v>3199</v>
      </c>
      <c r="K5" s="3002" t="s">
        <v>3200</v>
      </c>
      <c r="L5" s="3002">
        <v>2100</v>
      </c>
      <c r="M5" s="3002">
        <v>117.69</v>
      </c>
      <c r="N5" s="3002">
        <v>1176.8599999999999</v>
      </c>
      <c r="O5" s="3002">
        <v>45.83</v>
      </c>
      <c r="P5" s="3002" t="s">
        <v>3108</v>
      </c>
    </row>
    <row r="6" spans="1:17" hidden="1">
      <c r="A6" s="3002" t="s">
        <v>3264</v>
      </c>
      <c r="B6" s="3002" t="s">
        <v>3101</v>
      </c>
      <c r="C6" s="3002" t="s">
        <v>3196</v>
      </c>
      <c r="D6" s="3002" t="s">
        <v>3103</v>
      </c>
      <c r="E6" s="3002">
        <v>18013</v>
      </c>
      <c r="F6" s="3002" t="s">
        <v>3265</v>
      </c>
      <c r="G6" s="3002">
        <v>149172.4</v>
      </c>
      <c r="H6" s="3002" t="s">
        <v>3266</v>
      </c>
      <c r="I6" s="3002" t="s">
        <v>3267</v>
      </c>
      <c r="J6" s="3002" t="s">
        <v>3268</v>
      </c>
      <c r="K6" s="3002" t="s">
        <v>3269</v>
      </c>
      <c r="L6" s="3002">
        <v>213309</v>
      </c>
      <c r="M6" s="3002">
        <v>953.3</v>
      </c>
      <c r="N6" s="3002">
        <v>9630.7900000000009</v>
      </c>
      <c r="O6" s="3002">
        <v>0</v>
      </c>
      <c r="P6" s="3002" t="s">
        <v>3108</v>
      </c>
    </row>
    <row r="7" spans="1:17" hidden="1">
      <c r="A7" s="3002" t="s">
        <v>3385</v>
      </c>
      <c r="B7" s="3002" t="s">
        <v>3101</v>
      </c>
      <c r="C7" s="3002" t="s">
        <v>3196</v>
      </c>
      <c r="D7" s="3002" t="s">
        <v>3103</v>
      </c>
      <c r="E7" s="3002">
        <v>17149</v>
      </c>
      <c r="F7" s="3002" t="s">
        <v>3386</v>
      </c>
      <c r="G7" s="3002">
        <v>276803</v>
      </c>
      <c r="H7" s="3002" t="s">
        <v>3387</v>
      </c>
      <c r="I7" s="3002" t="s">
        <v>3388</v>
      </c>
      <c r="J7" s="3002" t="s">
        <v>3389</v>
      </c>
      <c r="K7" s="3002" t="s">
        <v>3390</v>
      </c>
      <c r="L7" s="3002">
        <v>37646</v>
      </c>
      <c r="M7" s="3002">
        <v>90.67</v>
      </c>
      <c r="N7" s="3002">
        <v>3777.86</v>
      </c>
      <c r="O7" s="3002">
        <v>0</v>
      </c>
      <c r="P7" s="3002" t="s">
        <v>3108</v>
      </c>
    </row>
    <row r="8" spans="1:17" s="2990" customFormat="1">
      <c r="A8" s="2989" t="s">
        <v>3391</v>
      </c>
      <c r="B8" s="2989" t="s">
        <v>3101</v>
      </c>
      <c r="C8" s="2989" t="s">
        <v>3196</v>
      </c>
      <c r="D8" s="2989" t="s">
        <v>3103</v>
      </c>
      <c r="E8" s="2989">
        <v>17147</v>
      </c>
      <c r="F8" s="2989" t="s">
        <v>3203</v>
      </c>
      <c r="G8" s="2989">
        <v>7174</v>
      </c>
      <c r="H8" s="2989" t="s">
        <v>3392</v>
      </c>
      <c r="I8" s="2989" t="s">
        <v>3393</v>
      </c>
      <c r="J8" s="2989" t="s">
        <v>3394</v>
      </c>
      <c r="K8" s="2989" t="s">
        <v>3395</v>
      </c>
      <c r="L8" s="2989">
        <v>19126</v>
      </c>
      <c r="M8" s="2989">
        <v>1777.34</v>
      </c>
      <c r="N8" s="2989">
        <v>4443.3500000000004</v>
      </c>
      <c r="O8" s="2989">
        <v>0</v>
      </c>
      <c r="P8" s="2989" t="s">
        <v>3108</v>
      </c>
      <c r="Q8" s="3001" t="s">
        <v>4208</v>
      </c>
    </row>
    <row r="9" spans="1:17" hidden="1">
      <c r="A9" s="3002" t="s">
        <v>4155</v>
      </c>
      <c r="B9" s="3002" t="s">
        <v>3101</v>
      </c>
      <c r="C9" s="3002" t="s">
        <v>3196</v>
      </c>
      <c r="D9" s="3002" t="s">
        <v>3103</v>
      </c>
      <c r="E9" s="3002">
        <v>17120</v>
      </c>
      <c r="F9" s="3002" t="s">
        <v>3236</v>
      </c>
      <c r="G9" s="3002">
        <v>54484</v>
      </c>
      <c r="H9" s="3002" t="s">
        <v>4156</v>
      </c>
      <c r="I9" s="3002" t="s">
        <v>3693</v>
      </c>
      <c r="J9" s="3002" t="s">
        <v>4157</v>
      </c>
      <c r="K9" s="3002" t="s">
        <v>4158</v>
      </c>
      <c r="L9" s="3002">
        <v>30185</v>
      </c>
      <c r="M9" s="3002">
        <v>369.34</v>
      </c>
      <c r="N9" s="3002">
        <v>2344.9</v>
      </c>
      <c r="O9" s="3002">
        <v>0</v>
      </c>
      <c r="P9" s="3002" t="s">
        <v>3108</v>
      </c>
    </row>
    <row r="10" spans="1:17" s="2990" customFormat="1">
      <c r="A10" s="2989" t="s">
        <v>3270</v>
      </c>
      <c r="B10" s="2989" t="s">
        <v>3101</v>
      </c>
      <c r="C10" s="2989" t="s">
        <v>3196</v>
      </c>
      <c r="D10" s="2989" t="s">
        <v>3111</v>
      </c>
      <c r="E10" s="2989">
        <v>17101</v>
      </c>
      <c r="F10" s="2989" t="s">
        <v>3271</v>
      </c>
      <c r="G10" s="2989">
        <v>9241</v>
      </c>
      <c r="H10" s="2989" t="s">
        <v>3122</v>
      </c>
      <c r="I10" s="2989" t="s">
        <v>3272</v>
      </c>
      <c r="J10" s="2989" t="s">
        <v>3273</v>
      </c>
      <c r="K10" s="2989" t="s">
        <v>3274</v>
      </c>
      <c r="L10" s="2989">
        <v>18800</v>
      </c>
      <c r="M10" s="2989">
        <v>1356.27</v>
      </c>
      <c r="N10" s="2989">
        <v>4520.8500000000004</v>
      </c>
      <c r="O10" s="2989">
        <v>13.02</v>
      </c>
      <c r="P10" s="2989" t="s">
        <v>3108</v>
      </c>
    </row>
    <row r="11" spans="1:17" hidden="1">
      <c r="A11" s="3002" t="s">
        <v>3396</v>
      </c>
      <c r="B11" s="3002" t="s">
        <v>3101</v>
      </c>
      <c r="C11" s="3002" t="s">
        <v>3196</v>
      </c>
      <c r="D11" s="3002" t="s">
        <v>3103</v>
      </c>
      <c r="E11" s="3002">
        <v>17100</v>
      </c>
      <c r="F11" s="3002" t="s">
        <v>3203</v>
      </c>
      <c r="G11" s="3002">
        <v>23863</v>
      </c>
      <c r="H11" s="3002" t="s">
        <v>3397</v>
      </c>
      <c r="I11" s="3002" t="s">
        <v>3272</v>
      </c>
      <c r="J11" s="3002" t="s">
        <v>3398</v>
      </c>
      <c r="K11" s="3002" t="s">
        <v>3399</v>
      </c>
      <c r="L11" s="3002">
        <v>17089</v>
      </c>
      <c r="M11" s="3002">
        <v>477.42</v>
      </c>
      <c r="N11" s="3002">
        <v>6510.34</v>
      </c>
      <c r="O11" s="3002">
        <v>0</v>
      </c>
      <c r="P11" s="3002" t="s">
        <v>3108</v>
      </c>
    </row>
    <row r="12" spans="1:17">
      <c r="A12" s="3002" t="s">
        <v>3275</v>
      </c>
      <c r="B12" s="3002" t="s">
        <v>3101</v>
      </c>
      <c r="C12" s="3002" t="s">
        <v>3196</v>
      </c>
      <c r="D12" s="3002" t="s">
        <v>3103</v>
      </c>
      <c r="E12" s="3002">
        <v>17102</v>
      </c>
      <c r="F12" s="3002" t="s">
        <v>3203</v>
      </c>
      <c r="G12" s="3002">
        <v>27193</v>
      </c>
      <c r="H12" s="3002" t="s">
        <v>3276</v>
      </c>
      <c r="I12" s="3002" t="s">
        <v>3272</v>
      </c>
      <c r="J12" s="3002" t="s">
        <v>3273</v>
      </c>
      <c r="K12" s="3002" t="s">
        <v>3277</v>
      </c>
      <c r="L12" s="3002">
        <v>16420</v>
      </c>
      <c r="M12" s="3002">
        <v>402.55</v>
      </c>
      <c r="N12" s="3002">
        <v>1509.57</v>
      </c>
      <c r="O12" s="3002">
        <v>0</v>
      </c>
      <c r="P12" s="3002" t="s">
        <v>3108</v>
      </c>
    </row>
    <row r="13" spans="1:17">
      <c r="A13" s="3002" t="s">
        <v>3400</v>
      </c>
      <c r="B13" s="3002" t="s">
        <v>3101</v>
      </c>
      <c r="C13" s="3002" t="s">
        <v>3196</v>
      </c>
      <c r="D13" s="3002" t="s">
        <v>3103</v>
      </c>
      <c r="E13" s="3002">
        <v>17068</v>
      </c>
      <c r="F13" s="3002" t="s">
        <v>3203</v>
      </c>
      <c r="G13" s="3002">
        <v>81459</v>
      </c>
      <c r="H13" s="3002" t="s">
        <v>3401</v>
      </c>
      <c r="I13" s="3002" t="s">
        <v>3402</v>
      </c>
      <c r="J13" s="3002" t="s">
        <v>3403</v>
      </c>
      <c r="K13" s="3002" t="s">
        <v>3404</v>
      </c>
      <c r="L13" s="3002">
        <v>341069</v>
      </c>
      <c r="M13" s="3002">
        <v>2791.33</v>
      </c>
      <c r="N13" s="3002">
        <v>7105.6</v>
      </c>
      <c r="O13" s="3002">
        <v>0</v>
      </c>
      <c r="P13" s="3002" t="s">
        <v>3108</v>
      </c>
    </row>
    <row r="14" spans="1:17" hidden="1">
      <c r="A14" s="3002" t="s">
        <v>3278</v>
      </c>
      <c r="B14" s="3002" t="s">
        <v>3101</v>
      </c>
      <c r="C14" s="3002" t="s">
        <v>3196</v>
      </c>
      <c r="D14" s="3002" t="s">
        <v>3103</v>
      </c>
      <c r="E14" s="3002">
        <v>17057</v>
      </c>
      <c r="F14" s="3002" t="s">
        <v>3279</v>
      </c>
      <c r="G14" s="3002">
        <v>164676</v>
      </c>
      <c r="H14" s="3002" t="s">
        <v>3280</v>
      </c>
      <c r="I14" s="3002" t="s">
        <v>3281</v>
      </c>
      <c r="J14" s="3002" t="s">
        <v>3282</v>
      </c>
      <c r="K14" s="3002" t="s">
        <v>3283</v>
      </c>
      <c r="L14" s="3002">
        <v>82959</v>
      </c>
      <c r="M14" s="3002">
        <v>335.85</v>
      </c>
      <c r="N14" s="3002">
        <v>3442.28</v>
      </c>
      <c r="O14" s="3002">
        <v>0</v>
      </c>
      <c r="P14" s="3002" t="s">
        <v>3108</v>
      </c>
    </row>
    <row r="15" spans="1:17" hidden="1">
      <c r="A15" s="3002" t="s">
        <v>3284</v>
      </c>
      <c r="B15" s="3002" t="s">
        <v>3101</v>
      </c>
      <c r="C15" s="3002" t="s">
        <v>3196</v>
      </c>
      <c r="D15" s="3002" t="s">
        <v>3103</v>
      </c>
      <c r="E15" s="3002">
        <v>17046</v>
      </c>
      <c r="F15" s="3002" t="s">
        <v>3285</v>
      </c>
      <c r="G15" s="3002">
        <v>11404</v>
      </c>
      <c r="H15" s="3002" t="s">
        <v>3117</v>
      </c>
      <c r="I15" s="3002" t="s">
        <v>3286</v>
      </c>
      <c r="J15" s="3002" t="s">
        <v>3287</v>
      </c>
      <c r="K15" s="3002" t="s">
        <v>3288</v>
      </c>
      <c r="L15" s="3002">
        <v>11893</v>
      </c>
      <c r="M15" s="3002">
        <v>695.25</v>
      </c>
      <c r="N15" s="3002">
        <v>6892.47</v>
      </c>
      <c r="O15" s="3002">
        <v>0</v>
      </c>
      <c r="P15" s="3002">
        <v>40</v>
      </c>
    </row>
    <row r="16" spans="1:17" hidden="1">
      <c r="A16" s="3002" t="s">
        <v>4159</v>
      </c>
      <c r="B16" s="3002" t="s">
        <v>3101</v>
      </c>
      <c r="C16" s="3002" t="s">
        <v>3196</v>
      </c>
      <c r="D16" s="3002" t="s">
        <v>3103</v>
      </c>
      <c r="E16" s="3002">
        <v>17047</v>
      </c>
      <c r="F16" s="3002" t="s">
        <v>3285</v>
      </c>
      <c r="G16" s="3002">
        <v>14159</v>
      </c>
      <c r="H16" s="3002" t="s">
        <v>3374</v>
      </c>
      <c r="I16" s="3002" t="s">
        <v>3286</v>
      </c>
      <c r="J16" s="3002" t="s">
        <v>4160</v>
      </c>
      <c r="K16" s="3002" t="s">
        <v>3288</v>
      </c>
      <c r="L16" s="3002">
        <v>19235</v>
      </c>
      <c r="M16" s="3002">
        <v>905.67</v>
      </c>
      <c r="N16" s="3002">
        <v>7298.72</v>
      </c>
      <c r="O16" s="3002">
        <v>0</v>
      </c>
      <c r="P16" s="3002">
        <v>40</v>
      </c>
    </row>
    <row r="17" spans="1:17" s="2990" customFormat="1">
      <c r="A17" s="2989" t="s">
        <v>3202</v>
      </c>
      <c r="B17" s="2989" t="s">
        <v>3101</v>
      </c>
      <c r="C17" s="2989" t="s">
        <v>3196</v>
      </c>
      <c r="D17" s="2989" t="s">
        <v>3103</v>
      </c>
      <c r="E17" s="2989">
        <v>17042</v>
      </c>
      <c r="F17" s="2989" t="s">
        <v>3203</v>
      </c>
      <c r="G17" s="2989">
        <v>5230</v>
      </c>
      <c r="H17" s="2989" t="s">
        <v>3204</v>
      </c>
      <c r="I17" s="2989" t="s">
        <v>3205</v>
      </c>
      <c r="J17" s="2989" t="s">
        <v>3206</v>
      </c>
      <c r="K17" s="2989" t="s">
        <v>3207</v>
      </c>
      <c r="L17" s="2989">
        <v>11109</v>
      </c>
      <c r="M17" s="2989">
        <v>1416.06</v>
      </c>
      <c r="N17" s="2989">
        <v>4720.1899999999996</v>
      </c>
      <c r="O17" s="2989">
        <v>0</v>
      </c>
      <c r="P17" s="2989" t="s">
        <v>3108</v>
      </c>
      <c r="Q17" s="3001" t="s">
        <v>4210</v>
      </c>
    </row>
    <row r="18" spans="1:17" hidden="1">
      <c r="A18" s="3002" t="s">
        <v>3289</v>
      </c>
      <c r="B18" s="3002" t="s">
        <v>3101</v>
      </c>
      <c r="C18" s="3002" t="s">
        <v>3196</v>
      </c>
      <c r="D18" s="3002" t="s">
        <v>3103</v>
      </c>
      <c r="E18" s="3002">
        <v>17027</v>
      </c>
      <c r="F18" s="3002" t="s">
        <v>3290</v>
      </c>
      <c r="G18" s="3002">
        <v>137630</v>
      </c>
      <c r="H18" s="3002" t="s">
        <v>3291</v>
      </c>
      <c r="I18" s="3002" t="s">
        <v>3292</v>
      </c>
      <c r="J18" s="3002" t="s">
        <v>3293</v>
      </c>
      <c r="K18" s="3002" t="s">
        <v>3294</v>
      </c>
      <c r="L18" s="3002">
        <v>18236</v>
      </c>
      <c r="M18" s="3002">
        <v>88.33</v>
      </c>
      <c r="N18" s="3002">
        <v>736.11</v>
      </c>
      <c r="O18" s="3002">
        <v>0</v>
      </c>
      <c r="P18" s="3002" t="s">
        <v>3108</v>
      </c>
    </row>
    <row r="19" spans="1:17" hidden="1">
      <c r="A19" s="3002" t="s">
        <v>3295</v>
      </c>
      <c r="B19" s="3002" t="s">
        <v>3101</v>
      </c>
      <c r="C19" s="3002" t="s">
        <v>3196</v>
      </c>
      <c r="D19" s="3002" t="s">
        <v>3103</v>
      </c>
      <c r="E19" s="3002">
        <v>17026</v>
      </c>
      <c r="F19" s="3002" t="s">
        <v>3290</v>
      </c>
      <c r="G19" s="3002">
        <v>103271</v>
      </c>
      <c r="H19" s="3002" t="s">
        <v>3291</v>
      </c>
      <c r="I19" s="3002" t="s">
        <v>3292</v>
      </c>
      <c r="J19" s="3002" t="s">
        <v>3296</v>
      </c>
      <c r="K19" s="3002" t="s">
        <v>3294</v>
      </c>
      <c r="L19" s="3002">
        <v>27060</v>
      </c>
      <c r="M19" s="3002">
        <v>174.69</v>
      </c>
      <c r="N19" s="3002">
        <v>1455.72</v>
      </c>
      <c r="O19" s="3002">
        <v>0</v>
      </c>
      <c r="P19" s="3002" t="s">
        <v>3108</v>
      </c>
    </row>
    <row r="20" spans="1:17" hidden="1">
      <c r="A20" s="3002" t="s">
        <v>3297</v>
      </c>
      <c r="B20" s="3002" t="s">
        <v>3101</v>
      </c>
      <c r="C20" s="3002" t="s">
        <v>3196</v>
      </c>
      <c r="D20" s="3002" t="s">
        <v>3103</v>
      </c>
      <c r="E20" s="3002">
        <v>17016</v>
      </c>
      <c r="F20" s="3002" t="s">
        <v>3290</v>
      </c>
      <c r="G20" s="3002">
        <v>58099</v>
      </c>
      <c r="H20" s="3002" t="s">
        <v>3298</v>
      </c>
      <c r="I20" s="3002" t="s">
        <v>3299</v>
      </c>
      <c r="J20" s="3002" t="s">
        <v>3300</v>
      </c>
      <c r="K20" s="3002" t="s">
        <v>3301</v>
      </c>
      <c r="L20" s="3002">
        <v>19464</v>
      </c>
      <c r="M20" s="3002">
        <v>223.34</v>
      </c>
      <c r="N20" s="3002">
        <v>1675.06</v>
      </c>
      <c r="O20" s="3002">
        <v>0</v>
      </c>
      <c r="P20" s="3002" t="s">
        <v>3108</v>
      </c>
    </row>
    <row r="21" spans="1:17" hidden="1">
      <c r="A21" s="3002" t="s">
        <v>3405</v>
      </c>
      <c r="B21" s="3002" t="s">
        <v>3101</v>
      </c>
      <c r="C21" s="3002" t="s">
        <v>3196</v>
      </c>
      <c r="D21" s="3002" t="s">
        <v>3103</v>
      </c>
      <c r="E21" s="3002">
        <v>17012</v>
      </c>
      <c r="F21" s="3002" t="s">
        <v>3203</v>
      </c>
      <c r="G21" s="3002">
        <v>49951</v>
      </c>
      <c r="H21" s="3002" t="s">
        <v>3380</v>
      </c>
      <c r="I21" s="3002" t="s">
        <v>3406</v>
      </c>
      <c r="J21" s="3002" t="s">
        <v>3407</v>
      </c>
      <c r="K21" s="3002" t="s">
        <v>3408</v>
      </c>
      <c r="L21" s="3002">
        <v>30970</v>
      </c>
      <c r="M21" s="3002">
        <v>413.34</v>
      </c>
      <c r="N21" s="3002">
        <v>6000.07</v>
      </c>
      <c r="O21" s="3002">
        <v>0</v>
      </c>
      <c r="P21" s="3002" t="s">
        <v>3108</v>
      </c>
    </row>
    <row r="22" spans="1:17" hidden="1">
      <c r="A22" s="3002" t="s">
        <v>3409</v>
      </c>
      <c r="B22" s="3002" t="s">
        <v>3101</v>
      </c>
      <c r="C22" s="3002" t="s">
        <v>3196</v>
      </c>
      <c r="D22" s="3002" t="s">
        <v>3111</v>
      </c>
      <c r="E22" s="3002">
        <v>17008</v>
      </c>
      <c r="F22" s="3002" t="s">
        <v>3279</v>
      </c>
      <c r="G22" s="3002">
        <v>173147</v>
      </c>
      <c r="H22" s="3002" t="s">
        <v>3387</v>
      </c>
      <c r="I22" s="3002" t="s">
        <v>3410</v>
      </c>
      <c r="J22" s="3002" t="s">
        <v>3411</v>
      </c>
      <c r="K22" s="3002" t="s">
        <v>3390</v>
      </c>
      <c r="L22" s="3002">
        <v>22336</v>
      </c>
      <c r="M22" s="3002">
        <v>86</v>
      </c>
      <c r="N22" s="3002">
        <v>3560.94</v>
      </c>
      <c r="O22" s="3002">
        <v>0</v>
      </c>
      <c r="P22" s="3002" t="s">
        <v>3108</v>
      </c>
    </row>
    <row r="23" spans="1:17">
      <c r="A23" s="3002" t="s">
        <v>3412</v>
      </c>
      <c r="B23" s="3002" t="s">
        <v>3101</v>
      </c>
      <c r="C23" s="3002" t="s">
        <v>3196</v>
      </c>
      <c r="D23" s="3002" t="s">
        <v>3103</v>
      </c>
      <c r="E23" s="3002">
        <v>16140</v>
      </c>
      <c r="F23" s="3002" t="s">
        <v>3413</v>
      </c>
      <c r="G23" s="3002">
        <v>20115</v>
      </c>
      <c r="H23" s="3002" t="s">
        <v>3414</v>
      </c>
      <c r="I23" s="3002" t="s">
        <v>3135</v>
      </c>
      <c r="J23" s="3002" t="s">
        <v>3415</v>
      </c>
      <c r="K23" s="3002" t="s">
        <v>3416</v>
      </c>
      <c r="L23" s="3002">
        <v>14072</v>
      </c>
      <c r="M23" s="3002">
        <v>466.38</v>
      </c>
      <c r="N23" s="3002">
        <v>2249.11</v>
      </c>
      <c r="O23" s="3002">
        <v>0</v>
      </c>
      <c r="P23" s="3002" t="s">
        <v>3108</v>
      </c>
    </row>
    <row r="24" spans="1:17" hidden="1">
      <c r="A24" s="3002" t="s">
        <v>3417</v>
      </c>
      <c r="B24" s="3002" t="s">
        <v>3101</v>
      </c>
      <c r="C24" s="3002" t="s">
        <v>3196</v>
      </c>
      <c r="D24" s="3002" t="s">
        <v>3111</v>
      </c>
      <c r="E24" s="3002">
        <v>16103</v>
      </c>
      <c r="F24" s="3002" t="s">
        <v>3203</v>
      </c>
      <c r="G24" s="3002">
        <v>36628</v>
      </c>
      <c r="H24" s="3002" t="s">
        <v>3418</v>
      </c>
      <c r="I24" s="3002" t="s">
        <v>3419</v>
      </c>
      <c r="J24" s="3002" t="s">
        <v>3420</v>
      </c>
      <c r="K24" s="3002" t="s">
        <v>3390</v>
      </c>
      <c r="L24" s="3002">
        <v>20100</v>
      </c>
      <c r="M24" s="3002">
        <v>365.84</v>
      </c>
      <c r="N24" s="3002">
        <v>2010</v>
      </c>
      <c r="O24" s="3002">
        <v>0</v>
      </c>
      <c r="P24" s="3002" t="s">
        <v>3108</v>
      </c>
    </row>
    <row r="25" spans="1:17" hidden="1">
      <c r="A25" s="3002" t="s">
        <v>3302</v>
      </c>
      <c r="B25" s="3002" t="s">
        <v>3101</v>
      </c>
      <c r="C25" s="3002" t="s">
        <v>3196</v>
      </c>
      <c r="D25" s="3002" t="s">
        <v>3111</v>
      </c>
      <c r="E25" s="3002">
        <v>16098</v>
      </c>
      <c r="F25" s="3002" t="s">
        <v>3203</v>
      </c>
      <c r="G25" s="3002">
        <v>8035</v>
      </c>
      <c r="H25" s="3002" t="s">
        <v>3257</v>
      </c>
      <c r="I25" s="3002" t="s">
        <v>3303</v>
      </c>
      <c r="J25" s="3002" t="s">
        <v>3304</v>
      </c>
      <c r="K25" s="3002" t="s">
        <v>3305</v>
      </c>
      <c r="L25" s="3002">
        <v>4764</v>
      </c>
      <c r="M25" s="3002">
        <v>395.27</v>
      </c>
      <c r="N25" s="3002">
        <v>2964.53</v>
      </c>
      <c r="O25" s="3002">
        <v>0</v>
      </c>
      <c r="P25" s="3002" t="s">
        <v>3108</v>
      </c>
    </row>
    <row r="26" spans="1:17" hidden="1">
      <c r="A26" s="3002" t="s">
        <v>4161</v>
      </c>
      <c r="B26" s="3002" t="s">
        <v>3101</v>
      </c>
      <c r="C26" s="3002" t="s">
        <v>3196</v>
      </c>
      <c r="D26" s="3002" t="s">
        <v>3111</v>
      </c>
      <c r="E26" s="3002">
        <v>16086</v>
      </c>
      <c r="F26" s="3002" t="s">
        <v>3236</v>
      </c>
      <c r="G26" s="3002">
        <v>52524</v>
      </c>
      <c r="H26" s="3002" t="s">
        <v>4162</v>
      </c>
      <c r="I26" s="3002" t="s">
        <v>4163</v>
      </c>
      <c r="J26" s="3002" t="s">
        <v>4164</v>
      </c>
      <c r="K26" s="3002" t="s">
        <v>3390</v>
      </c>
      <c r="L26" s="3002">
        <v>16186</v>
      </c>
      <c r="M26" s="3002">
        <v>205.44</v>
      </c>
      <c r="N26" s="3002">
        <v>1605.01</v>
      </c>
      <c r="O26" s="3002">
        <v>0</v>
      </c>
      <c r="P26" s="3002" t="s">
        <v>3108</v>
      </c>
    </row>
    <row r="27" spans="1:17" hidden="1">
      <c r="A27" s="3002" t="s">
        <v>4165</v>
      </c>
      <c r="B27" s="3002" t="s">
        <v>3101</v>
      </c>
      <c r="C27" s="3002" t="s">
        <v>3196</v>
      </c>
      <c r="D27" s="3002" t="s">
        <v>3103</v>
      </c>
      <c r="E27" s="3002">
        <v>16081</v>
      </c>
      <c r="F27" s="3002" t="s">
        <v>4153</v>
      </c>
      <c r="G27" s="3002">
        <v>40882</v>
      </c>
      <c r="H27" s="3002" t="s">
        <v>3261</v>
      </c>
      <c r="I27" s="3002" t="s">
        <v>3590</v>
      </c>
      <c r="J27" s="3002" t="s">
        <v>4166</v>
      </c>
      <c r="K27" s="3002" t="s">
        <v>4167</v>
      </c>
      <c r="L27" s="3002">
        <v>7400</v>
      </c>
      <c r="M27" s="3002">
        <v>120.67</v>
      </c>
      <c r="N27" s="3002">
        <v>1206.73</v>
      </c>
      <c r="O27" s="3002">
        <v>0</v>
      </c>
      <c r="P27" s="3002" t="s">
        <v>3108</v>
      </c>
    </row>
    <row r="28" spans="1:17" hidden="1">
      <c r="A28" s="3002" t="s">
        <v>3208</v>
      </c>
      <c r="B28" s="3002" t="s">
        <v>3101</v>
      </c>
      <c r="C28" s="3002" t="s">
        <v>3196</v>
      </c>
      <c r="D28" s="3002" t="s">
        <v>3111</v>
      </c>
      <c r="E28" s="3002">
        <v>16075</v>
      </c>
      <c r="F28" s="3002" t="s">
        <v>3209</v>
      </c>
      <c r="G28" s="3002">
        <v>58634</v>
      </c>
      <c r="H28" s="3002" t="s">
        <v>3210</v>
      </c>
      <c r="I28" s="3002" t="s">
        <v>3211</v>
      </c>
      <c r="J28" s="3002" t="s">
        <v>3212</v>
      </c>
      <c r="K28" s="3002" t="s">
        <v>3213</v>
      </c>
      <c r="L28" s="3002">
        <v>57824</v>
      </c>
      <c r="M28" s="3002">
        <v>657.46</v>
      </c>
      <c r="N28" s="3002">
        <v>7145.28</v>
      </c>
      <c r="O28" s="3002">
        <v>0</v>
      </c>
      <c r="P28" s="3002" t="s">
        <v>3214</v>
      </c>
    </row>
    <row r="29" spans="1:17" hidden="1">
      <c r="A29" s="3002" t="s">
        <v>3422</v>
      </c>
      <c r="B29" s="3002" t="s">
        <v>3101</v>
      </c>
      <c r="C29" s="3002" t="s">
        <v>3196</v>
      </c>
      <c r="D29" s="3002" t="s">
        <v>3111</v>
      </c>
      <c r="E29" s="3002">
        <v>16070</v>
      </c>
      <c r="F29" s="3002" t="s">
        <v>3423</v>
      </c>
      <c r="G29" s="3002">
        <v>286490</v>
      </c>
      <c r="H29" s="3002" t="s">
        <v>3424</v>
      </c>
      <c r="I29" s="3002" t="s">
        <v>3421</v>
      </c>
      <c r="J29" s="3002" t="s">
        <v>3425</v>
      </c>
      <c r="K29" s="3002" t="s">
        <v>3426</v>
      </c>
      <c r="L29" s="3002">
        <v>39840</v>
      </c>
      <c r="M29" s="3002">
        <v>92.71</v>
      </c>
      <c r="N29" s="3002">
        <v>1660</v>
      </c>
      <c r="O29" s="3002">
        <v>0</v>
      </c>
      <c r="P29" s="3002" t="s">
        <v>3108</v>
      </c>
    </row>
    <row r="30" spans="1:17">
      <c r="A30" s="3002" t="s">
        <v>3427</v>
      </c>
      <c r="B30" s="3002" t="s">
        <v>3101</v>
      </c>
      <c r="C30" s="3002" t="s">
        <v>3196</v>
      </c>
      <c r="D30" s="3002" t="s">
        <v>3111</v>
      </c>
      <c r="E30" s="3002">
        <v>16071</v>
      </c>
      <c r="F30" s="3002" t="s">
        <v>3423</v>
      </c>
      <c r="G30" s="3002">
        <v>26691</v>
      </c>
      <c r="H30" s="3002" t="s">
        <v>3428</v>
      </c>
      <c r="I30" s="3002" t="s">
        <v>3421</v>
      </c>
      <c r="J30" s="3002" t="s">
        <v>3429</v>
      </c>
      <c r="K30" s="3002" t="s">
        <v>3426</v>
      </c>
      <c r="L30" s="3002">
        <v>13826</v>
      </c>
      <c r="M30" s="3002">
        <v>345.33</v>
      </c>
      <c r="N30" s="3002">
        <v>1151.0999999999999</v>
      </c>
      <c r="O30" s="3002">
        <v>0</v>
      </c>
      <c r="P30" s="3002" t="s">
        <v>3108</v>
      </c>
    </row>
    <row r="31" spans="1:17">
      <c r="A31" s="3002" t="s">
        <v>3430</v>
      </c>
      <c r="B31" s="3002" t="s">
        <v>3101</v>
      </c>
      <c r="C31" s="3002" t="s">
        <v>3196</v>
      </c>
      <c r="D31" s="3002" t="s">
        <v>3111</v>
      </c>
      <c r="E31" s="3002">
        <v>16054</v>
      </c>
      <c r="F31" s="3002" t="s">
        <v>3203</v>
      </c>
      <c r="G31" s="3002">
        <v>8533</v>
      </c>
      <c r="H31" s="3002" t="s">
        <v>3431</v>
      </c>
      <c r="I31" s="3002" t="s">
        <v>3432</v>
      </c>
      <c r="J31" s="3002" t="s">
        <v>3433</v>
      </c>
      <c r="K31" s="3002" t="s">
        <v>3434</v>
      </c>
      <c r="L31" s="3002">
        <v>18978</v>
      </c>
      <c r="M31" s="3002">
        <v>1482.71</v>
      </c>
      <c r="N31" s="3002">
        <v>2780.09</v>
      </c>
      <c r="O31" s="3002">
        <v>0</v>
      </c>
      <c r="P31" s="3002" t="s">
        <v>3108</v>
      </c>
    </row>
    <row r="32" spans="1:17">
      <c r="A32" s="3002" t="s">
        <v>4168</v>
      </c>
      <c r="B32" s="3002" t="s">
        <v>3101</v>
      </c>
      <c r="C32" s="3002" t="s">
        <v>3196</v>
      </c>
      <c r="D32" s="3002" t="s">
        <v>3103</v>
      </c>
      <c r="E32" s="3002">
        <v>16052</v>
      </c>
      <c r="F32" s="3002" t="s">
        <v>3203</v>
      </c>
      <c r="G32" s="3002">
        <v>20849</v>
      </c>
      <c r="H32" s="3002" t="s">
        <v>3918</v>
      </c>
      <c r="I32" s="3002" t="s">
        <v>3924</v>
      </c>
      <c r="J32" s="3002" t="s">
        <v>4169</v>
      </c>
      <c r="K32" s="3002" t="s">
        <v>4170</v>
      </c>
      <c r="L32" s="3002">
        <v>19800</v>
      </c>
      <c r="M32" s="3002">
        <v>633.12</v>
      </c>
      <c r="N32" s="3002">
        <v>2499.17</v>
      </c>
      <c r="O32" s="3002">
        <v>0</v>
      </c>
      <c r="P32" s="3002" t="s">
        <v>3108</v>
      </c>
    </row>
    <row r="33" spans="1:16" hidden="1">
      <c r="A33" s="3002" t="s">
        <v>3216</v>
      </c>
      <c r="B33" s="3002" t="s">
        <v>3101</v>
      </c>
      <c r="C33" s="3002" t="s">
        <v>3196</v>
      </c>
      <c r="D33" s="3002" t="s">
        <v>3111</v>
      </c>
      <c r="E33" s="3002">
        <v>16038</v>
      </c>
      <c r="F33" s="3002" t="s">
        <v>3217</v>
      </c>
      <c r="G33" s="3002">
        <v>9972</v>
      </c>
      <c r="H33" s="3002" t="s">
        <v>3218</v>
      </c>
      <c r="I33" s="3002" t="s">
        <v>3219</v>
      </c>
      <c r="J33" s="3002" t="s">
        <v>3220</v>
      </c>
      <c r="K33" s="3002" t="s">
        <v>3221</v>
      </c>
      <c r="L33" s="3002">
        <v>9600</v>
      </c>
      <c r="M33" s="3002">
        <v>641.79999999999995</v>
      </c>
      <c r="N33" s="3002">
        <v>7029.35</v>
      </c>
      <c r="O33" s="3002">
        <v>2.71</v>
      </c>
      <c r="P33" s="3002" t="s">
        <v>3108</v>
      </c>
    </row>
    <row r="34" spans="1:16" hidden="1">
      <c r="A34" s="3002" t="s">
        <v>3435</v>
      </c>
      <c r="B34" s="3002" t="s">
        <v>3101</v>
      </c>
      <c r="C34" s="3002" t="s">
        <v>3196</v>
      </c>
      <c r="D34" s="3002" t="s">
        <v>3111</v>
      </c>
      <c r="E34" s="3002">
        <v>16033</v>
      </c>
      <c r="F34" s="3002" t="s">
        <v>3203</v>
      </c>
      <c r="G34" s="3002">
        <v>56491</v>
      </c>
      <c r="H34" s="3002" t="s">
        <v>3436</v>
      </c>
      <c r="I34" s="3002" t="s">
        <v>3437</v>
      </c>
      <c r="J34" s="3002" t="s">
        <v>3438</v>
      </c>
      <c r="K34" s="3002" t="s">
        <v>3439</v>
      </c>
      <c r="L34" s="3002">
        <v>17111</v>
      </c>
      <c r="M34" s="3002">
        <v>201.93</v>
      </c>
      <c r="N34" s="3002">
        <v>5715.05</v>
      </c>
      <c r="O34" s="3002">
        <v>0</v>
      </c>
      <c r="P34" s="3002" t="s">
        <v>3108</v>
      </c>
    </row>
    <row r="35" spans="1:16" hidden="1">
      <c r="A35" s="3002" t="s">
        <v>3306</v>
      </c>
      <c r="B35" s="3002" t="s">
        <v>3101</v>
      </c>
      <c r="C35" s="3002" t="s">
        <v>3196</v>
      </c>
      <c r="D35" s="3002" t="s">
        <v>3111</v>
      </c>
      <c r="E35" s="3002">
        <v>16019</v>
      </c>
      <c r="F35" s="3002" t="s">
        <v>3307</v>
      </c>
      <c r="G35" s="3002">
        <v>2958</v>
      </c>
      <c r="H35" s="3002" t="s">
        <v>3308</v>
      </c>
      <c r="I35" s="3002" t="s">
        <v>3309</v>
      </c>
      <c r="J35" s="3002" t="s">
        <v>3310</v>
      </c>
      <c r="K35" s="3002" t="s">
        <v>3311</v>
      </c>
      <c r="L35" s="3002">
        <v>1784</v>
      </c>
      <c r="M35" s="3002">
        <v>402.07</v>
      </c>
      <c r="N35" s="3002">
        <v>4020.73</v>
      </c>
      <c r="O35" s="3002">
        <v>0</v>
      </c>
      <c r="P35" s="3002" t="s">
        <v>3108</v>
      </c>
    </row>
    <row r="36" spans="1:16" hidden="1">
      <c r="A36" s="3002" t="s">
        <v>3222</v>
      </c>
      <c r="B36" s="3002" t="s">
        <v>3101</v>
      </c>
      <c r="C36" s="3002" t="s">
        <v>3196</v>
      </c>
      <c r="D36" s="3002" t="s">
        <v>3111</v>
      </c>
      <c r="E36" s="3002">
        <v>16016</v>
      </c>
      <c r="F36" s="3002" t="s">
        <v>3203</v>
      </c>
      <c r="G36" s="3002">
        <v>19974</v>
      </c>
      <c r="H36" s="3002" t="s">
        <v>3223</v>
      </c>
      <c r="I36" s="3002" t="s">
        <v>3224</v>
      </c>
      <c r="J36" s="3002" t="s">
        <v>3225</v>
      </c>
      <c r="K36" s="3002" t="s">
        <v>3226</v>
      </c>
      <c r="L36" s="3002">
        <v>15281</v>
      </c>
      <c r="M36" s="3002">
        <v>510.03</v>
      </c>
      <c r="N36" s="3002">
        <v>3395.78</v>
      </c>
      <c r="O36" s="3002">
        <v>0</v>
      </c>
      <c r="P36" s="3002" t="s">
        <v>3108</v>
      </c>
    </row>
    <row r="37" spans="1:16">
      <c r="A37" s="3002" t="s">
        <v>3312</v>
      </c>
      <c r="B37" s="3002" t="s">
        <v>3101</v>
      </c>
      <c r="C37" s="3002" t="s">
        <v>3196</v>
      </c>
      <c r="D37" s="3002" t="s">
        <v>3111</v>
      </c>
      <c r="E37" s="3002">
        <v>16012</v>
      </c>
      <c r="F37" s="3002" t="s">
        <v>3203</v>
      </c>
      <c r="G37" s="3002">
        <v>57059</v>
      </c>
      <c r="H37" s="3002" t="s">
        <v>3313</v>
      </c>
      <c r="I37" s="3002" t="s">
        <v>3314</v>
      </c>
      <c r="J37" s="3002" t="s">
        <v>3315</v>
      </c>
      <c r="K37" s="3002" t="s">
        <v>3316</v>
      </c>
      <c r="L37" s="3002">
        <v>31807</v>
      </c>
      <c r="M37" s="3002">
        <v>371.63</v>
      </c>
      <c r="N37" s="3002">
        <v>1746.5</v>
      </c>
      <c r="O37" s="3002">
        <v>0</v>
      </c>
      <c r="P37" s="3002" t="s">
        <v>3317</v>
      </c>
    </row>
    <row r="38" spans="1:16">
      <c r="A38" s="3003" t="s">
        <v>4171</v>
      </c>
      <c r="B38" s="3003" t="s">
        <v>3101</v>
      </c>
      <c r="C38" s="3003" t="s">
        <v>3196</v>
      </c>
      <c r="D38" s="3003" t="s">
        <v>3111</v>
      </c>
      <c r="E38" s="3003">
        <v>16003</v>
      </c>
      <c r="F38" s="3003" t="s">
        <v>4172</v>
      </c>
      <c r="G38" s="3003">
        <v>23937</v>
      </c>
      <c r="H38" s="3003" t="s">
        <v>4173</v>
      </c>
      <c r="I38" s="3003" t="s">
        <v>4001</v>
      </c>
      <c r="J38" s="3003" t="s">
        <v>4174</v>
      </c>
      <c r="K38" s="3003" t="s">
        <v>4175</v>
      </c>
      <c r="L38" s="3003">
        <v>15206</v>
      </c>
      <c r="M38" s="3003">
        <v>423.5</v>
      </c>
      <c r="N38" s="3003">
        <v>1985.17</v>
      </c>
      <c r="O38" s="3003">
        <v>0</v>
      </c>
      <c r="P38" s="3003" t="s">
        <v>3108</v>
      </c>
    </row>
    <row r="39" spans="1:16" hidden="1">
      <c r="A39" s="3003" t="s">
        <v>3440</v>
      </c>
      <c r="B39" s="3003" t="s">
        <v>3101</v>
      </c>
      <c r="C39" s="3003" t="s">
        <v>3196</v>
      </c>
      <c r="D39" s="3003" t="s">
        <v>3111</v>
      </c>
      <c r="E39" s="3003">
        <v>15164</v>
      </c>
      <c r="F39" s="3003" t="s">
        <v>3441</v>
      </c>
      <c r="G39" s="3003">
        <v>34603</v>
      </c>
      <c r="H39" s="3003" t="s">
        <v>3442</v>
      </c>
      <c r="I39" s="3003" t="s">
        <v>3320</v>
      </c>
      <c r="J39" s="3003" t="s">
        <v>3443</v>
      </c>
      <c r="K39" s="3003" t="s">
        <v>3444</v>
      </c>
      <c r="L39" s="3003">
        <v>5018</v>
      </c>
      <c r="M39" s="3003">
        <v>96.68</v>
      </c>
      <c r="N39" s="3003">
        <v>501.8</v>
      </c>
      <c r="O39" s="3003">
        <v>0</v>
      </c>
      <c r="P39" s="3003" t="s">
        <v>3108</v>
      </c>
    </row>
    <row r="40" spans="1:16" hidden="1">
      <c r="A40" s="3003" t="s">
        <v>3318</v>
      </c>
      <c r="B40" s="3003" t="s">
        <v>3101</v>
      </c>
      <c r="C40" s="3003" t="s">
        <v>3196</v>
      </c>
      <c r="D40" s="3003" t="s">
        <v>3111</v>
      </c>
      <c r="E40" s="3003">
        <v>15168</v>
      </c>
      <c r="F40" s="3003" t="s">
        <v>3236</v>
      </c>
      <c r="G40" s="3003">
        <v>41798.160000000003</v>
      </c>
      <c r="H40" s="3003" t="s">
        <v>3319</v>
      </c>
      <c r="I40" s="3003" t="s">
        <v>3320</v>
      </c>
      <c r="J40" s="3003" t="s">
        <v>3321</v>
      </c>
      <c r="K40" s="3003" t="s">
        <v>3322</v>
      </c>
      <c r="L40" s="3003">
        <v>15675</v>
      </c>
      <c r="M40" s="3003">
        <v>250.01</v>
      </c>
      <c r="N40" s="3003">
        <v>2835.13</v>
      </c>
      <c r="O40" s="3003">
        <v>0</v>
      </c>
      <c r="P40" s="3003" t="s">
        <v>3108</v>
      </c>
    </row>
    <row r="41" spans="1:16" hidden="1">
      <c r="A41" s="3003" t="s">
        <v>3227</v>
      </c>
      <c r="B41" s="3003" t="s">
        <v>3101</v>
      </c>
      <c r="C41" s="3003" t="s">
        <v>3196</v>
      </c>
      <c r="D41" s="3003" t="s">
        <v>3111</v>
      </c>
      <c r="E41" s="3003">
        <v>15162</v>
      </c>
      <c r="F41" s="3003" t="s">
        <v>3203</v>
      </c>
      <c r="G41" s="3003">
        <v>15798</v>
      </c>
      <c r="H41" s="3003" t="s">
        <v>3228</v>
      </c>
      <c r="I41" s="3003" t="s">
        <v>3229</v>
      </c>
      <c r="J41" s="3003" t="s">
        <v>3230</v>
      </c>
      <c r="K41" s="3003" t="s">
        <v>3231</v>
      </c>
      <c r="L41" s="3003">
        <v>4440</v>
      </c>
      <c r="M41" s="3003">
        <v>187.37</v>
      </c>
      <c r="N41" s="3003">
        <v>3513.21</v>
      </c>
      <c r="O41" s="3003">
        <v>0</v>
      </c>
      <c r="P41" s="3003" t="s">
        <v>1331</v>
      </c>
    </row>
    <row r="42" spans="1:16" hidden="1">
      <c r="A42" s="3003" t="s">
        <v>3232</v>
      </c>
      <c r="B42" s="3003" t="s">
        <v>3101</v>
      </c>
      <c r="C42" s="3003" t="s">
        <v>3196</v>
      </c>
      <c r="D42" s="3003" t="s">
        <v>3111</v>
      </c>
      <c r="E42" s="3003">
        <v>15161</v>
      </c>
      <c r="F42" s="3003" t="s">
        <v>3203</v>
      </c>
      <c r="G42" s="3003">
        <v>4168</v>
      </c>
      <c r="H42" s="3003" t="s">
        <v>3233</v>
      </c>
      <c r="I42" s="3003" t="s">
        <v>3229</v>
      </c>
      <c r="J42" s="3003" t="s">
        <v>3234</v>
      </c>
      <c r="K42" s="3003" t="s">
        <v>3231</v>
      </c>
      <c r="L42" s="3003">
        <v>1297</v>
      </c>
      <c r="M42" s="3003">
        <v>207.45</v>
      </c>
      <c r="N42" s="3003">
        <v>1244.72</v>
      </c>
      <c r="O42" s="3003">
        <v>0</v>
      </c>
      <c r="P42" s="3003" t="s">
        <v>1331</v>
      </c>
    </row>
    <row r="43" spans="1:16" s="2983" customFormat="1">
      <c r="A43" s="2991" t="s">
        <v>3323</v>
      </c>
      <c r="B43" s="2991" t="s">
        <v>3101</v>
      </c>
      <c r="C43" s="2991" t="s">
        <v>3196</v>
      </c>
      <c r="D43" s="2991" t="s">
        <v>3111</v>
      </c>
      <c r="E43" s="2991">
        <v>15146</v>
      </c>
      <c r="F43" s="2991" t="s">
        <v>3203</v>
      </c>
      <c r="G43" s="2991">
        <v>20249</v>
      </c>
      <c r="H43" s="2991" t="s">
        <v>3139</v>
      </c>
      <c r="I43" s="2991" t="s">
        <v>3324</v>
      </c>
      <c r="J43" s="2991" t="s">
        <v>3325</v>
      </c>
      <c r="K43" s="2991" t="s">
        <v>3326</v>
      </c>
      <c r="L43" s="2991">
        <v>34019</v>
      </c>
      <c r="M43" s="2991">
        <v>1120.02</v>
      </c>
      <c r="N43" s="2991">
        <v>4800.0600000000004</v>
      </c>
      <c r="O43" s="2991">
        <v>0</v>
      </c>
      <c r="P43" s="2991" t="s">
        <v>3327</v>
      </c>
    </row>
    <row r="44" spans="1:16" hidden="1">
      <c r="A44" s="3003" t="s">
        <v>3235</v>
      </c>
      <c r="B44" s="3003" t="s">
        <v>3101</v>
      </c>
      <c r="C44" s="3003" t="s">
        <v>3196</v>
      </c>
      <c r="D44" s="3003" t="s">
        <v>3111</v>
      </c>
      <c r="E44" s="3003">
        <v>15134</v>
      </c>
      <c r="F44" s="3003" t="s">
        <v>3236</v>
      </c>
      <c r="G44" s="3003">
        <v>15433</v>
      </c>
      <c r="H44" s="3003" t="s">
        <v>3237</v>
      </c>
      <c r="I44" s="3003" t="s">
        <v>3238</v>
      </c>
      <c r="J44" s="3003" t="s">
        <v>3239</v>
      </c>
      <c r="K44" s="3003" t="s">
        <v>3231</v>
      </c>
      <c r="L44" s="3003">
        <v>4322</v>
      </c>
      <c r="M44" s="3003">
        <v>186.7</v>
      </c>
      <c r="N44" s="3003">
        <v>1400.25</v>
      </c>
      <c r="O44" s="3003">
        <v>0</v>
      </c>
      <c r="P44" s="3003" t="s">
        <v>3108</v>
      </c>
    </row>
    <row r="45" spans="1:16">
      <c r="A45" s="3003" t="s">
        <v>3446</v>
      </c>
      <c r="B45" s="3003" t="s">
        <v>3101</v>
      </c>
      <c r="C45" s="3003" t="s">
        <v>3196</v>
      </c>
      <c r="D45" s="3003" t="s">
        <v>3111</v>
      </c>
      <c r="E45" s="3003">
        <v>15132</v>
      </c>
      <c r="F45" s="3003" t="s">
        <v>3447</v>
      </c>
      <c r="G45" s="3003">
        <v>59762</v>
      </c>
      <c r="H45" s="3003" t="s">
        <v>3241</v>
      </c>
      <c r="I45" s="3003" t="s">
        <v>3238</v>
      </c>
      <c r="J45" s="3003" t="s">
        <v>3448</v>
      </c>
      <c r="K45" s="3003" t="s">
        <v>3449</v>
      </c>
      <c r="L45" s="3003">
        <v>17929</v>
      </c>
      <c r="M45" s="3003">
        <v>200</v>
      </c>
      <c r="N45" s="3003">
        <v>1200.02</v>
      </c>
      <c r="O45" s="3003">
        <v>0</v>
      </c>
      <c r="P45" s="3003" t="s">
        <v>3108</v>
      </c>
    </row>
    <row r="46" spans="1:16">
      <c r="A46" s="3003" t="s">
        <v>3450</v>
      </c>
      <c r="B46" s="3003" t="s">
        <v>3101</v>
      </c>
      <c r="C46" s="3003" t="s">
        <v>3196</v>
      </c>
      <c r="D46" s="3003" t="s">
        <v>3111</v>
      </c>
      <c r="E46" s="3003">
        <v>15131</v>
      </c>
      <c r="F46" s="3003" t="s">
        <v>3447</v>
      </c>
      <c r="G46" s="3003">
        <v>52819</v>
      </c>
      <c r="H46" s="3003" t="s">
        <v>3451</v>
      </c>
      <c r="I46" s="3003" t="s">
        <v>3238</v>
      </c>
      <c r="J46" s="3003" t="s">
        <v>3452</v>
      </c>
      <c r="K46" s="3003" t="s">
        <v>3453</v>
      </c>
      <c r="L46" s="3003">
        <v>42973</v>
      </c>
      <c r="M46" s="3003">
        <v>542.39</v>
      </c>
      <c r="N46" s="3003">
        <v>1807.98</v>
      </c>
      <c r="O46" s="3003">
        <v>0</v>
      </c>
      <c r="P46" s="3003" t="s">
        <v>3108</v>
      </c>
    </row>
    <row r="47" spans="1:16">
      <c r="A47" s="3003" t="s">
        <v>4176</v>
      </c>
      <c r="B47" s="3003" t="s">
        <v>3101</v>
      </c>
      <c r="C47" s="3003" t="s">
        <v>3196</v>
      </c>
      <c r="D47" s="3003" t="s">
        <v>3111</v>
      </c>
      <c r="E47" s="3003">
        <v>15126</v>
      </c>
      <c r="F47" s="3003" t="s">
        <v>3447</v>
      </c>
      <c r="G47" s="3003">
        <v>18516</v>
      </c>
      <c r="H47" s="3003" t="s">
        <v>4177</v>
      </c>
      <c r="I47" s="3003" t="s">
        <v>4078</v>
      </c>
      <c r="J47" s="3003" t="s">
        <v>4178</v>
      </c>
      <c r="K47" s="3003" t="s">
        <v>4041</v>
      </c>
      <c r="L47" s="3003">
        <v>10462</v>
      </c>
      <c r="M47" s="3003">
        <v>376.68</v>
      </c>
      <c r="N47" s="3003">
        <v>1412.55</v>
      </c>
      <c r="O47" s="3003">
        <v>0</v>
      </c>
      <c r="P47" s="3003" t="s">
        <v>3108</v>
      </c>
    </row>
    <row r="48" spans="1:16">
      <c r="A48" s="3003" t="s">
        <v>4179</v>
      </c>
      <c r="B48" s="3003" t="s">
        <v>3101</v>
      </c>
      <c r="C48" s="3003" t="s">
        <v>3196</v>
      </c>
      <c r="D48" s="3003" t="s">
        <v>3111</v>
      </c>
      <c r="E48" s="3003">
        <v>15120</v>
      </c>
      <c r="F48" s="3003" t="s">
        <v>3447</v>
      </c>
      <c r="G48" s="3003">
        <v>16764</v>
      </c>
      <c r="H48" s="3003" t="s">
        <v>3977</v>
      </c>
      <c r="I48" s="3003" t="s">
        <v>4089</v>
      </c>
      <c r="J48" s="3003" t="s">
        <v>4180</v>
      </c>
      <c r="K48" s="3003" t="s">
        <v>4041</v>
      </c>
      <c r="L48" s="3003">
        <v>8651</v>
      </c>
      <c r="M48" s="3003">
        <v>344.03</v>
      </c>
      <c r="N48" s="3003">
        <v>1720.15</v>
      </c>
      <c r="O48" s="3003">
        <v>0</v>
      </c>
      <c r="P48" s="3003" t="s">
        <v>3108</v>
      </c>
    </row>
    <row r="49" spans="1:16">
      <c r="A49" s="3003" t="s">
        <v>4181</v>
      </c>
      <c r="B49" s="3003" t="s">
        <v>3101</v>
      </c>
      <c r="C49" s="3003" t="s">
        <v>3196</v>
      </c>
      <c r="D49" s="3003" t="s">
        <v>3111</v>
      </c>
      <c r="E49" s="3003">
        <v>15119</v>
      </c>
      <c r="F49" s="3003" t="s">
        <v>3447</v>
      </c>
      <c r="G49" s="3003">
        <v>30472</v>
      </c>
      <c r="H49" s="3003" t="s">
        <v>4088</v>
      </c>
      <c r="I49" s="3003" t="s">
        <v>4089</v>
      </c>
      <c r="J49" s="3003" t="s">
        <v>4182</v>
      </c>
      <c r="K49" s="3003" t="s">
        <v>4041</v>
      </c>
      <c r="L49" s="3003">
        <v>16352</v>
      </c>
      <c r="M49" s="3003">
        <v>357.75</v>
      </c>
      <c r="N49" s="3003">
        <v>1533.21</v>
      </c>
      <c r="O49" s="3003">
        <v>0</v>
      </c>
      <c r="P49" s="3003" t="s">
        <v>3108</v>
      </c>
    </row>
    <row r="50" spans="1:16" hidden="1">
      <c r="A50" s="3003" t="s">
        <v>3240</v>
      </c>
      <c r="B50" s="3003" t="s">
        <v>3101</v>
      </c>
      <c r="C50" s="3003" t="s">
        <v>3196</v>
      </c>
      <c r="D50" s="3003" t="s">
        <v>3111</v>
      </c>
      <c r="E50" s="3003">
        <v>15117</v>
      </c>
      <c r="F50" s="3003" t="s">
        <v>3203</v>
      </c>
      <c r="G50" s="3003">
        <v>79927</v>
      </c>
      <c r="H50" s="3003" t="s">
        <v>3241</v>
      </c>
      <c r="I50" s="3003" t="s">
        <v>3242</v>
      </c>
      <c r="J50" s="3003" t="s">
        <v>3243</v>
      </c>
      <c r="K50" s="3003" t="s">
        <v>3244</v>
      </c>
      <c r="L50" s="3003">
        <v>24698</v>
      </c>
      <c r="M50" s="3003">
        <v>206</v>
      </c>
      <c r="N50" s="3003">
        <v>1236.02</v>
      </c>
      <c r="O50" s="3003">
        <v>0</v>
      </c>
      <c r="P50" s="3003" t="s">
        <v>3108</v>
      </c>
    </row>
    <row r="51" spans="1:16" hidden="1">
      <c r="A51" s="3003" t="s">
        <v>3328</v>
      </c>
      <c r="B51" s="3003" t="s">
        <v>3101</v>
      </c>
      <c r="C51" s="3003" t="s">
        <v>3196</v>
      </c>
      <c r="D51" s="3003" t="s">
        <v>3111</v>
      </c>
      <c r="E51" s="3003">
        <v>15118</v>
      </c>
      <c r="F51" s="3003" t="s">
        <v>3329</v>
      </c>
      <c r="G51" s="3003">
        <v>42851</v>
      </c>
      <c r="H51" s="3003" t="s">
        <v>3330</v>
      </c>
      <c r="I51" s="3003" t="s">
        <v>3242</v>
      </c>
      <c r="J51" s="3003" t="s">
        <v>3331</v>
      </c>
      <c r="K51" s="3003" t="s">
        <v>3332</v>
      </c>
      <c r="L51" s="3003">
        <v>4757</v>
      </c>
      <c r="M51" s="3003">
        <v>74.010000000000005</v>
      </c>
      <c r="N51" s="3003">
        <v>1110.1300000000001</v>
      </c>
      <c r="O51" s="3003">
        <v>0</v>
      </c>
      <c r="P51" s="3003" t="s">
        <v>3108</v>
      </c>
    </row>
    <row r="52" spans="1:16" hidden="1">
      <c r="A52" s="3003" t="s">
        <v>3333</v>
      </c>
      <c r="B52" s="3003" t="s">
        <v>3101</v>
      </c>
      <c r="C52" s="3003" t="s">
        <v>3196</v>
      </c>
      <c r="D52" s="3003" t="s">
        <v>3111</v>
      </c>
      <c r="E52" s="3003" t="s">
        <v>3334</v>
      </c>
      <c r="F52" s="3003" t="s">
        <v>3236</v>
      </c>
      <c r="G52" s="3003">
        <v>3514.21</v>
      </c>
      <c r="H52" s="3003" t="s">
        <v>3335</v>
      </c>
      <c r="I52" s="3003" t="s">
        <v>3336</v>
      </c>
      <c r="J52" s="3003" t="s">
        <v>3337</v>
      </c>
      <c r="K52" s="3003" t="s">
        <v>3338</v>
      </c>
      <c r="L52" s="3003">
        <v>1100</v>
      </c>
      <c r="M52" s="3003">
        <v>208.68</v>
      </c>
      <c r="N52" s="3003">
        <v>3199.46</v>
      </c>
      <c r="O52" s="3003">
        <v>0.64</v>
      </c>
      <c r="P52" s="3003" t="s">
        <v>3339</v>
      </c>
    </row>
    <row r="53" spans="1:16" hidden="1">
      <c r="A53" s="3003" t="s">
        <v>3340</v>
      </c>
      <c r="B53" s="3003" t="s">
        <v>3101</v>
      </c>
      <c r="C53" s="3003" t="s">
        <v>3196</v>
      </c>
      <c r="D53" s="3003" t="s">
        <v>3111</v>
      </c>
      <c r="E53" s="3003" t="s">
        <v>3341</v>
      </c>
      <c r="F53" s="3003" t="s">
        <v>3236</v>
      </c>
      <c r="G53" s="3003">
        <v>51641.5</v>
      </c>
      <c r="H53" s="3003" t="s">
        <v>3342</v>
      </c>
      <c r="I53" s="3003" t="s">
        <v>3336</v>
      </c>
      <c r="J53" s="3003" t="s">
        <v>3343</v>
      </c>
      <c r="K53" s="3003" t="s">
        <v>3344</v>
      </c>
      <c r="L53" s="3003">
        <v>20920</v>
      </c>
      <c r="M53" s="3003">
        <v>270.07</v>
      </c>
      <c r="N53" s="3003">
        <v>3058.44</v>
      </c>
      <c r="O53" s="3003">
        <v>0</v>
      </c>
      <c r="P53" s="3003" t="s">
        <v>3339</v>
      </c>
    </row>
    <row r="54" spans="1:16" hidden="1">
      <c r="A54" s="3003" t="s">
        <v>3245</v>
      </c>
      <c r="B54" s="3003" t="s">
        <v>3101</v>
      </c>
      <c r="C54" s="3003" t="s">
        <v>3196</v>
      </c>
      <c r="D54" s="3003" t="s">
        <v>3111</v>
      </c>
      <c r="E54" s="3003">
        <v>15115</v>
      </c>
      <c r="F54" s="3003" t="s">
        <v>3203</v>
      </c>
      <c r="G54" s="3003">
        <v>52840</v>
      </c>
      <c r="H54" s="3003" t="s">
        <v>3246</v>
      </c>
      <c r="I54" s="3003" t="s">
        <v>3247</v>
      </c>
      <c r="J54" s="3003" t="s">
        <v>3248</v>
      </c>
      <c r="K54" s="3003" t="s">
        <v>3249</v>
      </c>
      <c r="L54" s="3003">
        <v>12101</v>
      </c>
      <c r="M54" s="3003">
        <v>152.66999999999999</v>
      </c>
      <c r="N54" s="3003">
        <v>1099.6300000000001</v>
      </c>
      <c r="O54" s="3003">
        <v>0</v>
      </c>
      <c r="P54" s="3003" t="s">
        <v>3108</v>
      </c>
    </row>
    <row r="55" spans="1:16" hidden="1">
      <c r="A55" s="3003" t="s">
        <v>3345</v>
      </c>
      <c r="B55" s="3003" t="s">
        <v>3101</v>
      </c>
      <c r="C55" s="3003" t="s">
        <v>3196</v>
      </c>
      <c r="D55" s="3003" t="s">
        <v>3111</v>
      </c>
      <c r="E55" s="3003">
        <v>15110</v>
      </c>
      <c r="F55" s="3003" t="s">
        <v>3203</v>
      </c>
      <c r="G55" s="3003">
        <v>147679</v>
      </c>
      <c r="H55" s="3003" t="s">
        <v>3346</v>
      </c>
      <c r="I55" s="3003" t="s">
        <v>3167</v>
      </c>
      <c r="J55" s="3003" t="s">
        <v>3347</v>
      </c>
      <c r="K55" s="3003" t="s">
        <v>3348</v>
      </c>
      <c r="L55" s="3003">
        <v>50403</v>
      </c>
      <c r="M55" s="3003">
        <v>227.53</v>
      </c>
      <c r="N55" s="3003">
        <v>1551.36</v>
      </c>
      <c r="O55" s="3003">
        <v>0</v>
      </c>
      <c r="P55" s="3003" t="s">
        <v>3108</v>
      </c>
    </row>
    <row r="56" spans="1:16" hidden="1">
      <c r="A56" s="3003" t="s">
        <v>3350</v>
      </c>
      <c r="B56" s="3003" t="s">
        <v>3101</v>
      </c>
      <c r="C56" s="3003" t="s">
        <v>3196</v>
      </c>
      <c r="D56" s="3003" t="s">
        <v>3111</v>
      </c>
      <c r="E56" s="3003">
        <v>15106</v>
      </c>
      <c r="F56" s="3003" t="s">
        <v>3203</v>
      </c>
      <c r="G56" s="3003">
        <v>334035</v>
      </c>
      <c r="H56" s="3003" t="s">
        <v>3351</v>
      </c>
      <c r="I56" s="3003" t="s">
        <v>3349</v>
      </c>
      <c r="J56" s="3003" t="s">
        <v>3352</v>
      </c>
      <c r="K56" s="3003" t="s">
        <v>3348</v>
      </c>
      <c r="L56" s="3003">
        <v>60127</v>
      </c>
      <c r="M56" s="3003">
        <v>120</v>
      </c>
      <c r="N56" s="3003">
        <v>1200</v>
      </c>
      <c r="O56" s="3003">
        <v>0</v>
      </c>
      <c r="P56" s="3003" t="s">
        <v>3108</v>
      </c>
    </row>
    <row r="57" spans="1:16" hidden="1">
      <c r="A57" s="3003" t="s">
        <v>3353</v>
      </c>
      <c r="B57" s="3003" t="s">
        <v>3101</v>
      </c>
      <c r="C57" s="3003" t="s">
        <v>3196</v>
      </c>
      <c r="D57" s="3003" t="s">
        <v>3111</v>
      </c>
      <c r="E57" s="3003">
        <v>15107</v>
      </c>
      <c r="F57" s="3003" t="s">
        <v>3354</v>
      </c>
      <c r="G57" s="3003">
        <v>134308</v>
      </c>
      <c r="H57" s="3003" t="s">
        <v>3351</v>
      </c>
      <c r="I57" s="3003" t="s">
        <v>3349</v>
      </c>
      <c r="J57" s="3003" t="s">
        <v>3355</v>
      </c>
      <c r="K57" s="3003" t="s">
        <v>3356</v>
      </c>
      <c r="L57" s="3003">
        <v>24176</v>
      </c>
      <c r="M57" s="3003">
        <v>120</v>
      </c>
      <c r="N57" s="3003">
        <v>1200.02</v>
      </c>
      <c r="O57" s="3003">
        <v>0</v>
      </c>
      <c r="P57" s="3003" t="s">
        <v>3108</v>
      </c>
    </row>
    <row r="58" spans="1:16" hidden="1">
      <c r="A58" s="3003" t="s">
        <v>3357</v>
      </c>
      <c r="B58" s="3003" t="s">
        <v>3101</v>
      </c>
      <c r="C58" s="3003" t="s">
        <v>3196</v>
      </c>
      <c r="D58" s="3003" t="s">
        <v>3111</v>
      </c>
      <c r="E58" s="3003">
        <v>15104</v>
      </c>
      <c r="F58" s="3003" t="s">
        <v>3358</v>
      </c>
      <c r="G58" s="3003">
        <v>124621</v>
      </c>
      <c r="H58" s="3003" t="s">
        <v>3359</v>
      </c>
      <c r="I58" s="3003" t="s">
        <v>3360</v>
      </c>
      <c r="J58" s="3003" t="s">
        <v>3361</v>
      </c>
      <c r="K58" s="3003" t="s">
        <v>3362</v>
      </c>
      <c r="L58" s="3003">
        <v>12904</v>
      </c>
      <c r="M58" s="3003">
        <v>69.03</v>
      </c>
      <c r="N58" s="3003">
        <v>673.41</v>
      </c>
      <c r="O58" s="3003">
        <v>0</v>
      </c>
      <c r="P58" s="3003" t="s">
        <v>3108</v>
      </c>
    </row>
    <row r="59" spans="1:16" hidden="1">
      <c r="A59" s="3003" t="s">
        <v>4183</v>
      </c>
      <c r="B59" s="3003" t="s">
        <v>3101</v>
      </c>
      <c r="C59" s="3003" t="s">
        <v>3196</v>
      </c>
      <c r="D59" s="3003" t="s">
        <v>3103</v>
      </c>
      <c r="E59" s="3003">
        <v>15099</v>
      </c>
      <c r="F59" s="3003" t="s">
        <v>3203</v>
      </c>
      <c r="G59" s="3003">
        <v>51748</v>
      </c>
      <c r="H59" s="3003" t="s">
        <v>3261</v>
      </c>
      <c r="I59" s="3003" t="s">
        <v>4184</v>
      </c>
      <c r="J59" s="3003" t="s">
        <v>4185</v>
      </c>
      <c r="K59" s="3003" t="s">
        <v>4186</v>
      </c>
      <c r="L59" s="3003">
        <v>12265</v>
      </c>
      <c r="M59" s="3003">
        <v>158.01</v>
      </c>
      <c r="N59" s="3003">
        <v>1580.08</v>
      </c>
      <c r="O59" s="3003">
        <v>0</v>
      </c>
      <c r="P59" s="3003" t="s">
        <v>3108</v>
      </c>
    </row>
    <row r="60" spans="1:16" hidden="1">
      <c r="A60" s="3003" t="s">
        <v>4187</v>
      </c>
      <c r="B60" s="3003" t="s">
        <v>3101</v>
      </c>
      <c r="C60" s="3003" t="s">
        <v>3196</v>
      </c>
      <c r="D60" s="3003" t="s">
        <v>3103</v>
      </c>
      <c r="E60" s="3003">
        <v>15100</v>
      </c>
      <c r="F60" s="3003" t="s">
        <v>4153</v>
      </c>
      <c r="G60" s="3003">
        <v>13840</v>
      </c>
      <c r="H60" s="3003" t="s">
        <v>3261</v>
      </c>
      <c r="I60" s="3003" t="s">
        <v>4184</v>
      </c>
      <c r="J60" s="3003" t="s">
        <v>4188</v>
      </c>
      <c r="K60" s="3003" t="s">
        <v>4189</v>
      </c>
      <c r="L60" s="3003">
        <v>2492</v>
      </c>
      <c r="M60" s="3003">
        <v>120.04</v>
      </c>
      <c r="N60" s="3003">
        <v>1200.26</v>
      </c>
      <c r="O60" s="3003">
        <v>0</v>
      </c>
      <c r="P60" s="3003" t="s">
        <v>3108</v>
      </c>
    </row>
    <row r="61" spans="1:16">
      <c r="A61" s="3003" t="s">
        <v>3250</v>
      </c>
      <c r="B61" s="3003" t="s">
        <v>3101</v>
      </c>
      <c r="C61" s="3003" t="s">
        <v>3196</v>
      </c>
      <c r="D61" s="3003" t="s">
        <v>3103</v>
      </c>
      <c r="E61" s="3003">
        <v>15096</v>
      </c>
      <c r="F61" s="3003" t="s">
        <v>3251</v>
      </c>
      <c r="G61" s="3003">
        <v>7768</v>
      </c>
      <c r="H61" s="3003" t="s">
        <v>3252</v>
      </c>
      <c r="I61" s="3003" t="s">
        <v>3253</v>
      </c>
      <c r="J61" s="3003" t="s">
        <v>3254</v>
      </c>
      <c r="K61" s="3003" t="s">
        <v>3255</v>
      </c>
      <c r="L61" s="3003">
        <v>127350</v>
      </c>
      <c r="M61" s="3003">
        <v>10929.45</v>
      </c>
      <c r="N61" s="3003">
        <v>8269.4699999999993</v>
      </c>
      <c r="O61" s="3003">
        <v>0</v>
      </c>
      <c r="P61" s="3003" t="s">
        <v>3108</v>
      </c>
    </row>
    <row r="62" spans="1:16" hidden="1">
      <c r="A62" s="3003" t="s">
        <v>3256</v>
      </c>
      <c r="B62" s="3003" t="s">
        <v>3101</v>
      </c>
      <c r="C62" s="3003" t="s">
        <v>3196</v>
      </c>
      <c r="D62" s="3003" t="s">
        <v>3103</v>
      </c>
      <c r="E62" s="3003">
        <v>15090</v>
      </c>
      <c r="F62" s="3003" t="s">
        <v>3203</v>
      </c>
      <c r="G62" s="3003">
        <v>9953</v>
      </c>
      <c r="H62" s="3003" t="s">
        <v>3257</v>
      </c>
      <c r="I62" s="3003" t="s">
        <v>3253</v>
      </c>
      <c r="J62" s="3003" t="s">
        <v>3258</v>
      </c>
      <c r="K62" s="3003" t="s">
        <v>3259</v>
      </c>
      <c r="L62" s="3003">
        <v>4081</v>
      </c>
      <c r="M62" s="3003">
        <v>273.35000000000002</v>
      </c>
      <c r="N62" s="3003">
        <v>2049.71</v>
      </c>
      <c r="O62" s="3003">
        <v>0</v>
      </c>
      <c r="P62" s="3003" t="s">
        <v>3108</v>
      </c>
    </row>
    <row r="63" spans="1:16" hidden="1">
      <c r="A63" s="3003" t="s">
        <v>4190</v>
      </c>
      <c r="B63" s="3003" t="s">
        <v>3101</v>
      </c>
      <c r="C63" s="3003" t="s">
        <v>3196</v>
      </c>
      <c r="D63" s="3003" t="s">
        <v>3103</v>
      </c>
      <c r="E63" s="3003">
        <v>15092</v>
      </c>
      <c r="F63" s="3003" t="s">
        <v>3203</v>
      </c>
      <c r="G63" s="3003">
        <v>27109</v>
      </c>
      <c r="H63" s="3003" t="s">
        <v>4191</v>
      </c>
      <c r="I63" s="3003" t="s">
        <v>3253</v>
      </c>
      <c r="J63" s="3003" t="s">
        <v>4192</v>
      </c>
      <c r="K63" s="3003" t="s">
        <v>4041</v>
      </c>
      <c r="L63" s="3003">
        <v>6669</v>
      </c>
      <c r="M63" s="3003">
        <v>164</v>
      </c>
      <c r="N63" s="3003">
        <v>2050.0300000000002</v>
      </c>
      <c r="O63" s="3003">
        <v>0</v>
      </c>
      <c r="P63" s="3003" t="s">
        <v>3108</v>
      </c>
    </row>
    <row r="64" spans="1:16" hidden="1">
      <c r="A64" s="3003" t="s">
        <v>3260</v>
      </c>
      <c r="B64" s="3003" t="s">
        <v>3101</v>
      </c>
      <c r="C64" s="3003" t="s">
        <v>3196</v>
      </c>
      <c r="D64" s="3003" t="s">
        <v>3103</v>
      </c>
      <c r="E64" s="3003">
        <v>15097</v>
      </c>
      <c r="F64" s="3003" t="s">
        <v>3197</v>
      </c>
      <c r="G64" s="3003">
        <v>41797</v>
      </c>
      <c r="H64" s="3003" t="s">
        <v>3261</v>
      </c>
      <c r="I64" s="3003" t="s">
        <v>3253</v>
      </c>
      <c r="J64" s="3003" t="s">
        <v>3262</v>
      </c>
      <c r="K64" s="3003" t="s">
        <v>3263</v>
      </c>
      <c r="L64" s="3003">
        <v>4515</v>
      </c>
      <c r="M64" s="3003">
        <v>72.010000000000005</v>
      </c>
      <c r="N64" s="3003">
        <v>720.13</v>
      </c>
      <c r="O64" s="3003">
        <v>0</v>
      </c>
      <c r="P64" s="3003" t="s">
        <v>3108</v>
      </c>
    </row>
    <row r="65" spans="1:16" hidden="1">
      <c r="A65" s="3003" t="s">
        <v>4193</v>
      </c>
      <c r="B65" s="3003" t="s">
        <v>3101</v>
      </c>
      <c r="C65" s="3003" t="s">
        <v>3196</v>
      </c>
      <c r="D65" s="3003" t="s">
        <v>3111</v>
      </c>
      <c r="E65" s="3003">
        <v>15080</v>
      </c>
      <c r="F65" s="3003" t="s">
        <v>4194</v>
      </c>
      <c r="G65" s="3003">
        <v>82801</v>
      </c>
      <c r="H65" s="3003" t="s">
        <v>3351</v>
      </c>
      <c r="I65" s="3003" t="s">
        <v>4122</v>
      </c>
      <c r="J65" s="3003" t="s">
        <v>4195</v>
      </c>
      <c r="K65" s="3003" t="s">
        <v>4196</v>
      </c>
      <c r="L65" s="3003">
        <v>9944</v>
      </c>
      <c r="M65" s="3003">
        <v>80.06</v>
      </c>
      <c r="N65" s="3003">
        <v>800.62</v>
      </c>
      <c r="O65" s="3003">
        <v>0</v>
      </c>
      <c r="P65" s="3003" t="s">
        <v>3108</v>
      </c>
    </row>
    <row r="66" spans="1:16" hidden="1">
      <c r="A66" s="3003" t="s">
        <v>4197</v>
      </c>
      <c r="B66" s="3003" t="s">
        <v>3101</v>
      </c>
      <c r="C66" s="3003" t="s">
        <v>3196</v>
      </c>
      <c r="D66" s="3003" t="s">
        <v>3111</v>
      </c>
      <c r="E66" s="3003">
        <v>15086</v>
      </c>
      <c r="F66" s="3003" t="s">
        <v>3236</v>
      </c>
      <c r="G66" s="3003">
        <v>18616</v>
      </c>
      <c r="H66" s="3003" t="s">
        <v>4198</v>
      </c>
      <c r="I66" s="3003" t="s">
        <v>4122</v>
      </c>
      <c r="J66" s="3003" t="s">
        <v>4199</v>
      </c>
      <c r="K66" s="3003" t="s">
        <v>4041</v>
      </c>
      <c r="L66" s="3003">
        <v>4394</v>
      </c>
      <c r="M66" s="3003">
        <v>157.36000000000001</v>
      </c>
      <c r="N66" s="3003">
        <v>1966.96</v>
      </c>
      <c r="O66" s="3003">
        <v>0</v>
      </c>
      <c r="P66" s="3003" t="s">
        <v>3108</v>
      </c>
    </row>
    <row r="67" spans="1:16" hidden="1">
      <c r="A67" s="3003" t="s">
        <v>4200</v>
      </c>
      <c r="B67" s="3003" t="s">
        <v>3101</v>
      </c>
      <c r="C67" s="3003" t="s">
        <v>3196</v>
      </c>
      <c r="D67" s="3003" t="s">
        <v>3111</v>
      </c>
      <c r="E67" s="3003">
        <v>15077</v>
      </c>
      <c r="F67" s="3003" t="s">
        <v>4153</v>
      </c>
      <c r="G67" s="3003">
        <v>8068</v>
      </c>
      <c r="H67" s="3003" t="s">
        <v>3351</v>
      </c>
      <c r="I67" s="3003" t="s">
        <v>4201</v>
      </c>
      <c r="J67" s="3003" t="s">
        <v>4202</v>
      </c>
      <c r="K67" s="3003" t="s">
        <v>4203</v>
      </c>
      <c r="L67" s="3003">
        <v>1461</v>
      </c>
      <c r="M67" s="3003">
        <v>120.72</v>
      </c>
      <c r="N67" s="3003">
        <v>1207.24</v>
      </c>
      <c r="O67" s="3003">
        <v>0</v>
      </c>
      <c r="P67" s="3003" t="s">
        <v>3108</v>
      </c>
    </row>
    <row r="68" spans="1:16">
      <c r="A68" s="3003" t="s">
        <v>4204</v>
      </c>
      <c r="B68" s="3003" t="s">
        <v>3101</v>
      </c>
      <c r="C68" s="3003" t="s">
        <v>3196</v>
      </c>
      <c r="D68" s="3003" t="s">
        <v>3111</v>
      </c>
      <c r="E68" s="3003">
        <v>15076</v>
      </c>
      <c r="F68" s="3003" t="s">
        <v>4205</v>
      </c>
      <c r="G68" s="3003">
        <v>24449</v>
      </c>
      <c r="H68" s="3003" t="s">
        <v>4206</v>
      </c>
      <c r="I68" s="3003" t="s">
        <v>4201</v>
      </c>
      <c r="J68" s="3003" t="s">
        <v>4207</v>
      </c>
      <c r="K68" s="3003" t="s">
        <v>3226</v>
      </c>
      <c r="L68" s="3003">
        <v>18826</v>
      </c>
      <c r="M68" s="3003">
        <v>513.34</v>
      </c>
      <c r="N68" s="3003">
        <v>2200.0100000000002</v>
      </c>
      <c r="O68" s="3003">
        <v>0</v>
      </c>
      <c r="P68" s="3003" t="s">
        <v>3108</v>
      </c>
    </row>
  </sheetData>
  <autoFilter ref="A1:P68"/>
  <phoneticPr fontId="143" type="noConversion"/>
  <hyperlinks>
    <hyperlink ref="Q8" r:id="rId1"/>
    <hyperlink ref="Q17" r:id="rId2"/>
  </hyperlink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opLeftCell="A16" workbookViewId="0">
      <selection activeCell="H11" sqref="H11:J15"/>
    </sheetView>
  </sheetViews>
  <sheetFormatPr defaultColWidth="8.875" defaultRowHeight="13.5"/>
  <cols>
    <col min="2" max="5" width="8.875" style="2973"/>
    <col min="8" max="11" width="8.875" style="2973"/>
  </cols>
  <sheetData>
    <row r="1" spans="1:11">
      <c r="A1" s="2952" t="s">
        <v>3187</v>
      </c>
      <c r="B1" s="3394" t="s">
        <v>3182</v>
      </c>
      <c r="C1" s="3394"/>
      <c r="D1" s="3394"/>
      <c r="E1" s="3394"/>
      <c r="G1" s="2952" t="s">
        <v>3188</v>
      </c>
      <c r="H1" s="3394" t="s">
        <v>3182</v>
      </c>
      <c r="I1" s="3394"/>
      <c r="J1" s="3394"/>
      <c r="K1" s="3394"/>
    </row>
    <row r="2" spans="1:11" ht="14.25" thickBot="1">
      <c r="B2" s="2967" t="s">
        <v>3183</v>
      </c>
      <c r="C2" s="2968" t="s">
        <v>3184</v>
      </c>
      <c r="D2" s="2968" t="s">
        <v>3185</v>
      </c>
      <c r="E2" s="2968" t="s">
        <v>3186</v>
      </c>
      <c r="H2" s="2967" t="s">
        <v>3183</v>
      </c>
      <c r="I2" s="2968" t="s">
        <v>3184</v>
      </c>
      <c r="J2" s="2968" t="s">
        <v>3185</v>
      </c>
      <c r="K2" s="2968" t="s">
        <v>3186</v>
      </c>
    </row>
    <row r="3" spans="1:11">
      <c r="B3" s="2969">
        <v>2015.2</v>
      </c>
      <c r="C3" s="2970">
        <v>4098</v>
      </c>
      <c r="D3" s="2970">
        <v>0.97</v>
      </c>
      <c r="E3" s="2970"/>
      <c r="H3" s="2969">
        <v>2015.2</v>
      </c>
      <c r="I3" s="2970">
        <v>8657</v>
      </c>
      <c r="J3" s="2970">
        <v>0.5</v>
      </c>
      <c r="K3" s="2970"/>
    </row>
    <row r="4" spans="1:11">
      <c r="B4" s="2971">
        <v>2015.3</v>
      </c>
      <c r="C4" s="2972">
        <v>4135</v>
      </c>
      <c r="D4" s="2972">
        <v>0.91</v>
      </c>
      <c r="E4" s="2972"/>
      <c r="H4" s="2971">
        <v>2015.3</v>
      </c>
      <c r="I4" s="2972">
        <v>8687</v>
      </c>
      <c r="J4" s="2972">
        <v>0.35</v>
      </c>
      <c r="K4" s="2972"/>
    </row>
    <row r="5" spans="1:11">
      <c r="B5" s="2969">
        <v>2015.4</v>
      </c>
      <c r="C5" s="2970">
        <v>4165</v>
      </c>
      <c r="D5" s="2970">
        <v>0.73</v>
      </c>
      <c r="E5" s="2970"/>
      <c r="H5" s="2969">
        <v>2015.4</v>
      </c>
      <c r="I5" s="2970">
        <v>8720</v>
      </c>
      <c r="J5" s="2970">
        <v>0.38</v>
      </c>
      <c r="K5" s="2970"/>
    </row>
    <row r="6" spans="1:11">
      <c r="B6" s="2971">
        <v>2016.1</v>
      </c>
      <c r="C6" s="2972">
        <v>4168</v>
      </c>
      <c r="D6" s="2972">
        <v>7.0000000000000007E-2</v>
      </c>
      <c r="E6" s="2972"/>
      <c r="H6" s="2980">
        <v>2016.1</v>
      </c>
      <c r="I6" s="2981">
        <v>8731</v>
      </c>
      <c r="J6" s="2981">
        <v>0.13</v>
      </c>
      <c r="K6" s="2981"/>
    </row>
    <row r="7" spans="1:11">
      <c r="B7" s="2969">
        <v>2016.2</v>
      </c>
      <c r="C7" s="2970">
        <v>4197</v>
      </c>
      <c r="D7" s="2970">
        <v>0.7</v>
      </c>
      <c r="H7" s="2969">
        <v>2016.2</v>
      </c>
      <c r="I7" s="2970">
        <v>8764</v>
      </c>
      <c r="J7" s="2970">
        <v>0.38</v>
      </c>
      <c r="K7" s="2970"/>
    </row>
    <row r="8" spans="1:11">
      <c r="B8" s="2974">
        <v>2016.3</v>
      </c>
      <c r="C8" s="2975">
        <v>4231</v>
      </c>
      <c r="D8" s="2975">
        <v>0.81</v>
      </c>
      <c r="E8" s="2975"/>
      <c r="H8" s="2971">
        <v>2016.3</v>
      </c>
      <c r="I8" s="2972">
        <v>8798</v>
      </c>
      <c r="J8" s="2972">
        <v>0.39</v>
      </c>
      <c r="K8" s="2972"/>
    </row>
    <row r="9" spans="1:11">
      <c r="B9" s="2976">
        <v>2016.4</v>
      </c>
      <c r="C9" s="2977">
        <v>4273</v>
      </c>
      <c r="D9" s="2977">
        <v>0.99</v>
      </c>
      <c r="E9" s="2977"/>
      <c r="H9" s="2969">
        <v>2016.4</v>
      </c>
      <c r="I9" s="2970">
        <v>8829</v>
      </c>
      <c r="J9" s="2970">
        <v>0.35</v>
      </c>
      <c r="K9" s="2970"/>
    </row>
    <row r="10" spans="1:11">
      <c r="B10" s="2974">
        <v>2017.1</v>
      </c>
      <c r="C10" s="2975">
        <v>4332</v>
      </c>
      <c r="D10" s="2975">
        <v>1.38</v>
      </c>
      <c r="E10" s="2975"/>
      <c r="H10" s="2971">
        <v>2017.1</v>
      </c>
      <c r="I10" s="2972">
        <v>8861</v>
      </c>
      <c r="J10" s="2972">
        <v>0.36</v>
      </c>
      <c r="K10" s="2972"/>
    </row>
    <row r="11" spans="1:11">
      <c r="B11" s="2978">
        <v>2017.2</v>
      </c>
      <c r="C11" s="2979">
        <v>4457</v>
      </c>
      <c r="D11" s="2979">
        <v>2.89</v>
      </c>
      <c r="H11" s="2976">
        <v>2017.2</v>
      </c>
      <c r="I11" s="2977">
        <v>9030</v>
      </c>
      <c r="J11" s="2977">
        <v>1.91</v>
      </c>
      <c r="K11" s="2977"/>
    </row>
    <row r="12" spans="1:11">
      <c r="B12" s="2974">
        <v>2017.3</v>
      </c>
      <c r="C12" s="2975">
        <v>4651</v>
      </c>
      <c r="D12" s="2975">
        <v>4.3499999999999996</v>
      </c>
      <c r="E12" s="2975"/>
      <c r="H12" s="2974">
        <v>2017.3</v>
      </c>
      <c r="I12" s="2975">
        <v>9118</v>
      </c>
      <c r="J12" s="2975">
        <v>0.97</v>
      </c>
      <c r="K12" s="2975"/>
    </row>
    <row r="13" spans="1:11">
      <c r="B13" s="2976">
        <v>2017.4</v>
      </c>
      <c r="C13" s="2977">
        <v>4795</v>
      </c>
      <c r="D13" s="2977">
        <v>3.1</v>
      </c>
      <c r="E13" s="2977"/>
      <c r="H13" s="2976">
        <v>2017.4</v>
      </c>
      <c r="I13" s="2977">
        <v>9196</v>
      </c>
      <c r="J13" s="2977">
        <v>0.86</v>
      </c>
      <c r="K13" s="2977"/>
    </row>
    <row r="14" spans="1:11">
      <c r="B14" s="2974">
        <v>2018.1</v>
      </c>
      <c r="C14" s="2975">
        <v>4897</v>
      </c>
      <c r="D14" s="2975">
        <v>2.13</v>
      </c>
      <c r="E14" s="2975"/>
      <c r="H14" s="2974">
        <v>2018.1</v>
      </c>
      <c r="I14" s="2975">
        <v>9278</v>
      </c>
      <c r="J14" s="2975">
        <v>0.89</v>
      </c>
      <c r="K14" s="2975"/>
    </row>
    <row r="15" spans="1:11">
      <c r="B15" s="2978">
        <v>2018.2</v>
      </c>
      <c r="C15" s="2979">
        <v>5009</v>
      </c>
      <c r="D15" s="2979">
        <v>2.29</v>
      </c>
      <c r="H15" s="2978">
        <v>2018.2</v>
      </c>
      <c r="I15" s="2979">
        <v>9336</v>
      </c>
      <c r="J15" s="2979">
        <v>0.63</v>
      </c>
    </row>
  </sheetData>
  <mergeCells count="2">
    <mergeCell ref="B1:E1"/>
    <mergeCell ref="H1:K1"/>
  </mergeCells>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37" customWidth="1"/>
    <col min="2" max="16384" width="8.875" style="1937"/>
  </cols>
  <sheetData>
    <row r="1" spans="1:1" ht="23.25">
      <c r="A1" s="1936" t="s">
        <v>1611</v>
      </c>
    </row>
    <row r="2" spans="1:1">
      <c r="A2" s="1938"/>
    </row>
    <row r="3" spans="1:1" ht="18">
      <c r="A3" s="1939" t="str">
        <f>项目基本情况!B5&amp;"："</f>
        <v>中国东方资产管理股份有限公司：</v>
      </c>
    </row>
    <row r="4" spans="1:1" ht="36">
      <c r="A4" s="1940" t="str">
        <f>"受贵公司委托，我公司对"&amp;项目基本情况!S1&amp;"进行了预评估。"</f>
        <v>受贵公司委托，我公司对重庆市江北区观音桥组团I分区I29-3-/02地块“隆鑫中心”项目出让国有建设用地使用权及在建建筑物房地产抵押价值进行了预评估。</v>
      </c>
    </row>
    <row r="5" spans="1:1" ht="18.75">
      <c r="A5" s="1941" t="s">
        <v>1612</v>
      </c>
    </row>
    <row r="6" spans="1:1" ht="18.75">
      <c r="A6" s="1942" t="s">
        <v>1613</v>
      </c>
    </row>
    <row r="7" spans="1:1" ht="72">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1" ht="57.75">
      <c r="A8" s="1943" t="s">
        <v>1614</v>
      </c>
    </row>
    <row r="9" spans="1:1" ht="18.75">
      <c r="A9" s="1942" t="s">
        <v>1615</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1" spans="1:1" ht="76.5">
      <c r="A11" s="1943" t="s">
        <v>1616</v>
      </c>
    </row>
    <row r="12" spans="1:1" ht="18.75">
      <c r="A12" s="1941" t="s">
        <v>1617</v>
      </c>
    </row>
    <row r="13" spans="1:1" ht="38.25" customHeight="1">
      <c r="A13" s="1944" t="str">
        <f>IF(项目基本情况!B8="抵押",IF(项目基本情况!B5=项目基本情况!B6,定义!C51,定义!B51),定义!D51)</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4" spans="1:1" ht="18.75">
      <c r="A14" s="1945" t="s">
        <v>1618</v>
      </c>
    </row>
    <row r="15" spans="1:1" ht="18">
      <c r="A15" s="1946" t="str">
        <f>TEXT(项目基本情况!D3,"yyyy年m月d日;;")&amp;IF(项目基本情况!D3=项目基本情况!B3,"（评估专业人员实地查勘之日）","")</f>
        <v>2018年8月20日</v>
      </c>
    </row>
    <row r="16" spans="1:1" ht="18.75">
      <c r="A16" s="1945" t="s">
        <v>1619</v>
      </c>
    </row>
    <row r="17" spans="1:1" ht="75">
      <c r="A17" s="1940" t="s">
        <v>1620</v>
      </c>
    </row>
    <row r="18" spans="1:1" ht="5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1609</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1610</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C32" sqref="C32"/>
    </sheetView>
  </sheetViews>
  <sheetFormatPr defaultColWidth="6.625" defaultRowHeight="12.75"/>
  <cols>
    <col min="1" max="1" width="9.625" style="794" customWidth="1"/>
    <col min="2" max="2" width="25.625" style="945" customWidth="1"/>
    <col min="3" max="3" width="10.375" style="988" customWidth="1"/>
    <col min="4" max="4" width="9.875" style="945" customWidth="1"/>
    <col min="5" max="5" width="9.5" style="794" customWidth="1"/>
    <col min="6" max="6" width="10.125" style="945" customWidth="1"/>
    <col min="7" max="7" width="10.62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6" t="s">
        <v>2449</v>
      </c>
      <c r="B1" s="1573"/>
      <c r="C1" s="1574"/>
      <c r="D1" s="1572"/>
      <c r="E1" s="316"/>
      <c r="F1" s="316"/>
      <c r="G1" s="1573"/>
      <c r="H1" s="316"/>
      <c r="I1" s="316"/>
      <c r="J1" s="316"/>
      <c r="K1" s="316">
        <f>MATCH(C1,'数据-取费表'!A6:A16,0)+5</f>
        <v>11</v>
      </c>
    </row>
    <row r="2" spans="1:33" ht="18" customHeight="1">
      <c r="A2" s="241" t="s">
        <v>2317</v>
      </c>
      <c r="B2" s="244">
        <f ca="1">C32</f>
        <v>428566</v>
      </c>
      <c r="C2" s="316" t="s">
        <v>2450</v>
      </c>
      <c r="D2" s="316"/>
      <c r="E2" s="316"/>
      <c r="F2" s="316"/>
      <c r="G2" s="316"/>
      <c r="H2" s="316"/>
      <c r="I2" s="316"/>
      <c r="J2" s="316"/>
      <c r="K2" s="316"/>
    </row>
    <row r="3" spans="1:33" ht="18" customHeight="1" thickBot="1">
      <c r="A3" s="243" t="s">
        <v>2319</v>
      </c>
      <c r="B3" s="244">
        <f ca="1">ROUND(B2*10000/IF(C1="",'数据-汇总表'!E3,INDIRECT("'数据-取费表'!K"&amp;$K$1)),0)</f>
        <v>11432</v>
      </c>
      <c r="C3" s="316" t="s">
        <v>2451</v>
      </c>
      <c r="D3" s="316"/>
      <c r="E3" s="316"/>
      <c r="F3" s="316"/>
      <c r="G3" s="316"/>
      <c r="H3" s="316"/>
      <c r="I3" s="316"/>
      <c r="J3" s="316"/>
      <c r="K3" s="316"/>
    </row>
    <row r="4" spans="1:33" s="949" customFormat="1" ht="16.5" customHeight="1">
      <c r="A4" s="946" t="s">
        <v>2452</v>
      </c>
      <c r="B4" s="947"/>
      <c r="C4" s="989">
        <f ca="1">SUM(C8:K8)</f>
        <v>663620</v>
      </c>
      <c r="D4" s="947"/>
      <c r="E4" s="947"/>
      <c r="F4" s="947"/>
      <c r="G4" s="947"/>
      <c r="H4" s="947"/>
      <c r="I4" s="947"/>
      <c r="J4" s="947"/>
      <c r="K4" s="948"/>
    </row>
    <row r="5" spans="1:33" s="953" customFormat="1" ht="15">
      <c r="A5" s="950" t="s">
        <v>2453</v>
      </c>
      <c r="B5" s="951" t="s">
        <v>2454</v>
      </c>
      <c r="C5" s="2544" t="s">
        <v>3072</v>
      </c>
      <c r="D5" s="2544" t="s">
        <v>3073</v>
      </c>
      <c r="E5" s="2544" t="s">
        <v>27</v>
      </c>
      <c r="F5" s="2544" t="s">
        <v>3045</v>
      </c>
      <c r="G5" s="2544" t="s">
        <v>3074</v>
      </c>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7" t="s">
        <v>2455</v>
      </c>
      <c r="C6" s="955">
        <f ca="1">'收益法（地上商业）'!B3</f>
        <v>30059</v>
      </c>
      <c r="D6" s="955">
        <f ca="1">'收益法（地下商业）'!B3</f>
        <v>24732</v>
      </c>
      <c r="E6" s="955">
        <f ca="1">'收益法（办公）'!B3</f>
        <v>22420</v>
      </c>
      <c r="F6" s="955">
        <f>'比较法-住宅'!B3</f>
        <v>24789</v>
      </c>
      <c r="G6" s="955">
        <f ca="1">'收益法（地下车位）'!B3</f>
        <v>4592</v>
      </c>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2456</v>
      </c>
      <c r="B7" s="137" t="s">
        <v>2457</v>
      </c>
      <c r="C7" s="317">
        <f>SUMIF('数据-汇总表'!$C19:$C33,假设开发法!C5,'数据-汇总表'!$E19:$E33)</f>
        <v>44726.05</v>
      </c>
      <c r="D7" s="317">
        <f>SUMIF('数据-汇总表'!$C19:$C33,假设开发法!D5,'数据-汇总表'!$E19:$E33)</f>
        <v>32618.32</v>
      </c>
      <c r="E7" s="317">
        <f>SUMIF('数据-汇总表'!$C19:$C33,假设开发法!E5,'数据-汇总表'!$E19:$E33)</f>
        <v>82985.51999999999</v>
      </c>
      <c r="F7" s="317">
        <f>SUMIF('数据-汇总表'!$C19:$C33,假设开发法!F5,'数据-汇总表'!$E19:$E33)</f>
        <v>84500</v>
      </c>
      <c r="G7" s="317">
        <f>SUMIF('数据-汇总表'!$C19:$C33,假设开发法!G5,'数据-汇总表'!$E19:$E33)</f>
        <v>115386.06</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2458</v>
      </c>
      <c r="B8" s="173" t="s">
        <v>2459</v>
      </c>
      <c r="C8" s="990">
        <f ca="1">'收益法（地上商业）'!B2</f>
        <v>134442</v>
      </c>
      <c r="D8" s="3016">
        <f ca="1">'收益法（地下商业）'!B2</f>
        <v>80673</v>
      </c>
      <c r="E8" s="990">
        <f ca="1">'收益法（办公）'!B2</f>
        <v>186057</v>
      </c>
      <c r="F8" s="990">
        <f>'比较法-住宅'!B2</f>
        <v>209467</v>
      </c>
      <c r="G8" s="991">
        <f ca="1">'收益法（地下车位）'!B2</f>
        <v>52981</v>
      </c>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2460</v>
      </c>
      <c r="B9" s="947"/>
      <c r="C9" s="947"/>
      <c r="D9" s="947"/>
      <c r="E9" s="947"/>
      <c r="F9" s="947"/>
      <c r="G9" s="947"/>
      <c r="H9" s="947"/>
      <c r="I9" s="947"/>
      <c r="J9" s="947"/>
      <c r="K9" s="948"/>
    </row>
    <row r="10" spans="1:33" s="963" customFormat="1" ht="13.5" customHeight="1">
      <c r="A10" s="950" t="s">
        <v>2461</v>
      </c>
      <c r="B10" s="8" t="s">
        <v>2462</v>
      </c>
      <c r="C10" s="959" t="s">
        <v>2463</v>
      </c>
      <c r="D10" s="960" t="s">
        <v>2464</v>
      </c>
      <c r="E10" s="960" t="s">
        <v>2465</v>
      </c>
      <c r="F10" s="960" t="s">
        <v>2466</v>
      </c>
      <c r="G10" s="8"/>
      <c r="H10" s="961"/>
      <c r="I10" s="961"/>
      <c r="J10" s="961"/>
      <c r="K10" s="962"/>
    </row>
    <row r="11" spans="1:33" s="968" customFormat="1" ht="13.5" customHeight="1">
      <c r="A11" s="964" t="s">
        <v>1334</v>
      </c>
      <c r="B11" s="965" t="s">
        <v>2467</v>
      </c>
      <c r="C11" s="319">
        <f ca="1">IF(C1="",'数据-取费表'!P16,INDIRECT("'数据-取费表'!p"&amp;$K$1)+INDIRECT("'数据-取费表'!ar"&amp;$K$1))</f>
        <v>85014</v>
      </c>
      <c r="D11" s="966"/>
      <c r="E11" s="371"/>
      <c r="F11" s="967">
        <f ca="1">1-IF('数据-取费表'!B24=0,1,IF(C1="",'数据-取费表'!N16,INDIRECT("'数据-取费表'!n"&amp;$K$1)))</f>
        <v>0.52500000000000002</v>
      </c>
      <c r="G11" s="8"/>
      <c r="H11" s="961"/>
      <c r="I11" s="961"/>
      <c r="J11" s="961"/>
      <c r="K11" s="962"/>
    </row>
    <row r="12" spans="1:33" s="968" customFormat="1" ht="13.5" customHeight="1">
      <c r="A12" s="964" t="s">
        <v>1335</v>
      </c>
      <c r="B12" s="965" t="s">
        <v>2468</v>
      </c>
      <c r="C12" s="24">
        <f ca="1">ROUND(C11*F12,0)</f>
        <v>2550</v>
      </c>
      <c r="D12" s="966"/>
      <c r="E12" s="371"/>
      <c r="F12" s="969">
        <f>'数据-取费表'!B33</f>
        <v>0.03</v>
      </c>
      <c r="G12" s="8" t="s">
        <v>2469</v>
      </c>
      <c r="H12" s="961"/>
      <c r="I12" s="961"/>
      <c r="J12" s="961"/>
      <c r="K12" s="962"/>
    </row>
    <row r="13" spans="1:33" s="968" customFormat="1" ht="13.5" customHeight="1">
      <c r="A13" s="964" t="s">
        <v>1336</v>
      </c>
      <c r="B13" s="965" t="s">
        <v>2470</v>
      </c>
      <c r="C13" s="24">
        <f ca="1">ROUND(IF(C1="",SUMIF('数据-取费表'!C:C,"住宅",'数据-取费表'!P:P)*F13,IF(INDIRECT("'数据-取费表'!c"&amp;$K$1)="住宅",INDIRECT("'数据-取费表'!P"&amp;$K$1)*F13,0)),0)</f>
        <v>1690</v>
      </c>
      <c r="D13" s="1026"/>
      <c r="E13" s="371"/>
      <c r="F13" s="969">
        <f>'数据-取费表'!B34</f>
        <v>0.05</v>
      </c>
      <c r="G13" s="8" t="s">
        <v>2471</v>
      </c>
      <c r="H13" s="961"/>
      <c r="I13" s="961"/>
      <c r="J13" s="961"/>
      <c r="K13" s="962"/>
    </row>
    <row r="14" spans="1:33" s="970" customFormat="1" ht="13.5" customHeight="1">
      <c r="A14" s="964" t="s">
        <v>1337</v>
      </c>
      <c r="B14" s="965" t="s">
        <v>2472</v>
      </c>
      <c r="C14" s="24">
        <f ca="1">ROUND(D14*E14*F11/10000,0)</f>
        <v>3936</v>
      </c>
      <c r="D14" s="1026">
        <f ca="1">IF(C1="",'数据-汇总表'!E3,INDIRECT("'数据-取费表'!K"&amp;$K$1)+INDIRECT("'数据-取费表'!S"&amp;$K$1))</f>
        <v>374875.08999999997</v>
      </c>
      <c r="E14" s="24">
        <f>'数据-取费表'!B35</f>
        <v>200</v>
      </c>
      <c r="F14" s="969"/>
      <c r="G14" s="8" t="s">
        <v>2473</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2474</v>
      </c>
      <c r="C15" s="976">
        <f ca="1">ROUND(C11*F15,0)</f>
        <v>1275</v>
      </c>
      <c r="D15" s="971"/>
      <c r="E15" s="976"/>
      <c r="F15" s="977">
        <f>'数据-取费表'!B36</f>
        <v>1.4999999999999999E-2</v>
      </c>
      <c r="G15" s="137" t="s">
        <v>2475</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2476</v>
      </c>
      <c r="C16" s="976">
        <f ca="1">SUM(C11:C15)</f>
        <v>94465</v>
      </c>
      <c r="D16" s="971"/>
      <c r="E16" s="976"/>
      <c r="F16" s="977"/>
      <c r="G16" s="137"/>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2477</v>
      </c>
      <c r="C17" s="24">
        <f ca="1">ROUND(D17*E17/10000,0)</f>
        <v>0</v>
      </c>
      <c r="D17" s="1026">
        <f ca="1">D14</f>
        <v>374875.08999999997</v>
      </c>
      <c r="E17" s="24">
        <f>'数据-取费表'!B32</f>
        <v>0</v>
      </c>
      <c r="F17" s="971"/>
      <c r="G17" s="137" t="s">
        <v>2478</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2479</v>
      </c>
      <c r="C18" s="24">
        <f ca="1">C19+C20-IF(C1="",'数据-取费表'!B29,IF(G18="已全部缴纳",C19+C20,H18))</f>
        <v>2366</v>
      </c>
      <c r="D18" s="1026"/>
      <c r="E18" s="24"/>
      <c r="F18" s="969"/>
      <c r="G18" s="2546" t="s">
        <v>4270</v>
      </c>
      <c r="H18" s="1569">
        <f>'数据-取费表'!B29</f>
        <v>8506</v>
      </c>
      <c r="I18" s="2547" t="s">
        <v>2480</v>
      </c>
      <c r="J18" s="972"/>
      <c r="K18" s="973"/>
    </row>
    <row r="19" spans="1:33" s="968" customFormat="1" ht="13.5" customHeight="1">
      <c r="A19" s="964" t="s">
        <v>805</v>
      </c>
      <c r="B19" s="965" t="s">
        <v>2481</v>
      </c>
      <c r="C19" s="24">
        <f ca="1">ROUND(D19*E19/10000,0)</f>
        <v>2451</v>
      </c>
      <c r="D19" s="1026">
        <f ca="1">IF(C1="",'数据-汇总表'!E5,IF(INDIRECT("'数据-取费表'!c"&amp;$K$1)="住宅",INDIRECT("'数据-取费表'!k"&amp;$K$1),0))</f>
        <v>84500</v>
      </c>
      <c r="E19" s="24">
        <f>'数据-取费表'!B27</f>
        <v>290</v>
      </c>
      <c r="F19" s="969"/>
      <c r="G19" s="15"/>
      <c r="H19" s="1571"/>
      <c r="I19" s="974"/>
      <c r="J19" s="974"/>
      <c r="K19" s="975"/>
    </row>
    <row r="20" spans="1:33" s="968" customFormat="1" ht="13.5" customHeight="1">
      <c r="A20" s="964" t="s">
        <v>806</v>
      </c>
      <c r="B20" s="965" t="s">
        <v>2482</v>
      </c>
      <c r="C20" s="24">
        <f ca="1">ROUND(D20*E20/10000,0)</f>
        <v>8421</v>
      </c>
      <c r="D20" s="1026">
        <f ca="1">IF(C1="",'数据-汇总表'!E6,IF(INDIRECT("'数据-取费表'!c"&amp;$K$1)="住宅",INDIRECT("'数据-取费表'!s"&amp;$K$1),INDIRECT("'数据-取费表'!k"&amp;$K$1)+INDIRECT("'数据-取费表'!s"&amp;$K$1)))</f>
        <v>290375.08999999997</v>
      </c>
      <c r="E20" s="24">
        <f>'数据-取费表'!B28</f>
        <v>290</v>
      </c>
      <c r="F20" s="969"/>
      <c r="G20" s="15"/>
      <c r="H20" s="974"/>
      <c r="I20" s="974"/>
      <c r="J20" s="974"/>
      <c r="K20" s="975"/>
    </row>
    <row r="21" spans="1:33" s="968" customFormat="1" ht="13.5" customHeight="1">
      <c r="A21" s="954" t="s">
        <v>802</v>
      </c>
      <c r="B21" s="978" t="s">
        <v>2483</v>
      </c>
      <c r="C21" s="979">
        <f ca="1">C16+C17+C18</f>
        <v>96831</v>
      </c>
      <c r="D21" s="980"/>
      <c r="E21" s="321"/>
      <c r="F21" s="321"/>
      <c r="G21" s="137" t="s">
        <v>2484</v>
      </c>
      <c r="H21" s="972"/>
      <c r="I21" s="972"/>
      <c r="J21" s="972"/>
      <c r="K21" s="973"/>
    </row>
    <row r="22" spans="1:33" s="968" customFormat="1" ht="13.5" customHeight="1">
      <c r="A22" s="954" t="s">
        <v>2456</v>
      </c>
      <c r="B22" s="978" t="s">
        <v>2485</v>
      </c>
      <c r="C22" s="979">
        <f ca="1">ROUND(C21*F22,0)</f>
        <v>2905</v>
      </c>
      <c r="D22" s="321"/>
      <c r="E22" s="321"/>
      <c r="F22" s="981">
        <f>'数据-取费表'!B37</f>
        <v>0.03</v>
      </c>
      <c r="G22" s="8" t="s">
        <v>2486</v>
      </c>
      <c r="H22" s="961"/>
      <c r="I22" s="961"/>
      <c r="J22" s="961"/>
      <c r="K22" s="962"/>
    </row>
    <row r="23" spans="1:33" s="968" customFormat="1" ht="13.5" customHeight="1">
      <c r="A23" s="954" t="s">
        <v>2458</v>
      </c>
      <c r="B23" s="978" t="s">
        <v>2487</v>
      </c>
      <c r="C23" s="979">
        <f ca="1">ROUND(C4*F23*F11,0)</f>
        <v>10452</v>
      </c>
      <c r="D23" s="321"/>
      <c r="E23" s="321"/>
      <c r="F23" s="981">
        <f>'数据-取费表'!B38</f>
        <v>0.03</v>
      </c>
      <c r="G23" s="8" t="s">
        <v>2488</v>
      </c>
      <c r="H23" s="961"/>
      <c r="I23" s="961"/>
      <c r="J23" s="961"/>
      <c r="K23" s="962"/>
    </row>
    <row r="24" spans="1:33" s="968" customFormat="1" ht="13.5" customHeight="1">
      <c r="A24" s="954" t="s">
        <v>2489</v>
      </c>
      <c r="B24" s="978" t="s">
        <v>2490</v>
      </c>
      <c r="C24" s="320">
        <f>ROUND(F24/(1+'数据-取费表'!C42),4)</f>
        <v>2.9000000000000001E-2</v>
      </c>
      <c r="D24" s="321" t="s">
        <v>15</v>
      </c>
      <c r="E24" s="321"/>
      <c r="F24" s="981">
        <f>'数据-取费表'!B48+'数据-取费表'!B49</f>
        <v>3.0499999999999999E-2</v>
      </c>
      <c r="G24" s="8" t="s">
        <v>2491</v>
      </c>
      <c r="H24" s="983"/>
      <c r="I24" s="983"/>
      <c r="J24" s="983"/>
      <c r="K24" s="984"/>
    </row>
    <row r="25" spans="1:33" s="968" customFormat="1" ht="13.5" customHeight="1">
      <c r="A25" s="954" t="s">
        <v>2492</v>
      </c>
      <c r="B25" s="980" t="s">
        <v>2493</v>
      </c>
      <c r="C25" s="1349">
        <f ca="1">C27</f>
        <v>3903</v>
      </c>
      <c r="D25" s="320">
        <f ca="1">C26</f>
        <v>7.4200000000000002E-2</v>
      </c>
      <c r="E25" s="322" t="s">
        <v>15</v>
      </c>
      <c r="F25" s="323">
        <f ca="1">'数据-取费表'!B40</f>
        <v>4.7500000000000001E-2</v>
      </c>
      <c r="G25" s="137"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2494</v>
      </c>
      <c r="C26" s="1350">
        <f ca="1">ROUND(IF('数据-取费表'!B22&lt;=1,(1+C24)*F25*'数据-取费表'!B24,(1+C24)*(POWER((1+F25),'数据-取费表'!B24)-1)),4)</f>
        <v>7.4200000000000002E-2</v>
      </c>
      <c r="D26" s="324"/>
      <c r="E26" s="325"/>
      <c r="F26" s="326"/>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2495</v>
      </c>
      <c r="C27" s="1351">
        <f ca="1">ROUND(IF('数据-取费表'!B22&lt;=1,(C21+C22+C23)*F25*'数据-取费表'!B24/2,(C21+C22+C23)*(POWER((1+F25),'数据-取费表'!B24/2)-1)),0)</f>
        <v>3903</v>
      </c>
      <c r="D27" s="324"/>
      <c r="E27" s="325"/>
      <c r="F27" s="326"/>
      <c r="G27" s="2548" t="str">
        <f>IF('数据-取费表'!B22&lt;=1,"（1）-（3）项×年利率×建设期÷2","（1）-（3）项×((1+年利率)^(建设期÷2)-1)")</f>
        <v>（1）-（3）项×((1+年利率)^(建设期÷2)-1)</v>
      </c>
      <c r="H27" s="972"/>
      <c r="I27" s="972"/>
      <c r="J27" s="972"/>
      <c r="K27" s="973"/>
    </row>
    <row r="28" spans="1:33" s="329" customFormat="1" ht="13.5" customHeight="1">
      <c r="A28" s="954" t="s">
        <v>2496</v>
      </c>
      <c r="B28" s="2549" t="s">
        <v>2497</v>
      </c>
      <c r="C28" s="327">
        <f ca="1">C30</f>
        <v>16528</v>
      </c>
      <c r="D28" s="320">
        <f ca="1">C29</f>
        <v>5.79E-2</v>
      </c>
      <c r="E28" s="322" t="s">
        <v>15</v>
      </c>
      <c r="F28" s="328">
        <f ca="1">IF(C1="",'数据-取费表'!Q16,INDIRECT("'数据-取费表'!q"&amp;$K$1))</f>
        <v>0.15</v>
      </c>
      <c r="G28" s="982"/>
      <c r="H28" s="983"/>
      <c r="I28" s="983"/>
      <c r="J28" s="983"/>
      <c r="K28" s="984"/>
    </row>
    <row r="29" spans="1:33" s="331" customFormat="1" ht="13.5" customHeight="1">
      <c r="A29" s="964" t="s">
        <v>803</v>
      </c>
      <c r="B29" s="987" t="s">
        <v>2498</v>
      </c>
      <c r="C29" s="324">
        <f ca="1">ROUND((1+C24)*F28*'数据-取费表'!B24/'数据-取费表'!B20,4)</f>
        <v>5.79E-2</v>
      </c>
      <c r="D29" s="324"/>
      <c r="E29" s="325"/>
      <c r="F29" s="330"/>
      <c r="G29" s="137" t="s">
        <v>2499</v>
      </c>
      <c r="H29" s="972"/>
      <c r="I29" s="972"/>
      <c r="J29" s="972"/>
      <c r="K29" s="973"/>
    </row>
    <row r="30" spans="1:33" s="331" customFormat="1" ht="13.5" customHeight="1">
      <c r="A30" s="964" t="s">
        <v>804</v>
      </c>
      <c r="B30" s="987" t="s">
        <v>2500</v>
      </c>
      <c r="C30" s="332">
        <f ca="1">ROUND((C21+C22+C23)*F28,0)</f>
        <v>16528</v>
      </c>
      <c r="D30" s="324"/>
      <c r="E30" s="325"/>
      <c r="F30" s="330"/>
      <c r="G30" s="137"/>
      <c r="H30" s="972"/>
      <c r="I30" s="972"/>
      <c r="J30" s="972"/>
      <c r="K30" s="973"/>
    </row>
    <row r="31" spans="1:33" s="968" customFormat="1" ht="13.5" customHeight="1" thickBot="1">
      <c r="A31" s="2550" t="s">
        <v>2501</v>
      </c>
      <c r="B31" s="998" t="s">
        <v>2502</v>
      </c>
      <c r="C31" s="999">
        <f ca="1">ROUND(C4*F31/(1+'数据-取费表'!C42),0)</f>
        <v>35393</v>
      </c>
      <c r="D31" s="1000"/>
      <c r="E31" s="1001"/>
      <c r="F31" s="1002">
        <f>'数据-取费表'!B41</f>
        <v>5.6000000000000001E-2</v>
      </c>
      <c r="G31" s="1003" t="s">
        <v>2503</v>
      </c>
      <c r="H31" s="1004"/>
      <c r="I31" s="1004"/>
      <c r="J31" s="1004"/>
      <c r="K31" s="1005"/>
    </row>
    <row r="32" spans="1:33" s="963" customFormat="1" ht="13.5" customHeight="1" thickBot="1">
      <c r="A32" s="993" t="s">
        <v>2504</v>
      </c>
      <c r="B32" s="994"/>
      <c r="C32" s="995">
        <f ca="1">ROUND((C4-C21-C22-C23-C25-C28-C31)/(1+C24+D25+D28),0)</f>
        <v>428566</v>
      </c>
      <c r="D32" s="994"/>
      <c r="E32" s="994"/>
      <c r="F32" s="994"/>
      <c r="G32" s="996" t="s">
        <v>2505</v>
      </c>
      <c r="H32" s="994"/>
      <c r="I32" s="994"/>
      <c r="J32" s="994"/>
      <c r="K32" s="997"/>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19" zoomScale="9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3072</v>
      </c>
      <c r="D1" s="1812" t="s">
        <v>3078</v>
      </c>
      <c r="E1" s="1813" t="s">
        <v>1387</v>
      </c>
      <c r="F1" s="1276">
        <f ca="1">J53</f>
        <v>31.54</v>
      </c>
      <c r="G1" s="1828">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134442</v>
      </c>
      <c r="C2" s="1837" t="s">
        <v>1516</v>
      </c>
      <c r="D2" s="1837"/>
      <c r="E2" s="1838"/>
      <c r="F2" s="1839"/>
      <c r="G2" s="1840"/>
      <c r="H2" s="1832"/>
      <c r="I2" s="1832"/>
      <c r="J2" s="1832"/>
      <c r="K2" s="1833"/>
      <c r="L2" s="1832"/>
      <c r="M2" s="1832"/>
    </row>
    <row r="3" spans="1:37" ht="18" customHeight="1" thickBot="1">
      <c r="A3" s="1841" t="s">
        <v>1517</v>
      </c>
      <c r="B3" s="1842">
        <f ca="1">IF(ISERROR(B2*10000/F43),0,ROUND(B2*10000/F43,0))</f>
        <v>30059</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8816</v>
      </c>
      <c r="D5" s="1814" t="s">
        <v>1402</v>
      </c>
      <c r="E5" s="1286"/>
      <c r="F5" s="1287"/>
      <c r="G5" s="1843"/>
      <c r="H5" s="340">
        <v>1</v>
      </c>
      <c r="I5" s="341" t="s">
        <v>1401</v>
      </c>
      <c r="J5" s="1285">
        <f ca="1">J6+J10+J12</f>
        <v>0</v>
      </c>
      <c r="K5" s="1814" t="s">
        <v>1402</v>
      </c>
      <c r="L5" s="1286"/>
      <c r="M5" s="1287"/>
    </row>
    <row r="6" spans="1:37" ht="18" customHeight="1">
      <c r="A6" s="1284" t="s">
        <v>1035</v>
      </c>
      <c r="B6" s="3397" t="s">
        <v>1403</v>
      </c>
      <c r="C6" s="1289">
        <f ca="1">ROUND(F6*F8*F7*(1-F9)/10000,0)</f>
        <v>8816</v>
      </c>
      <c r="D6" s="161" t="s">
        <v>3019</v>
      </c>
      <c r="E6" s="343" t="s">
        <v>1405</v>
      </c>
      <c r="F6" s="344">
        <f ca="1">INDIRECT("'数据-取费表'!u"&amp;$G$1)</f>
        <v>6</v>
      </c>
      <c r="G6" s="1843"/>
      <c r="H6" s="1284" t="s">
        <v>1035</v>
      </c>
      <c r="I6" s="3397" t="s">
        <v>1403</v>
      </c>
      <c r="J6" s="342">
        <f ca="1">ROUND(M6*M8*M7*(1-M9)/10000,0)</f>
        <v>0</v>
      </c>
      <c r="K6" s="161" t="s">
        <v>3018</v>
      </c>
      <c r="L6" s="343" t="s">
        <v>1405</v>
      </c>
      <c r="M6" s="344">
        <f ca="1">INDIRECT("'数据-取费表'!z"&amp;$G$1)</f>
        <v>0</v>
      </c>
    </row>
    <row r="7" spans="1:37" ht="18" customHeight="1">
      <c r="A7" s="1288"/>
      <c r="B7" s="3398"/>
      <c r="C7" s="1290"/>
      <c r="D7" s="348"/>
      <c r="E7" s="1291" t="s">
        <v>1406</v>
      </c>
      <c r="F7" s="344">
        <f ca="1">IF(INDIRECT("'数据-取费表'!ah"&amp;$G$1)="",INDIRECT("'数据-取费表'!k"&amp;$G$1),INDIRECT("'数据-取费表'!ah"&amp;$G$1))</f>
        <v>44726.05</v>
      </c>
      <c r="G7" s="1843"/>
      <c r="H7" s="345"/>
      <c r="I7" s="3398"/>
      <c r="J7" s="347"/>
      <c r="K7" s="348"/>
      <c r="L7" s="343" t="s">
        <v>1406</v>
      </c>
      <c r="M7" s="344">
        <f ca="1">F7</f>
        <v>44726.05</v>
      </c>
    </row>
    <row r="8" spans="1:37" ht="18" customHeight="1">
      <c r="A8" s="345"/>
      <c r="B8" s="3398"/>
      <c r="C8" s="347"/>
      <c r="D8" s="348"/>
      <c r="E8" s="343" t="s">
        <v>1407</v>
      </c>
      <c r="F8" s="344">
        <f ca="1">INDIRECT("'数据-取费表'!ai"&amp;$G$1)</f>
        <v>365</v>
      </c>
      <c r="G8" s="1843"/>
      <c r="H8" s="345"/>
      <c r="I8" s="3398"/>
      <c r="J8" s="347"/>
      <c r="K8" s="348"/>
      <c r="L8" s="343" t="s">
        <v>1407</v>
      </c>
      <c r="M8" s="344">
        <f ca="1">INDIRECT("'数据-取费表'!ai"&amp;$G$1)</f>
        <v>365</v>
      </c>
    </row>
    <row r="9" spans="1:37" ht="18" customHeight="1">
      <c r="A9" s="345"/>
      <c r="B9" s="3399"/>
      <c r="C9" s="347"/>
      <c r="D9" s="348"/>
      <c r="E9" s="343" t="s">
        <v>1408</v>
      </c>
      <c r="F9" s="353">
        <f ca="1">INDIRECT("'数据-取费表'!w"&amp;$G$1)</f>
        <v>0.1</v>
      </c>
      <c r="G9" s="1843"/>
      <c r="H9" s="345"/>
      <c r="I9" s="3399"/>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3028</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38371</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23091</v>
      </c>
      <c r="D14" s="1792" t="s">
        <v>1418</v>
      </c>
      <c r="E14" s="1786"/>
      <c r="F14" s="360"/>
      <c r="G14" s="1843"/>
      <c r="H14" s="1194" t="s">
        <v>1035</v>
      </c>
      <c r="I14" s="343" t="s">
        <v>1419</v>
      </c>
      <c r="J14" s="24">
        <f ca="1">C29</f>
        <v>38371</v>
      </c>
      <c r="K14" s="15"/>
      <c r="L14" s="972"/>
      <c r="M14" s="973"/>
    </row>
    <row r="15" spans="1:37" s="1850" customFormat="1" ht="18" customHeight="1" thickBot="1">
      <c r="A15" s="1194" t="s">
        <v>1036</v>
      </c>
      <c r="B15" s="343" t="s">
        <v>1420</v>
      </c>
      <c r="C15" s="24">
        <f ca="1">ROUND(C14*F15,0)</f>
        <v>693</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712</v>
      </c>
      <c r="K16" s="1330" t="s">
        <v>1425</v>
      </c>
      <c r="L16" s="1331"/>
      <c r="M16" s="1287"/>
    </row>
    <row r="17" spans="1:37" s="1850" customFormat="1" ht="18" customHeight="1">
      <c r="A17" s="1194" t="s">
        <v>1390</v>
      </c>
      <c r="B17" s="343" t="s">
        <v>1426</v>
      </c>
      <c r="C17" s="24">
        <f ca="1">ROUND(F17*(F43+INDIRECT("'数据-取费表'!S"&amp;$G$1))/10000,0)</f>
        <v>931</v>
      </c>
      <c r="D17" s="343" t="s">
        <v>1427</v>
      </c>
      <c r="E17" s="343" t="s">
        <v>1428</v>
      </c>
      <c r="F17" s="26">
        <f>'数据-取费表'!B35</f>
        <v>200</v>
      </c>
      <c r="G17" s="1846"/>
      <c r="H17" s="1194" t="s">
        <v>1035</v>
      </c>
      <c r="I17" s="343" t="s">
        <v>1429</v>
      </c>
      <c r="J17" s="24">
        <f ca="1">ROUND(IF(项目基本情况!B11="自然人",J5*M17,J18+J19+J20),1)</f>
        <v>328.6</v>
      </c>
      <c r="K17" s="1792" t="s">
        <v>1430</v>
      </c>
      <c r="L17" s="1790"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346</v>
      </c>
      <c r="D18" s="343" t="s">
        <v>1421</v>
      </c>
      <c r="E18" s="343" t="s">
        <v>1422</v>
      </c>
      <c r="F18" s="363">
        <f>'数据-取费表'!B36</f>
        <v>1.4999999999999999E-2</v>
      </c>
      <c r="G18" s="1846"/>
      <c r="H18" s="1194" t="s">
        <v>1034</v>
      </c>
      <c r="I18" s="343" t="s">
        <v>1433</v>
      </c>
      <c r="J18" s="24">
        <f ca="1">ROUND(J5*M18/(1+'数据-取费表'!C42),2)</f>
        <v>0</v>
      </c>
      <c r="K18" s="1790"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25061</v>
      </c>
      <c r="D19" s="137" t="s">
        <v>1436</v>
      </c>
      <c r="E19" s="1810"/>
      <c r="F19" s="26"/>
      <c r="G19" s="1843"/>
      <c r="H19" s="1194" t="s">
        <v>1036</v>
      </c>
      <c r="I19" s="343" t="s">
        <v>1437</v>
      </c>
      <c r="J19" s="24">
        <f ca="1">IF(K19="按租金收入计税",ROUND(J5*M19,2),ROUND(C29*M19*0.7,2))</f>
        <v>322.32</v>
      </c>
      <c r="K19" s="1820" t="s">
        <v>1438</v>
      </c>
      <c r="L19" s="343" t="s">
        <v>1422</v>
      </c>
      <c r="M19" s="363">
        <f>IF(K19="按租金收入计税",'数据-取费表'!B51,'数据-取费表'!B50)</f>
        <v>1.2E-2</v>
      </c>
    </row>
    <row r="20" spans="1:37" s="1850" customFormat="1" ht="18" customHeight="1">
      <c r="A20" s="1194" t="s">
        <v>1039</v>
      </c>
      <c r="B20" s="343" t="s">
        <v>1439</v>
      </c>
      <c r="C20" s="24">
        <f ca="1">ROUND(C19*F20,0)</f>
        <v>752</v>
      </c>
      <c r="D20" s="365" t="s">
        <v>1440</v>
      </c>
      <c r="E20" s="343" t="s">
        <v>1422</v>
      </c>
      <c r="F20" s="363">
        <f>'数据-取费表'!B37</f>
        <v>0.03</v>
      </c>
      <c r="G20" s="1846"/>
      <c r="H20" s="1194" t="s">
        <v>1389</v>
      </c>
      <c r="I20" s="161" t="s">
        <v>1441</v>
      </c>
      <c r="J20" s="25">
        <f ca="1">ROUND(M20*M21/10000,2)</f>
        <v>6.24</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3121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1810"/>
      <c r="F22" s="26"/>
      <c r="G22" s="1843"/>
      <c r="H22" s="1194" t="s">
        <v>1039</v>
      </c>
      <c r="I22" s="343" t="s">
        <v>1449</v>
      </c>
      <c r="J22" s="24">
        <f ca="1">ROUND(J14*M22,1)</f>
        <v>383.7</v>
      </c>
      <c r="K22" s="1790"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2510</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1790" t="s">
        <v>1454</v>
      </c>
      <c r="L23" s="343" t="s">
        <v>1455</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1393</v>
      </c>
      <c r="I24" s="1333" t="s">
        <v>1439</v>
      </c>
      <c r="J24" s="1334">
        <f ca="1">ROUND(J5*M24,1)</f>
        <v>0</v>
      </c>
      <c r="K24" s="1335" t="s">
        <v>1459</v>
      </c>
      <c r="L24" s="1333" t="s">
        <v>1455</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1810"/>
      <c r="F25" s="26"/>
      <c r="G25" s="1843"/>
      <c r="H25" s="1322" t="s">
        <v>1031</v>
      </c>
      <c r="I25" s="1337" t="s">
        <v>1463</v>
      </c>
      <c r="J25" s="351">
        <f ca="1">J5-J16</f>
        <v>-712</v>
      </c>
      <c r="K25" s="1338" t="s">
        <v>1464</v>
      </c>
      <c r="L25" s="1339"/>
      <c r="M25" s="1340"/>
    </row>
    <row r="26" spans="1:37">
      <c r="A26" s="1194" t="s">
        <v>1034</v>
      </c>
      <c r="B26" s="343" t="s">
        <v>1465</v>
      </c>
      <c r="C26" s="24">
        <f ca="1">ROUND((C19+C20)*F26,0)</f>
        <v>6453</v>
      </c>
      <c r="D26" s="365" t="s">
        <v>1466</v>
      </c>
      <c r="E26" s="354" t="s">
        <v>1467</v>
      </c>
      <c r="F26" s="353">
        <f ca="1">INDIRECT("'数据-取费表'!q"&amp;$G$1)</f>
        <v>0.25</v>
      </c>
      <c r="G26" s="1843"/>
      <c r="H26" s="340" t="s">
        <v>1032</v>
      </c>
      <c r="I26" s="341" t="s">
        <v>1468</v>
      </c>
      <c r="J26" s="342">
        <f ca="1">IF(J5&lt;&gt;0,ROUND(J25*(1-((1+M28)/(1+M26))^M27)/(M26-M28),0),0)</f>
        <v>0</v>
      </c>
      <c r="K26" s="366" t="s">
        <v>1469</v>
      </c>
      <c r="L26" s="343" t="s">
        <v>1470</v>
      </c>
      <c r="M26" s="353">
        <f ca="1">INDIRECT("'数据-取费表'!I"&amp;$G$1)</f>
        <v>0.06</v>
      </c>
    </row>
    <row r="27" spans="1:37" ht="18" customHeight="1">
      <c r="A27" s="1194" t="s">
        <v>1036</v>
      </c>
      <c r="B27" s="343" t="s">
        <v>1471</v>
      </c>
      <c r="C27" s="24">
        <f ca="1">ROUND(F21*F26,4)</f>
        <v>7.4999999999999997E-3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38371</v>
      </c>
      <c r="D29" s="1335"/>
      <c r="E29" s="1333"/>
      <c r="F29" s="1336"/>
      <c r="G29" s="1846"/>
      <c r="H29" s="376" t="s">
        <v>1033</v>
      </c>
      <c r="I29" s="377" t="s">
        <v>1479</v>
      </c>
      <c r="J29" s="378">
        <f ca="1">ROUND(J26/(1+F40)^F41,0)</f>
        <v>0</v>
      </c>
      <c r="K29" s="379" t="s">
        <v>1480</v>
      </c>
      <c r="L29" s="380"/>
      <c r="M29" s="381">
        <f ca="1">INDIRECT("'数据-取费表'!k"&amp;$G$1)</f>
        <v>44726.05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2045</v>
      </c>
      <c r="D30" s="1330" t="s">
        <v>1425</v>
      </c>
      <c r="E30" s="1331"/>
      <c r="F30" s="1287"/>
      <c r="G30" s="1843"/>
      <c r="H30" s="741"/>
      <c r="I30" s="742"/>
      <c r="J30" s="743"/>
      <c r="K30" s="744"/>
      <c r="L30" s="745"/>
      <c r="M30" s="746"/>
    </row>
    <row r="31" spans="1:37" ht="18" customHeight="1">
      <c r="A31" s="1194" t="s">
        <v>1035</v>
      </c>
      <c r="B31" s="343" t="s">
        <v>1429</v>
      </c>
      <c r="C31" s="24">
        <f ca="1">ROUND(IF(项目基本情况!B11="自然人",C5*F31,C32+C33+C34),1)</f>
        <v>1534.4</v>
      </c>
      <c r="D31" s="1792" t="s">
        <v>1430</v>
      </c>
      <c r="E31" s="1790"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470.19</v>
      </c>
      <c r="D32" s="1790"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1057.92</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6.24</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3121</v>
      </c>
      <c r="G35" s="1843"/>
      <c r="H35" s="741"/>
      <c r="I35" s="1852"/>
      <c r="J35" s="1853"/>
      <c r="K35" s="1854"/>
      <c r="L35" s="1851"/>
      <c r="M35" s="1851"/>
    </row>
    <row r="36" spans="1:18" ht="18" customHeight="1">
      <c r="A36" s="1345" t="s">
        <v>1039</v>
      </c>
      <c r="B36" s="343" t="s">
        <v>1449</v>
      </c>
      <c r="C36" s="24">
        <f ca="1">ROUND(C29*F36,1)</f>
        <v>383.7</v>
      </c>
      <c r="D36" s="1790"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38.4</v>
      </c>
      <c r="D37" s="1790" t="s">
        <v>1454</v>
      </c>
      <c r="E37" s="343" t="s">
        <v>1455</v>
      </c>
      <c r="F37" s="372">
        <f ca="1">INDIRECT("'数据-取费表'!Al"&amp;$G$1)</f>
        <v>1E-3</v>
      </c>
      <c r="G37" s="1843"/>
      <c r="H37" s="1851"/>
      <c r="I37" s="1852"/>
      <c r="J37" s="1853"/>
      <c r="K37" s="747"/>
      <c r="L37" s="1851"/>
      <c r="M37" s="1851"/>
    </row>
    <row r="38" spans="1:18" ht="18" customHeight="1" thickBot="1">
      <c r="A38" s="1332" t="s">
        <v>1393</v>
      </c>
      <c r="B38" s="1333" t="s">
        <v>1439</v>
      </c>
      <c r="C38" s="1334">
        <f ca="1">ROUND(C5*F38,1)</f>
        <v>88.2</v>
      </c>
      <c r="D38" s="1335" t="s">
        <v>1459</v>
      </c>
      <c r="E38" s="1333" t="s">
        <v>1455</v>
      </c>
      <c r="F38" s="1329">
        <f ca="1">INDIRECT("'数据-取费表'!Am"&amp;$G$1)</f>
        <v>0.01</v>
      </c>
      <c r="G38" s="1843"/>
      <c r="H38" s="1851"/>
      <c r="I38" s="1852"/>
      <c r="J38" s="1853"/>
      <c r="K38" s="1857"/>
      <c r="L38" s="1851"/>
      <c r="M38" s="1851"/>
    </row>
    <row r="39" spans="1:18" ht="24.6" customHeight="1" thickTop="1">
      <c r="A39" s="1322" t="s">
        <v>1031</v>
      </c>
      <c r="B39" s="1337" t="s">
        <v>1483</v>
      </c>
      <c r="C39" s="351">
        <f ca="1">C5-C30</f>
        <v>6771</v>
      </c>
      <c r="D39" s="1338" t="s">
        <v>1484</v>
      </c>
      <c r="E39" s="1339"/>
      <c r="F39" s="1340"/>
      <c r="G39" s="1843"/>
      <c r="H39" s="1851"/>
      <c r="I39" s="1852"/>
      <c r="J39" s="1853"/>
      <c r="K39" s="1857"/>
      <c r="L39" s="1851"/>
      <c r="M39" s="1851"/>
    </row>
    <row r="40" spans="1:18" ht="18" customHeight="1">
      <c r="A40" s="340" t="s">
        <v>1032</v>
      </c>
      <c r="B40" s="341" t="s">
        <v>1485</v>
      </c>
      <c r="C40" s="342">
        <f ca="1">ROUND(C39*(1-((1+F42)/(1+F40))^F41)/(F40-F42),0)</f>
        <v>134442</v>
      </c>
      <c r="D40" s="366" t="s">
        <v>1469</v>
      </c>
      <c r="E40" s="343" t="s">
        <v>1470</v>
      </c>
      <c r="F40" s="353">
        <f ca="1">INDIRECT("'数据-取费表'!I"&amp;$G$1)</f>
        <v>0.06</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0.03</v>
      </c>
      <c r="G42" s="1843"/>
      <c r="H42" s="728"/>
      <c r="I42" s="1852"/>
      <c r="J42" s="1853"/>
      <c r="K42" s="747"/>
      <c r="L42" s="728"/>
      <c r="M42" s="728"/>
    </row>
    <row r="43" spans="1:18" ht="18" customHeight="1" thickBot="1">
      <c r="A43" s="376" t="s">
        <v>1033</v>
      </c>
      <c r="B43" s="377" t="s">
        <v>1487</v>
      </c>
      <c r="C43" s="378">
        <f ca="1">ROUND(C40*10000/F43,0)</f>
        <v>30059</v>
      </c>
      <c r="D43" s="379" t="s">
        <v>1488</v>
      </c>
      <c r="E43" s="380" t="s">
        <v>1489</v>
      </c>
      <c r="F43" s="381">
        <f ca="1">INDIRECT("'数据-取费表'!k"&amp;$G$1)</f>
        <v>44726.05</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-185621</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134442</v>
      </c>
      <c r="R47" s="1878" t="s">
        <v>1529</v>
      </c>
    </row>
    <row r="48" spans="1:18" s="1834" customFormat="1" ht="28.5" thickBot="1">
      <c r="A48" s="1353" t="s">
        <v>1135</v>
      </c>
      <c r="B48" s="341" t="s">
        <v>1401</v>
      </c>
      <c r="C48" s="1809">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3020</v>
      </c>
      <c r="E49" s="1822" t="s">
        <v>1491</v>
      </c>
      <c r="F49" s="1274"/>
      <c r="G49" s="1883"/>
      <c r="H49" s="789"/>
      <c r="I49" s="1879" t="s">
        <v>1534</v>
      </c>
      <c r="J49" s="1884"/>
      <c r="K49" s="1881" t="s">
        <v>1535</v>
      </c>
      <c r="L49" s="1885"/>
      <c r="O49" s="1886" t="s">
        <v>1042</v>
      </c>
      <c r="P49" s="1877" t="s">
        <v>1536</v>
      </c>
      <c r="Q49" s="1878">
        <f ca="1">C29</f>
        <v>38371</v>
      </c>
      <c r="R49" s="1878" t="s">
        <v>1529</v>
      </c>
    </row>
    <row r="50" spans="1:18" s="1834" customFormat="1" ht="13.5" thickBot="1">
      <c r="A50" s="1188"/>
      <c r="B50" s="1191"/>
      <c r="C50" s="1361"/>
      <c r="D50" s="1165"/>
      <c r="E50" s="1270" t="s">
        <v>1406</v>
      </c>
      <c r="F50" s="1271">
        <f ca="1">F7</f>
        <v>44726.05</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59259</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395" t="s">
        <v>1548</v>
      </c>
      <c r="L53" s="3396"/>
      <c r="O53" s="1876" t="s">
        <v>1046</v>
      </c>
      <c r="P53" s="1877" t="s">
        <v>1549</v>
      </c>
      <c r="Q53" s="1878">
        <f ca="1">Q47+Q48</f>
        <v>134442</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1824"/>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38371</v>
      </c>
      <c r="D56" s="1906"/>
      <c r="E56" s="1907"/>
      <c r="F56" s="1899"/>
      <c r="I56" s="1908" t="s">
        <v>1554</v>
      </c>
      <c r="J56" s="1909" t="s">
        <v>3042</v>
      </c>
      <c r="K56" s="1879" t="s">
        <v>1555</v>
      </c>
      <c r="L56" s="1882" t="str">
        <f ca="1">IF(L48&lt;J51,"——",L48-J53)</f>
        <v>——</v>
      </c>
      <c r="O56" s="1876" t="s">
        <v>1040</v>
      </c>
      <c r="P56" s="1877" t="s">
        <v>1528</v>
      </c>
      <c r="Q56" s="1878">
        <f ca="1">C40+J29</f>
        <v>134442</v>
      </c>
      <c r="R56" s="1878" t="s">
        <v>1529</v>
      </c>
    </row>
    <row r="57" spans="1:18" s="1834" customFormat="1" ht="24.75" thickBot="1">
      <c r="A57" s="1910"/>
      <c r="B57" s="1162" t="s">
        <v>1478</v>
      </c>
      <c r="C57" s="278">
        <f ca="1">C29</f>
        <v>38371</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3652</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3229.4</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1493</v>
      </c>
      <c r="C61" s="24">
        <f ca="1">IF(项目基本情况!B11="自然人","——",IF(D61="按租金收入计税",ROUND(C48*F61,2),IF(D61="按房产原值计税",ROUND(C57*F61*0.7,2),INDIRECT("'数据-取费表'!Aj"&amp;$G$1))))</f>
        <v>3223.16</v>
      </c>
      <c r="D61" s="1820" t="s">
        <v>1438</v>
      </c>
      <c r="E61" s="1162" t="s">
        <v>1494</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1496</v>
      </c>
      <c r="C62" s="25">
        <f ca="1">IF(项目基本情况!B11="自然人","——",ROUND(F62*F63/10000,2))</f>
        <v>6.24</v>
      </c>
      <c r="D62" s="1177" t="s">
        <v>1497</v>
      </c>
      <c r="E62" s="1162" t="s">
        <v>1498</v>
      </c>
      <c r="F62" s="367">
        <f t="shared" si="0"/>
        <v>20</v>
      </c>
      <c r="I62" s="1921" t="s">
        <v>1570</v>
      </c>
      <c r="J62" s="1922" t="s">
        <v>1571</v>
      </c>
      <c r="K62" s="1922" t="s">
        <v>1572</v>
      </c>
      <c r="L62" s="1922" t="s">
        <v>1573</v>
      </c>
      <c r="M62" s="1923" t="s">
        <v>1574</v>
      </c>
      <c r="O62" s="1876" t="s">
        <v>1046</v>
      </c>
      <c r="P62" s="1877" t="s">
        <v>1575</v>
      </c>
      <c r="Q62" s="1878">
        <f ca="1">Q56+Q57</f>
        <v>134442</v>
      </c>
      <c r="R62" s="1878" t="s">
        <v>1047</v>
      </c>
    </row>
    <row r="63" spans="1:18" s="1834" customFormat="1" ht="13.5" thickBot="1">
      <c r="A63" s="368"/>
      <c r="B63" s="1168"/>
      <c r="C63" s="29"/>
      <c r="D63" s="1178"/>
      <c r="E63" s="1162" t="s">
        <v>1499</v>
      </c>
      <c r="F63" s="344">
        <f t="shared" ca="1" si="0"/>
        <v>3121</v>
      </c>
      <c r="I63" s="1921" t="s">
        <v>1576</v>
      </c>
      <c r="J63" s="1922">
        <v>70</v>
      </c>
      <c r="K63" s="1922">
        <v>50</v>
      </c>
      <c r="L63" s="1922">
        <v>80</v>
      </c>
      <c r="M63" s="1924">
        <v>0.02</v>
      </c>
      <c r="O63" s="1861" t="s">
        <v>1577</v>
      </c>
      <c r="P63" s="1831"/>
      <c r="Q63" s="1831"/>
      <c r="R63" s="1831"/>
    </row>
    <row r="64" spans="1:18" s="1834" customFormat="1" ht="13.5" thickBot="1">
      <c r="A64" s="1194" t="s">
        <v>1500</v>
      </c>
      <c r="B64" s="1162" t="s">
        <v>1501</v>
      </c>
      <c r="C64" s="24">
        <f ca="1">ROUND(C57*F64,1)</f>
        <v>383.7</v>
      </c>
      <c r="D64" s="1176" t="s">
        <v>1502</v>
      </c>
      <c r="E64" s="1162" t="s">
        <v>1494</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38.4</v>
      </c>
      <c r="D65" s="1176" t="s">
        <v>1454</v>
      </c>
      <c r="E65" s="1162" t="s">
        <v>1455</v>
      </c>
      <c r="F65" s="372">
        <f t="shared" ca="1" si="0"/>
        <v>1E-3</v>
      </c>
      <c r="I65" s="1921" t="s">
        <v>1579</v>
      </c>
      <c r="J65" s="1922">
        <v>40</v>
      </c>
      <c r="K65" s="1922">
        <v>30</v>
      </c>
      <c r="L65" s="1922">
        <v>50</v>
      </c>
      <c r="M65" s="1924">
        <v>0.02</v>
      </c>
      <c r="O65" s="1876" t="s">
        <v>1040</v>
      </c>
      <c r="P65" s="1877" t="s">
        <v>1580</v>
      </c>
      <c r="Q65" s="1878">
        <f ca="1">C40+J29</f>
        <v>134442</v>
      </c>
      <c r="R65" s="1878" t="s">
        <v>1529</v>
      </c>
    </row>
    <row r="66" spans="1:18" s="1834" customFormat="1" ht="16.5" thickBot="1">
      <c r="A66" s="1194" t="s">
        <v>1504</v>
      </c>
      <c r="B66" s="1162" t="s">
        <v>1439</v>
      </c>
      <c r="C66" s="24">
        <f ca="1">ROUND(C48*F66,1)</f>
        <v>0</v>
      </c>
      <c r="D66" s="1176" t="s">
        <v>1505</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-3652</v>
      </c>
      <c r="D67" s="1175" t="s">
        <v>1464</v>
      </c>
      <c r="E67" s="1180"/>
      <c r="F67" s="1181"/>
      <c r="O67" s="1886" t="s">
        <v>1042</v>
      </c>
      <c r="P67" s="1877" t="s">
        <v>1562</v>
      </c>
      <c r="Q67" s="1925">
        <f ca="1">L51</f>
        <v>59259</v>
      </c>
      <c r="R67" s="1878" t="s">
        <v>1582</v>
      </c>
    </row>
    <row r="68" spans="1:18" s="1834" customFormat="1" ht="16.5" thickBot="1">
      <c r="A68" s="1159" t="s">
        <v>1032</v>
      </c>
      <c r="B68" s="1160" t="s">
        <v>1485</v>
      </c>
      <c r="C68" s="342">
        <f ca="1">ROUND(C67*(1-((1+F70)/(1+F68))^F69)/(F68-F70),0)</f>
        <v>-51179</v>
      </c>
      <c r="D68" s="1177" t="s">
        <v>1469</v>
      </c>
      <c r="E68" s="1162" t="s">
        <v>1470</v>
      </c>
      <c r="F68" s="353">
        <f ca="1">F40</f>
        <v>0.06</v>
      </c>
      <c r="O68" s="1886" t="s">
        <v>1043</v>
      </c>
      <c r="P68" s="1926" t="s">
        <v>1583</v>
      </c>
      <c r="Q68" s="1878">
        <f ca="1">ROUND(Q69-Q70*Q71,0)</f>
        <v>3701</v>
      </c>
      <c r="R68" s="1878" t="s">
        <v>1051</v>
      </c>
    </row>
    <row r="69" spans="1:18" s="1834" customFormat="1" ht="13.5" thickBot="1">
      <c r="A69" s="1163"/>
      <c r="B69" s="1164"/>
      <c r="C69" s="347"/>
      <c r="D69" s="1182" t="s">
        <v>1473</v>
      </c>
      <c r="E69" s="1162" t="s">
        <v>1474</v>
      </c>
      <c r="F69" s="375">
        <f ca="1">F41</f>
        <v>31.54</v>
      </c>
      <c r="O69" s="1886" t="s">
        <v>1048</v>
      </c>
      <c r="P69" s="1926" t="s">
        <v>1584</v>
      </c>
      <c r="Q69" s="1878">
        <f ca="1">C39</f>
        <v>6771</v>
      </c>
      <c r="R69" s="1878" t="s">
        <v>1529</v>
      </c>
    </row>
    <row r="70" spans="1:18" s="1834" customFormat="1" ht="13.5" thickBot="1">
      <c r="A70" s="1166"/>
      <c r="B70" s="1167"/>
      <c r="C70" s="351"/>
      <c r="D70" s="1178"/>
      <c r="E70" s="1162" t="s">
        <v>1477</v>
      </c>
      <c r="F70" s="1268"/>
      <c r="O70" s="1886" t="s">
        <v>1049</v>
      </c>
      <c r="P70" s="1926" t="s">
        <v>1585</v>
      </c>
      <c r="Q70" s="1878">
        <f ca="1">C13</f>
        <v>38371</v>
      </c>
      <c r="R70" s="1878" t="s">
        <v>1529</v>
      </c>
    </row>
    <row r="71" spans="1:18" s="1834" customFormat="1" ht="13.5" thickBot="1">
      <c r="A71" s="1183" t="s">
        <v>1033</v>
      </c>
      <c r="B71" s="1184" t="s">
        <v>1487</v>
      </c>
      <c r="C71" s="378">
        <f ca="1">ROUND(C68*10000/F71,0)</f>
        <v>-11443</v>
      </c>
      <c r="D71" s="1185" t="s">
        <v>1488</v>
      </c>
      <c r="E71" s="1186" t="s">
        <v>1489</v>
      </c>
      <c r="F71" s="381">
        <f ca="1">F43</f>
        <v>44726.05</v>
      </c>
      <c r="O71" s="1886" t="s">
        <v>1050</v>
      </c>
      <c r="P71" s="1926" t="s">
        <v>1586</v>
      </c>
      <c r="Q71" s="1889">
        <f ca="1">C76</f>
        <v>0.08</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3070</v>
      </c>
      <c r="D75" s="1834"/>
      <c r="E75" s="1834"/>
      <c r="F75" s="1834"/>
      <c r="K75" s="1860"/>
      <c r="L75" s="1834"/>
      <c r="O75" s="1876" t="s">
        <v>1046</v>
      </c>
      <c r="P75" s="1877" t="s">
        <v>1549</v>
      </c>
      <c r="Q75" s="1878">
        <f ca="1">Q65+Q66</f>
        <v>134442</v>
      </c>
      <c r="R75" s="1878" t="s">
        <v>1047</v>
      </c>
    </row>
    <row r="76" spans="1:18">
      <c r="B76" s="384" t="s">
        <v>1507</v>
      </c>
      <c r="C76" s="385">
        <f ca="1">INDIRECT("'数据-取费表'!j"&amp;$G$1)</f>
        <v>0.08</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0.54699999999999993</v>
      </c>
    </row>
    <row r="80" spans="1:18">
      <c r="B80" s="382" t="s">
        <v>1511</v>
      </c>
      <c r="C80" s="314">
        <f ca="1">ROUND(C75/C39,3)</f>
        <v>0.45300000000000001</v>
      </c>
    </row>
    <row r="81" spans="2:3">
      <c r="B81" s="310" t="s">
        <v>1512</v>
      </c>
      <c r="C81" s="278"/>
    </row>
    <row r="82" spans="2:3">
      <c r="B82" s="313" t="s">
        <v>1513</v>
      </c>
      <c r="C82" s="315">
        <f ca="1">1-C83</f>
        <v>0.71500000000000008</v>
      </c>
    </row>
    <row r="83" spans="2:3">
      <c r="B83" s="313" t="s">
        <v>1514</v>
      </c>
      <c r="C83" s="314">
        <f ca="1">ROUND(C13/C40,3)</f>
        <v>0.28499999999999998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3" zoomScale="7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3073</v>
      </c>
      <c r="D1" s="1812" t="s">
        <v>3078</v>
      </c>
      <c r="E1" s="1813" t="s">
        <v>1387</v>
      </c>
      <c r="F1" s="1276">
        <f ca="1">J53</f>
        <v>31.54</v>
      </c>
      <c r="G1" s="1828">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80673</v>
      </c>
      <c r="C2" s="1837" t="s">
        <v>1516</v>
      </c>
      <c r="D2" s="1837"/>
      <c r="E2" s="1838"/>
      <c r="F2" s="1839"/>
      <c r="G2" s="1840"/>
      <c r="H2" s="1832"/>
      <c r="I2" s="1832"/>
      <c r="J2" s="1832"/>
      <c r="K2" s="1833"/>
      <c r="L2" s="1832"/>
      <c r="M2" s="1832"/>
    </row>
    <row r="3" spans="1:37" ht="18" customHeight="1" thickBot="1">
      <c r="A3" s="1841" t="s">
        <v>1517</v>
      </c>
      <c r="B3" s="1842">
        <f ca="1">IF(ISERROR(B2*10000/F43),0,ROUND(B2*10000/F43,0))</f>
        <v>24732</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5358</v>
      </c>
      <c r="D5" s="1814" t="s">
        <v>1402</v>
      </c>
      <c r="E5" s="1286"/>
      <c r="F5" s="1287"/>
      <c r="G5" s="1843"/>
      <c r="H5" s="340">
        <v>1</v>
      </c>
      <c r="I5" s="341" t="s">
        <v>1401</v>
      </c>
      <c r="J5" s="1285">
        <f ca="1">J6+J10+J12</f>
        <v>0</v>
      </c>
      <c r="K5" s="1814" t="s">
        <v>1402</v>
      </c>
      <c r="L5" s="1286"/>
      <c r="M5" s="1287"/>
    </row>
    <row r="6" spans="1:37" ht="18" customHeight="1">
      <c r="A6" s="1284" t="s">
        <v>1035</v>
      </c>
      <c r="B6" s="3397" t="s">
        <v>1403</v>
      </c>
      <c r="C6" s="1289">
        <f ca="1">ROUND(F6*F8*F7*(1-F9)/10000,0)</f>
        <v>5358</v>
      </c>
      <c r="D6" s="161" t="s">
        <v>3019</v>
      </c>
      <c r="E6" s="343" t="s">
        <v>1405</v>
      </c>
      <c r="F6" s="344">
        <f ca="1">INDIRECT("'数据-取费表'!u"&amp;$G$1)</f>
        <v>5</v>
      </c>
      <c r="G6" s="1843"/>
      <c r="H6" s="1284" t="s">
        <v>1035</v>
      </c>
      <c r="I6" s="3397" t="s">
        <v>1403</v>
      </c>
      <c r="J6" s="342">
        <f ca="1">ROUND(M6*M8*M7*(1-M9)/10000,0)</f>
        <v>0</v>
      </c>
      <c r="K6" s="161" t="s">
        <v>3018</v>
      </c>
      <c r="L6" s="343" t="s">
        <v>1405</v>
      </c>
      <c r="M6" s="344">
        <f ca="1">INDIRECT("'数据-取费表'!z"&amp;$G$1)</f>
        <v>0</v>
      </c>
    </row>
    <row r="7" spans="1:37" ht="18" customHeight="1">
      <c r="A7" s="1288"/>
      <c r="B7" s="3398"/>
      <c r="C7" s="1290"/>
      <c r="D7" s="348"/>
      <c r="E7" s="2943" t="s">
        <v>1406</v>
      </c>
      <c r="F7" s="344">
        <f ca="1">IF(INDIRECT("'数据-取费表'!ah"&amp;$G$1)="",INDIRECT("'数据-取费表'!k"&amp;$G$1),INDIRECT("'数据-取费表'!ah"&amp;$G$1))</f>
        <v>32618.32</v>
      </c>
      <c r="G7" s="1843"/>
      <c r="H7" s="345"/>
      <c r="I7" s="3398"/>
      <c r="J7" s="347"/>
      <c r="K7" s="348"/>
      <c r="L7" s="343" t="s">
        <v>1406</v>
      </c>
      <c r="M7" s="344">
        <f ca="1">F7</f>
        <v>32618.32</v>
      </c>
    </row>
    <row r="8" spans="1:37" ht="18" customHeight="1">
      <c r="A8" s="345"/>
      <c r="B8" s="3398"/>
      <c r="C8" s="347"/>
      <c r="D8" s="348"/>
      <c r="E8" s="343" t="s">
        <v>1407</v>
      </c>
      <c r="F8" s="344">
        <f ca="1">INDIRECT("'数据-取费表'!ai"&amp;$G$1)</f>
        <v>365</v>
      </c>
      <c r="G8" s="1843"/>
      <c r="H8" s="345"/>
      <c r="I8" s="3398"/>
      <c r="J8" s="347"/>
      <c r="K8" s="348"/>
      <c r="L8" s="343" t="s">
        <v>1407</v>
      </c>
      <c r="M8" s="344">
        <f ca="1">INDIRECT("'数据-取费表'!ai"&amp;$G$1)</f>
        <v>365</v>
      </c>
    </row>
    <row r="9" spans="1:37" ht="18" customHeight="1">
      <c r="A9" s="345"/>
      <c r="B9" s="3399"/>
      <c r="C9" s="347"/>
      <c r="D9" s="348"/>
      <c r="E9" s="343" t="s">
        <v>1408</v>
      </c>
      <c r="F9" s="353">
        <f ca="1">INDIRECT("'数据-取费表'!w"&amp;$G$1)</f>
        <v>0.1</v>
      </c>
      <c r="G9" s="1843"/>
      <c r="H9" s="345"/>
      <c r="I9" s="3399"/>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27984</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16840</v>
      </c>
      <c r="D14" s="2936" t="s">
        <v>1418</v>
      </c>
      <c r="E14" s="2934"/>
      <c r="F14" s="360"/>
      <c r="G14" s="1843"/>
      <c r="H14" s="1194" t="s">
        <v>1035</v>
      </c>
      <c r="I14" s="343" t="s">
        <v>1419</v>
      </c>
      <c r="J14" s="24">
        <f ca="1">C29</f>
        <v>27984</v>
      </c>
      <c r="K14" s="2942"/>
      <c r="L14" s="972"/>
      <c r="M14" s="973"/>
    </row>
    <row r="15" spans="1:37" s="1850" customFormat="1" ht="18" customHeight="1" thickBot="1">
      <c r="A15" s="1194" t="s">
        <v>1036</v>
      </c>
      <c r="B15" s="343" t="s">
        <v>1420</v>
      </c>
      <c r="C15" s="24">
        <f ca="1">ROUND(C14*F15,0)</f>
        <v>505</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519</v>
      </c>
      <c r="K16" s="1330" t="s">
        <v>1425</v>
      </c>
      <c r="L16" s="2937"/>
      <c r="M16" s="1287"/>
    </row>
    <row r="17" spans="1:37" s="1850" customFormat="1" ht="18" customHeight="1">
      <c r="A17" s="1194" t="s">
        <v>1390</v>
      </c>
      <c r="B17" s="343" t="s">
        <v>1426</v>
      </c>
      <c r="C17" s="24">
        <f ca="1">ROUND(F17*(F43+INDIRECT("'数据-取费表'!S"&amp;$G$1))/10000,0)</f>
        <v>679</v>
      </c>
      <c r="D17" s="343" t="s">
        <v>1427</v>
      </c>
      <c r="E17" s="343" t="s">
        <v>1428</v>
      </c>
      <c r="F17" s="26">
        <f>'数据-取费表'!B35</f>
        <v>200</v>
      </c>
      <c r="G17" s="1846"/>
      <c r="H17" s="1194" t="s">
        <v>1035</v>
      </c>
      <c r="I17" s="343" t="s">
        <v>1429</v>
      </c>
      <c r="J17" s="24">
        <f ca="1">ROUND(IF(项目基本情况!B11="自然人",J5*M17,J18+J19+J20),1)</f>
        <v>239.6</v>
      </c>
      <c r="K17" s="2936" t="s">
        <v>1430</v>
      </c>
      <c r="L17" s="2935"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253</v>
      </c>
      <c r="D18" s="343" t="s">
        <v>1421</v>
      </c>
      <c r="E18" s="343" t="s">
        <v>1422</v>
      </c>
      <c r="F18" s="363">
        <f>'数据-取费表'!B36</f>
        <v>1.4999999999999999E-2</v>
      </c>
      <c r="G18" s="1846"/>
      <c r="H18" s="1194" t="s">
        <v>1034</v>
      </c>
      <c r="I18" s="343" t="s">
        <v>1433</v>
      </c>
      <c r="J18" s="24">
        <f ca="1">ROUND(J5*M18/(1+'数据-取费表'!C42),2)</f>
        <v>0</v>
      </c>
      <c r="K18" s="2935"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18277</v>
      </c>
      <c r="D19" s="137" t="s">
        <v>1436</v>
      </c>
      <c r="E19" s="2941"/>
      <c r="F19" s="26"/>
      <c r="G19" s="1843"/>
      <c r="H19" s="1194" t="s">
        <v>1036</v>
      </c>
      <c r="I19" s="343" t="s">
        <v>1437</v>
      </c>
      <c r="J19" s="24">
        <f ca="1">IF(K19="按租金收入计税",ROUND(J5*M19,2),ROUND(C29*M19*0.7,2))</f>
        <v>235.07</v>
      </c>
      <c r="K19" s="1820" t="s">
        <v>1438</v>
      </c>
      <c r="L19" s="343" t="s">
        <v>1422</v>
      </c>
      <c r="M19" s="363">
        <f>IF(K19="按租金收入计税",'数据-取费表'!B51,'数据-取费表'!B50)</f>
        <v>1.2E-2</v>
      </c>
    </row>
    <row r="20" spans="1:37" s="1850" customFormat="1" ht="18" customHeight="1">
      <c r="A20" s="1194" t="s">
        <v>1039</v>
      </c>
      <c r="B20" s="343" t="s">
        <v>1439</v>
      </c>
      <c r="C20" s="24">
        <f ca="1">ROUND(C19*F20,0)</f>
        <v>548</v>
      </c>
      <c r="D20" s="365" t="s">
        <v>1440</v>
      </c>
      <c r="E20" s="343" t="s">
        <v>1422</v>
      </c>
      <c r="F20" s="363">
        <f>'数据-取费表'!B37</f>
        <v>0.03</v>
      </c>
      <c r="G20" s="1846"/>
      <c r="H20" s="1194" t="s">
        <v>1389</v>
      </c>
      <c r="I20" s="161" t="s">
        <v>1441</v>
      </c>
      <c r="J20" s="25">
        <f ca="1">ROUND(M20*M21/10000,2)</f>
        <v>4.55</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2276.1200000000003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2941"/>
      <c r="F22" s="26"/>
      <c r="G22" s="1843"/>
      <c r="H22" s="1194" t="s">
        <v>1039</v>
      </c>
      <c r="I22" s="343" t="s">
        <v>1449</v>
      </c>
      <c r="J22" s="24">
        <f ca="1">ROUND(J14*M22,1)</f>
        <v>279.8</v>
      </c>
      <c r="K22" s="2935"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1831</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2935"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2941"/>
      <c r="F25" s="26"/>
      <c r="G25" s="1843"/>
      <c r="H25" s="1322" t="s">
        <v>1031</v>
      </c>
      <c r="I25" s="1337" t="s">
        <v>1463</v>
      </c>
      <c r="J25" s="351">
        <f ca="1">J5-J16</f>
        <v>-519</v>
      </c>
      <c r="K25" s="1338" t="s">
        <v>1464</v>
      </c>
      <c r="L25" s="1339"/>
      <c r="M25" s="1340"/>
    </row>
    <row r="26" spans="1:37">
      <c r="A26" s="1194" t="s">
        <v>1034</v>
      </c>
      <c r="B26" s="343" t="s">
        <v>1465</v>
      </c>
      <c r="C26" s="24">
        <f ca="1">ROUND((C19+C20)*F26,0)</f>
        <v>4706</v>
      </c>
      <c r="D26" s="365" t="s">
        <v>1466</v>
      </c>
      <c r="E26" s="354" t="s">
        <v>1467</v>
      </c>
      <c r="F26" s="353">
        <f ca="1">INDIRECT("'数据-取费表'!q"&amp;$G$1)</f>
        <v>0.25</v>
      </c>
      <c r="G26" s="1843"/>
      <c r="H26" s="340" t="s">
        <v>1032</v>
      </c>
      <c r="I26" s="341" t="s">
        <v>1468</v>
      </c>
      <c r="J26" s="342">
        <f ca="1">IF(J5&lt;&gt;0,ROUND(J25*(1-((1+M28)/(1+M26))^M27)/(M26-M28),0),0)</f>
        <v>0</v>
      </c>
      <c r="K26" s="366" t="s">
        <v>1469</v>
      </c>
      <c r="L26" s="343" t="s">
        <v>1470</v>
      </c>
      <c r="M26" s="353">
        <f ca="1">INDIRECT("'数据-取费表'!I"&amp;$G$1)</f>
        <v>0.06</v>
      </c>
    </row>
    <row r="27" spans="1:37" ht="18" customHeight="1">
      <c r="A27" s="1194" t="s">
        <v>1036</v>
      </c>
      <c r="B27" s="343" t="s">
        <v>1471</v>
      </c>
      <c r="C27" s="24">
        <f ca="1">ROUND(F21*F26,4)</f>
        <v>7.4999999999999997E-3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27984</v>
      </c>
      <c r="D29" s="1335"/>
      <c r="E29" s="1333"/>
      <c r="F29" s="1336"/>
      <c r="G29" s="1846"/>
      <c r="H29" s="376" t="s">
        <v>1033</v>
      </c>
      <c r="I29" s="377" t="s">
        <v>1479</v>
      </c>
      <c r="J29" s="378">
        <f ca="1">ROUND(J26/(1+F40)^F41,0)</f>
        <v>0</v>
      </c>
      <c r="K29" s="379" t="s">
        <v>1480</v>
      </c>
      <c r="L29" s="380"/>
      <c r="M29" s="381">
        <f ca="1">INDIRECT("'数据-取费表'!k"&amp;$G$1)</f>
        <v>32618.32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1295</v>
      </c>
      <c r="D30" s="1330" t="s">
        <v>1425</v>
      </c>
      <c r="E30" s="2937"/>
      <c r="F30" s="1287"/>
      <c r="G30" s="1843"/>
      <c r="H30" s="741"/>
      <c r="I30" s="742"/>
      <c r="J30" s="743"/>
      <c r="K30" s="744"/>
      <c r="L30" s="745"/>
      <c r="M30" s="746"/>
    </row>
    <row r="31" spans="1:37" ht="18" customHeight="1">
      <c r="A31" s="1194" t="s">
        <v>1035</v>
      </c>
      <c r="B31" s="343" t="s">
        <v>1429</v>
      </c>
      <c r="C31" s="24">
        <f ca="1">ROUND(IF(项目基本情况!B11="自然人",C5*F31,C32+C33+C34),1)</f>
        <v>933.3</v>
      </c>
      <c r="D31" s="2936" t="s">
        <v>1430</v>
      </c>
      <c r="E31" s="2935"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285.76</v>
      </c>
      <c r="D32" s="2935"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642.96</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4.55</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2276.1200000000003</v>
      </c>
      <c r="G35" s="1843"/>
      <c r="H35" s="741"/>
      <c r="I35" s="1852"/>
      <c r="J35" s="1853"/>
      <c r="K35" s="1854"/>
      <c r="L35" s="1851"/>
      <c r="M35" s="1851"/>
    </row>
    <row r="36" spans="1:18" ht="18" customHeight="1">
      <c r="A36" s="1345" t="s">
        <v>1039</v>
      </c>
      <c r="B36" s="343" t="s">
        <v>1449</v>
      </c>
      <c r="C36" s="24">
        <f ca="1">ROUND(C29*F36,1)</f>
        <v>279.8</v>
      </c>
      <c r="D36" s="2935"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28</v>
      </c>
      <c r="D37" s="2935"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53.6</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4063</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80673</v>
      </c>
      <c r="D40" s="366" t="s">
        <v>1469</v>
      </c>
      <c r="E40" s="343" t="s">
        <v>1470</v>
      </c>
      <c r="F40" s="353">
        <f ca="1">INDIRECT("'数据-取费表'!I"&amp;$G$1)</f>
        <v>0.06</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0.03</v>
      </c>
      <c r="G42" s="1843"/>
      <c r="H42" s="728"/>
      <c r="I42" s="1852"/>
      <c r="J42" s="1853"/>
      <c r="K42" s="747"/>
      <c r="L42" s="728"/>
      <c r="M42" s="728"/>
    </row>
    <row r="43" spans="1:18" ht="18" customHeight="1" thickBot="1">
      <c r="A43" s="376" t="s">
        <v>1033</v>
      </c>
      <c r="B43" s="377" t="s">
        <v>1487</v>
      </c>
      <c r="C43" s="378">
        <f ca="1">ROUND(C40*10000/F43,0)</f>
        <v>24732</v>
      </c>
      <c r="D43" s="379" t="s">
        <v>1488</v>
      </c>
      <c r="E43" s="380" t="s">
        <v>1489</v>
      </c>
      <c r="F43" s="381">
        <f ca="1">INDIRECT("'数据-取费表'!k"&amp;$G$1)</f>
        <v>32618.32</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-117992</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80673</v>
      </c>
      <c r="R47" s="1878" t="s">
        <v>1529</v>
      </c>
    </row>
    <row r="48" spans="1:18" s="1834" customFormat="1" ht="28.5" thickBot="1">
      <c r="A48" s="1353" t="s">
        <v>1135</v>
      </c>
      <c r="B48" s="341" t="s">
        <v>1401</v>
      </c>
      <c r="C48" s="2940">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27984</v>
      </c>
      <c r="R49" s="1878" t="s">
        <v>1529</v>
      </c>
    </row>
    <row r="50" spans="1:18" s="1834" customFormat="1" ht="13.5" thickBot="1">
      <c r="A50" s="1188"/>
      <c r="B50" s="1191"/>
      <c r="C50" s="1361"/>
      <c r="D50" s="1165"/>
      <c r="E50" s="1270" t="s">
        <v>1406</v>
      </c>
      <c r="F50" s="1271">
        <f ca="1">F7</f>
        <v>32618.32</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26967</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395" t="s">
        <v>1548</v>
      </c>
      <c r="L53" s="3396"/>
      <c r="O53" s="1876" t="s">
        <v>1046</v>
      </c>
      <c r="P53" s="1877" t="s">
        <v>1549</v>
      </c>
      <c r="Q53" s="1878">
        <f ca="1">Q47+Q48</f>
        <v>80673</v>
      </c>
      <c r="R53" s="1878" t="s">
        <v>1047</v>
      </c>
    </row>
    <row r="54" spans="1:18" s="1834" customFormat="1" ht="13.5" thickBot="1">
      <c r="A54" s="1399"/>
      <c r="B54" s="1817" t="s">
        <v>1388</v>
      </c>
      <c r="C54" s="1171"/>
      <c r="D54" s="1816"/>
      <c r="E54" s="2939"/>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2939"/>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27984</v>
      </c>
      <c r="D56" s="1906"/>
      <c r="E56" s="1907"/>
      <c r="F56" s="1899"/>
      <c r="I56" s="1908" t="s">
        <v>1554</v>
      </c>
      <c r="J56" s="1909" t="s">
        <v>3042</v>
      </c>
      <c r="K56" s="1879" t="s">
        <v>1555</v>
      </c>
      <c r="L56" s="1882" t="str">
        <f ca="1">IF(L48&lt;J51,"——",L48-J53)</f>
        <v>——</v>
      </c>
      <c r="O56" s="1876" t="s">
        <v>1040</v>
      </c>
      <c r="P56" s="1877" t="s">
        <v>1528</v>
      </c>
      <c r="Q56" s="1878">
        <f ca="1">C40+J29</f>
        <v>80673</v>
      </c>
      <c r="R56" s="1878" t="s">
        <v>1529</v>
      </c>
    </row>
    <row r="57" spans="1:18" s="1834" customFormat="1" ht="24.75" thickBot="1">
      <c r="A57" s="1910"/>
      <c r="B57" s="1162" t="s">
        <v>1478</v>
      </c>
      <c r="C57" s="278">
        <f ca="1">C29</f>
        <v>27984</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2663</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2355.1999999999998</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2350.66</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4.55</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80673</v>
      </c>
      <c r="R62" s="1878" t="s">
        <v>1047</v>
      </c>
    </row>
    <row r="63" spans="1:18" s="1834" customFormat="1" ht="13.5" thickBot="1">
      <c r="A63" s="368"/>
      <c r="B63" s="1168"/>
      <c r="C63" s="29"/>
      <c r="D63" s="1178"/>
      <c r="E63" s="1162" t="s">
        <v>1447</v>
      </c>
      <c r="F63" s="344">
        <f t="shared" ca="1" si="0"/>
        <v>2276.1200000000003</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279.8</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28</v>
      </c>
      <c r="D65" s="1176" t="s">
        <v>1454</v>
      </c>
      <c r="E65" s="1162" t="s">
        <v>1422</v>
      </c>
      <c r="F65" s="372">
        <f t="shared" ca="1" si="0"/>
        <v>1E-3</v>
      </c>
      <c r="I65" s="1921" t="s">
        <v>1579</v>
      </c>
      <c r="J65" s="1922">
        <v>40</v>
      </c>
      <c r="K65" s="1922">
        <v>30</v>
      </c>
      <c r="L65" s="1922">
        <v>50</v>
      </c>
      <c r="M65" s="1924">
        <v>0.02</v>
      </c>
      <c r="O65" s="1876" t="s">
        <v>1040</v>
      </c>
      <c r="P65" s="1877" t="s">
        <v>1528</v>
      </c>
      <c r="Q65" s="1878">
        <f ca="1">C40+J29</f>
        <v>80673</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-2663</v>
      </c>
      <c r="D67" s="1175" t="s">
        <v>1464</v>
      </c>
      <c r="E67" s="1180"/>
      <c r="F67" s="1181"/>
      <c r="O67" s="1886" t="s">
        <v>1042</v>
      </c>
      <c r="P67" s="1877" t="s">
        <v>1562</v>
      </c>
      <c r="Q67" s="1925">
        <f ca="1">L51</f>
        <v>26967</v>
      </c>
      <c r="R67" s="1878" t="s">
        <v>1582</v>
      </c>
    </row>
    <row r="68" spans="1:18" s="1834" customFormat="1" ht="16.5" thickBot="1">
      <c r="A68" s="1159" t="s">
        <v>1032</v>
      </c>
      <c r="B68" s="1160" t="s">
        <v>1485</v>
      </c>
      <c r="C68" s="342">
        <f ca="1">ROUND(C67*(1-((1+F70)/(1+F68))^F69)/(F68-F70),0)</f>
        <v>-37319</v>
      </c>
      <c r="D68" s="1177" t="s">
        <v>1469</v>
      </c>
      <c r="E68" s="1162" t="s">
        <v>1470</v>
      </c>
      <c r="F68" s="353">
        <f ca="1">F40</f>
        <v>0.06</v>
      </c>
      <c r="O68" s="1886" t="s">
        <v>1043</v>
      </c>
      <c r="P68" s="1926" t="s">
        <v>1583</v>
      </c>
      <c r="Q68" s="1878">
        <f ca="1">ROUND(Q69-Q70*Q71,0)</f>
        <v>1684</v>
      </c>
      <c r="R68" s="1878" t="s">
        <v>1051</v>
      </c>
    </row>
    <row r="69" spans="1:18" s="1834" customFormat="1" ht="13.5" thickBot="1">
      <c r="A69" s="1163"/>
      <c r="B69" s="1164"/>
      <c r="C69" s="347"/>
      <c r="D69" s="1182" t="s">
        <v>1473</v>
      </c>
      <c r="E69" s="1162" t="s">
        <v>1474</v>
      </c>
      <c r="F69" s="375">
        <f ca="1">F41</f>
        <v>31.54</v>
      </c>
      <c r="O69" s="1886" t="s">
        <v>1048</v>
      </c>
      <c r="P69" s="1926" t="s">
        <v>1584</v>
      </c>
      <c r="Q69" s="1878">
        <f ca="1">C39</f>
        <v>4063</v>
      </c>
      <c r="R69" s="1878" t="s">
        <v>1529</v>
      </c>
    </row>
    <row r="70" spans="1:18" s="1834" customFormat="1" ht="13.5" thickBot="1">
      <c r="A70" s="1166"/>
      <c r="B70" s="1167"/>
      <c r="C70" s="351"/>
      <c r="D70" s="1178"/>
      <c r="E70" s="1162" t="s">
        <v>1477</v>
      </c>
      <c r="F70" s="1268"/>
      <c r="O70" s="1886" t="s">
        <v>1049</v>
      </c>
      <c r="P70" s="1926" t="s">
        <v>1585</v>
      </c>
      <c r="Q70" s="1878">
        <f ca="1">C13</f>
        <v>27984</v>
      </c>
      <c r="R70" s="1878" t="s">
        <v>1529</v>
      </c>
    </row>
    <row r="71" spans="1:18" s="1834" customFormat="1" ht="13.5" thickBot="1">
      <c r="A71" s="1183" t="s">
        <v>1033</v>
      </c>
      <c r="B71" s="1184" t="s">
        <v>1487</v>
      </c>
      <c r="C71" s="378">
        <f ca="1">ROUND(C68*10000/F71,0)</f>
        <v>-11441</v>
      </c>
      <c r="D71" s="1185" t="s">
        <v>1488</v>
      </c>
      <c r="E71" s="1186" t="s">
        <v>1489</v>
      </c>
      <c r="F71" s="381">
        <f ca="1">F43</f>
        <v>32618.32</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2379</v>
      </c>
      <c r="D75" s="1834"/>
      <c r="E75" s="1834"/>
      <c r="F75" s="1834"/>
      <c r="K75" s="1860"/>
      <c r="L75" s="1834"/>
      <c r="O75" s="1876" t="s">
        <v>1046</v>
      </c>
      <c r="P75" s="1877" t="s">
        <v>1549</v>
      </c>
      <c r="Q75" s="1878">
        <f ca="1">Q65+Q66</f>
        <v>80673</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0.41400000000000003</v>
      </c>
    </row>
    <row r="80" spans="1:18">
      <c r="B80" s="382" t="s">
        <v>1511</v>
      </c>
      <c r="C80" s="314">
        <f ca="1">ROUND(C75/C39,3)</f>
        <v>0.58599999999999997</v>
      </c>
    </row>
    <row r="81" spans="2:3">
      <c r="B81" s="310" t="s">
        <v>1512</v>
      </c>
      <c r="C81" s="278"/>
    </row>
    <row r="82" spans="2:3">
      <c r="B82" s="313" t="s">
        <v>1513</v>
      </c>
      <c r="C82" s="315">
        <f ca="1">1-C83</f>
        <v>0.65300000000000002</v>
      </c>
    </row>
    <row r="83" spans="2:3">
      <c r="B83" s="313" t="s">
        <v>1514</v>
      </c>
      <c r="C83" s="314">
        <f ca="1">ROUND(C13/C40,3)</f>
        <v>0.34699999999999998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E3" sqref="E3"/>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27</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t="e">
        <f>IF(C2="——",ROUND(C49*D3/10000,0),ROUND(C49*D3/10000,0)-D2)</f>
        <v>#DIV/0!</v>
      </c>
      <c r="C2" s="2576" t="s">
        <v>70</v>
      </c>
      <c r="D2" s="1358" t="e">
        <f ca="1">SUMIF(INDIRECT("'"&amp;F2&amp;"'"&amp;"!A:A"),"承租人权益价值",INDIRECT("'"&amp;F2&amp;"'"&amp;"!c:c"))</f>
        <v>#REF!</v>
      </c>
      <c r="E2" s="2577" t="s">
        <v>2318</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t="e">
        <f>IF(C2="——",C49,ROUND(B2*10000/D3,0))</f>
        <v>#DIV/0!</v>
      </c>
      <c r="C3" s="396" t="s">
        <v>2521</v>
      </c>
      <c r="D3" s="395">
        <f>IF(D1="",'数据-汇总表'!E3,SUMIF('数据-汇总表'!$C19:$C33,D1,'数据-汇总表'!$E19:$E33))</f>
        <v>82985.51999999999</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69" t="s">
        <v>2523</v>
      </c>
      <c r="D4" s="3370"/>
      <c r="E4" s="3371" t="s">
        <v>2524</v>
      </c>
      <c r="F4" s="3372"/>
      <c r="G4" s="3369" t="s">
        <v>2525</v>
      </c>
      <c r="H4" s="3370"/>
      <c r="I4" s="3369" t="s">
        <v>2526</v>
      </c>
      <c r="J4" s="3370"/>
      <c r="K4" s="2586" t="s">
        <v>2527</v>
      </c>
      <c r="L4" s="1123"/>
      <c r="M4" s="1124"/>
      <c r="N4" s="1124"/>
      <c r="O4" s="1124"/>
      <c r="P4" s="3373" t="s">
        <v>2528</v>
      </c>
      <c r="Q4" s="3374"/>
      <c r="R4" s="3356" t="s">
        <v>2524</v>
      </c>
      <c r="S4" s="3357"/>
      <c r="T4" s="3356" t="s">
        <v>2525</v>
      </c>
      <c r="U4" s="3357"/>
      <c r="V4" s="3381" t="s">
        <v>2526</v>
      </c>
      <c r="W4" s="3381"/>
      <c r="X4" s="2946"/>
      <c r="Y4" s="3356" t="s">
        <v>2528</v>
      </c>
      <c r="Z4" s="3357"/>
      <c r="AA4" s="3351" t="s">
        <v>2524</v>
      </c>
      <c r="AB4" s="3351" t="s">
        <v>2525</v>
      </c>
      <c r="AC4" s="3351" t="s">
        <v>2526</v>
      </c>
    </row>
    <row r="5" spans="1:29" ht="15">
      <c r="A5" s="400"/>
      <c r="B5" s="401"/>
      <c r="C5" s="3362" t="s">
        <v>2529</v>
      </c>
      <c r="D5" s="3363"/>
      <c r="E5" s="3360" t="s">
        <v>2530</v>
      </c>
      <c r="F5" s="3361"/>
      <c r="G5" s="3362" t="s">
        <v>2531</v>
      </c>
      <c r="H5" s="3363"/>
      <c r="I5" s="3362" t="s">
        <v>2532</v>
      </c>
      <c r="J5" s="3363"/>
      <c r="K5" s="2587"/>
      <c r="L5" s="1123"/>
      <c r="M5" s="1124"/>
      <c r="N5" s="1124"/>
      <c r="O5" s="1124"/>
      <c r="P5" s="3375"/>
      <c r="Q5" s="3376"/>
      <c r="R5" s="3358"/>
      <c r="S5" s="3359"/>
      <c r="T5" s="3358"/>
      <c r="U5" s="3359"/>
      <c r="V5" s="3381"/>
      <c r="W5" s="3381"/>
      <c r="X5" s="2946"/>
      <c r="Y5" s="3358"/>
      <c r="Z5" s="3359"/>
      <c r="AA5" s="3352"/>
      <c r="AB5" s="3352"/>
      <c r="AC5" s="3352"/>
    </row>
    <row r="6" spans="1:29" ht="15.75" thickBot="1">
      <c r="A6" s="402"/>
      <c r="B6" s="403"/>
      <c r="C6" s="3364" t="s">
        <v>2533</v>
      </c>
      <c r="D6" s="3365"/>
      <c r="E6" s="3366" t="s">
        <v>2533</v>
      </c>
      <c r="F6" s="3367"/>
      <c r="G6" s="3364" t="s">
        <v>2533</v>
      </c>
      <c r="H6" s="3365"/>
      <c r="I6" s="3364" t="s">
        <v>2533</v>
      </c>
      <c r="J6" s="3365"/>
      <c r="K6" s="2587" t="s">
        <v>2534</v>
      </c>
      <c r="L6" s="1123"/>
      <c r="M6" s="1124"/>
      <c r="N6" s="1124"/>
      <c r="O6" s="1124"/>
      <c r="P6" s="3377"/>
      <c r="Q6" s="3378"/>
      <c r="R6" s="3358"/>
      <c r="S6" s="3359"/>
      <c r="T6" s="3379"/>
      <c r="U6" s="3380"/>
      <c r="V6" s="3381"/>
      <c r="W6" s="3381"/>
      <c r="X6" s="2946"/>
      <c r="Y6" s="3379"/>
      <c r="Z6" s="3380"/>
      <c r="AA6" s="3353"/>
      <c r="AB6" s="3353"/>
      <c r="AC6" s="3353"/>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2588"/>
      <c r="L7" s="1125"/>
      <c r="M7" s="1126"/>
      <c r="N7" s="1126"/>
      <c r="O7" s="1126"/>
      <c r="P7" s="3354" t="s">
        <v>2536</v>
      </c>
      <c r="Q7" s="3382"/>
      <c r="R7" s="766" t="s">
        <v>23</v>
      </c>
      <c r="S7" s="767">
        <f t="shared" ref="S7:S15" si="0">F7</f>
        <v>0</v>
      </c>
      <c r="T7" s="766" t="s">
        <v>23</v>
      </c>
      <c r="U7" s="767">
        <f t="shared" ref="U7:U15" si="1">H7</f>
        <v>0</v>
      </c>
      <c r="V7" s="766" t="s">
        <v>23</v>
      </c>
      <c r="W7" s="767">
        <f t="shared" ref="W7:W15" si="2">J7</f>
        <v>0</v>
      </c>
      <c r="X7" s="768"/>
      <c r="Y7" s="3354" t="s">
        <v>2536</v>
      </c>
      <c r="Z7" s="3355"/>
      <c r="AA7" s="769" t="e">
        <f>D7/F7</f>
        <v>#DIV/0!</v>
      </c>
      <c r="AB7" s="769" t="e">
        <f>D7/H7</f>
        <v>#DIV/0!</v>
      </c>
      <c r="AC7" s="769" t="e">
        <f>D7/J7</f>
        <v>#DIV/0!</v>
      </c>
    </row>
    <row r="8" spans="1:29" s="116" customFormat="1" ht="15.75" thickBot="1">
      <c r="A8" s="404" t="s">
        <v>2537</v>
      </c>
      <c r="B8" s="405"/>
      <c r="C8" s="410" t="s">
        <v>2538</v>
      </c>
      <c r="D8" s="407">
        <v>100</v>
      </c>
      <c r="E8" s="2589"/>
      <c r="F8" s="409">
        <f>SUMIF(61:61,E8,62:62)-SUMIF(61:61,C8,62:62)+100</f>
        <v>0</v>
      </c>
      <c r="G8" s="410"/>
      <c r="H8" s="407">
        <f>SUMIF(61:61,G8,62:62)-SUMIF(61:61,C8,62:62)+100</f>
        <v>0</v>
      </c>
      <c r="I8" s="2589"/>
      <c r="J8" s="407">
        <f>SUMIF(61:61,I8,62:62)-SUMIF(61:61,C8,62:62)+100</f>
        <v>0</v>
      </c>
      <c r="K8" s="2588"/>
      <c r="L8" s="1125"/>
      <c r="M8" s="1126"/>
      <c r="N8" s="1126"/>
      <c r="O8" s="1126"/>
      <c r="P8" s="3354" t="s">
        <v>2539</v>
      </c>
      <c r="Q8" s="3355"/>
      <c r="R8" s="766" t="s">
        <v>23</v>
      </c>
      <c r="S8" s="767">
        <f t="shared" si="0"/>
        <v>0</v>
      </c>
      <c r="T8" s="766" t="s">
        <v>23</v>
      </c>
      <c r="U8" s="767">
        <f t="shared" si="1"/>
        <v>0</v>
      </c>
      <c r="V8" s="766" t="s">
        <v>23</v>
      </c>
      <c r="W8" s="767">
        <f t="shared" si="2"/>
        <v>0</v>
      </c>
      <c r="X8" s="768"/>
      <c r="Y8" s="3354" t="s">
        <v>2539</v>
      </c>
      <c r="Z8" s="3355"/>
      <c r="AA8" s="769" t="e">
        <f t="shared" ref="AA8:AA19" si="3">D8/F8</f>
        <v>#DIV/0!</v>
      </c>
      <c r="AB8" s="769" t="e">
        <f t="shared" ref="AB8:AB19" si="4">D8/H8</f>
        <v>#DIV/0!</v>
      </c>
      <c r="AC8" s="769" t="e">
        <f t="shared" ref="AC8:AC19" si="5">D8/J8</f>
        <v>#DIV/0!</v>
      </c>
    </row>
    <row r="9" spans="1:29" s="116" customFormat="1">
      <c r="A9" s="411" t="s">
        <v>2540</v>
      </c>
      <c r="B9" s="71" t="s">
        <v>2541</v>
      </c>
      <c r="C9" s="412"/>
      <c r="D9" s="132">
        <v>100</v>
      </c>
      <c r="E9" s="413"/>
      <c r="F9" s="414">
        <f>SUMIF(63:63,E9,64:64)-SUMIF(63:63,C9,64:64)+100</f>
        <v>100</v>
      </c>
      <c r="G9" s="415"/>
      <c r="H9" s="132">
        <f>SUMIF(63:63,G9,64:64)-SUMIF(63:63,C9,64:64)+100</f>
        <v>100</v>
      </c>
      <c r="I9" s="415"/>
      <c r="J9" s="132">
        <f>SUMIF(63:63,I9,64:64)-SUMIF(63:63,C9,64:64)+100</f>
        <v>100</v>
      </c>
      <c r="K9" s="2588"/>
      <c r="L9" s="1125"/>
      <c r="M9" s="1126"/>
      <c r="N9" s="1126"/>
      <c r="O9" s="1126"/>
      <c r="P9" s="3392" t="s">
        <v>2542</v>
      </c>
      <c r="Q9" s="2932" t="str">
        <f t="shared" ref="Q9:Q15" si="6">B9</f>
        <v>用途</v>
      </c>
      <c r="R9" s="766" t="s">
        <v>17</v>
      </c>
      <c r="S9" s="767">
        <f t="shared" si="0"/>
        <v>100</v>
      </c>
      <c r="T9" s="766" t="s">
        <v>17</v>
      </c>
      <c r="U9" s="767">
        <f t="shared" si="1"/>
        <v>100</v>
      </c>
      <c r="V9" s="766" t="s">
        <v>17</v>
      </c>
      <c r="W9" s="767">
        <f t="shared" si="2"/>
        <v>100</v>
      </c>
      <c r="X9" s="768"/>
      <c r="Y9" s="3224" t="s">
        <v>2543</v>
      </c>
      <c r="Z9" s="2933" t="str">
        <f t="shared" ref="Z9:Z15" si="7">Q9</f>
        <v>用途</v>
      </c>
      <c r="AA9" s="769">
        <f t="shared" si="3"/>
        <v>1</v>
      </c>
      <c r="AB9" s="769">
        <f t="shared" si="4"/>
        <v>1</v>
      </c>
      <c r="AC9" s="769">
        <f t="shared" si="5"/>
        <v>1</v>
      </c>
    </row>
    <row r="10" spans="1:29" s="423" customFormat="1" ht="27">
      <c r="A10" s="417"/>
      <c r="B10" s="2938" t="s">
        <v>2544</v>
      </c>
      <c r="C10" s="419"/>
      <c r="D10" s="133">
        <v>100</v>
      </c>
      <c r="E10" s="420"/>
      <c r="F10" s="421">
        <f>SUMIF(65:65,E10,66:66)-SUMIF(65:65,C10,66:66)+100</f>
        <v>100</v>
      </c>
      <c r="G10" s="419"/>
      <c r="H10" s="133">
        <f>SUMIF(65:65,G10,66:66)-SUMIF(65:65,C10,66:66)+100</f>
        <v>100</v>
      </c>
      <c r="I10" s="419"/>
      <c r="J10" s="133">
        <f>SUMIF(65:65,I10,66:66)-SUMIF(65:65,C10,66:66)+100</f>
        <v>100</v>
      </c>
      <c r="K10" s="422"/>
      <c r="L10" s="1128"/>
      <c r="M10" s="1129"/>
      <c r="N10" s="1129"/>
      <c r="O10" s="1129"/>
      <c r="P10" s="3392"/>
      <c r="Q10" s="2932" t="str">
        <f t="shared" si="6"/>
        <v>土地使用年限（年）</v>
      </c>
      <c r="R10" s="766" t="s">
        <v>17</v>
      </c>
      <c r="S10" s="767">
        <f t="shared" si="0"/>
        <v>100</v>
      </c>
      <c r="T10" s="766" t="s">
        <v>17</v>
      </c>
      <c r="U10" s="767">
        <f t="shared" si="1"/>
        <v>100</v>
      </c>
      <c r="V10" s="766" t="s">
        <v>17</v>
      </c>
      <c r="W10" s="767">
        <f t="shared" si="2"/>
        <v>100</v>
      </c>
      <c r="X10" s="768"/>
      <c r="Y10" s="3224"/>
      <c r="Z10" s="2933" t="str">
        <f t="shared" si="7"/>
        <v>土地使用年限（年）</v>
      </c>
      <c r="AA10" s="769">
        <f t="shared" si="3"/>
        <v>1</v>
      </c>
      <c r="AB10" s="769">
        <f t="shared" si="4"/>
        <v>1</v>
      </c>
      <c r="AC10" s="769">
        <f t="shared" si="5"/>
        <v>1</v>
      </c>
    </row>
    <row r="11" spans="1:29" ht="15">
      <c r="A11" s="424"/>
      <c r="B11" s="2938" t="s">
        <v>2545</v>
      </c>
      <c r="C11" s="425"/>
      <c r="D11" s="133">
        <v>100</v>
      </c>
      <c r="E11" s="426"/>
      <c r="F11" s="421" t="e">
        <f>LOOKUP(E11,68:68,69:69)-LOOKUP(C11,68:68,69:69)+100</f>
        <v>#N/A</v>
      </c>
      <c r="G11" s="425"/>
      <c r="H11" s="133" t="e">
        <f>LOOKUP(G11,68:68,69:69)-LOOKUP(C11,68:68,69:69)+100</f>
        <v>#N/A</v>
      </c>
      <c r="I11" s="425"/>
      <c r="J11" s="133" t="e">
        <f>LOOKUP(I11,68:68,69:69)-LOOKUP(C11,68:68,69:69)+100</f>
        <v>#N/A</v>
      </c>
      <c r="K11" s="422"/>
      <c r="L11" s="1131"/>
      <c r="M11" s="1124"/>
      <c r="N11" s="1124"/>
      <c r="O11" s="1124"/>
      <c r="P11" s="3392"/>
      <c r="Q11" s="2932" t="str">
        <f t="shared" si="6"/>
        <v>容积率</v>
      </c>
      <c r="R11" s="766" t="s">
        <v>21</v>
      </c>
      <c r="S11" s="767" t="e">
        <f t="shared" si="0"/>
        <v>#N/A</v>
      </c>
      <c r="T11" s="766" t="s">
        <v>21</v>
      </c>
      <c r="U11" s="767" t="e">
        <f t="shared" si="1"/>
        <v>#N/A</v>
      </c>
      <c r="V11" s="766" t="s">
        <v>21</v>
      </c>
      <c r="W11" s="767" t="e">
        <f t="shared" si="2"/>
        <v>#N/A</v>
      </c>
      <c r="X11" s="768"/>
      <c r="Y11" s="3224"/>
      <c r="Z11" s="2933" t="str">
        <f t="shared" si="7"/>
        <v>容积率</v>
      </c>
      <c r="AA11" s="769" t="e">
        <f t="shared" si="3"/>
        <v>#N/A</v>
      </c>
      <c r="AB11" s="769" t="e">
        <f t="shared" si="4"/>
        <v>#N/A</v>
      </c>
      <c r="AC11" s="769" t="e">
        <f t="shared" si="5"/>
        <v>#N/A</v>
      </c>
    </row>
    <row r="12" spans="1:29" s="116" customFormat="1" ht="15">
      <c r="A12" s="427"/>
      <c r="B12" s="2590"/>
      <c r="C12" s="428"/>
      <c r="D12" s="429">
        <v>100</v>
      </c>
      <c r="E12" s="428"/>
      <c r="F12" s="421">
        <f>SUMIF(70:70,E12,71:71)-SUMIF(70:70,C12,71:71)+100</f>
        <v>100</v>
      </c>
      <c r="G12" s="428"/>
      <c r="H12" s="133">
        <f>SUMIF(70:70,G12,71:71)-SUMIF(70:70,C12,71:71)+100</f>
        <v>100</v>
      </c>
      <c r="I12" s="428"/>
      <c r="J12" s="133">
        <f>SUMIF(70:70,I12,71:71)-SUMIF(70:70,C12,71:71)+100</f>
        <v>100</v>
      </c>
      <c r="K12" s="2591"/>
      <c r="L12" s="1125"/>
      <c r="M12" s="1126"/>
      <c r="N12" s="1126"/>
      <c r="O12" s="1126"/>
      <c r="P12" s="3392"/>
      <c r="Q12" s="2932">
        <f t="shared" si="6"/>
        <v>0</v>
      </c>
      <c r="R12" s="766" t="s">
        <v>21</v>
      </c>
      <c r="S12" s="767">
        <f t="shared" si="0"/>
        <v>100</v>
      </c>
      <c r="T12" s="766" t="s">
        <v>21</v>
      </c>
      <c r="U12" s="767">
        <f t="shared" si="1"/>
        <v>100</v>
      </c>
      <c r="V12" s="766" t="s">
        <v>21</v>
      </c>
      <c r="W12" s="767">
        <f t="shared" si="2"/>
        <v>100</v>
      </c>
      <c r="X12" s="768"/>
      <c r="Y12" s="3224"/>
      <c r="Z12" s="2933">
        <f t="shared" si="7"/>
        <v>0</v>
      </c>
      <c r="AA12" s="769">
        <f>D12/F12</f>
        <v>1</v>
      </c>
      <c r="AB12" s="769">
        <f>D12/H12</f>
        <v>1</v>
      </c>
      <c r="AC12" s="769">
        <f>D12/J12</f>
        <v>1</v>
      </c>
    </row>
    <row r="13" spans="1:29" ht="15">
      <c r="A13" s="424"/>
      <c r="B13" s="2590"/>
      <c r="C13" s="430"/>
      <c r="D13" s="431">
        <v>100</v>
      </c>
      <c r="E13" s="430"/>
      <c r="F13" s="421">
        <f>SUMIF(72:72,E13,73:73)-SUMIF(72:72,C13,73:73)+100</f>
        <v>100</v>
      </c>
      <c r="G13" s="430"/>
      <c r="H13" s="431">
        <f>SUMIF(72:72,G13,73:73)-SUMIF(72:72,C13,73:73)+100</f>
        <v>100</v>
      </c>
      <c r="I13" s="430"/>
      <c r="J13" s="431">
        <f>SUMIF(72:72,I13,73:73)-SUMIF(72:72,C13,73:73)+100</f>
        <v>100</v>
      </c>
      <c r="K13" s="2591"/>
      <c r="L13" s="1133"/>
      <c r="M13" s="1124"/>
      <c r="N13" s="1124"/>
      <c r="O13" s="1124"/>
      <c r="P13" s="3392"/>
      <c r="Q13" s="2932">
        <f t="shared" si="6"/>
        <v>0</v>
      </c>
      <c r="R13" s="766" t="s">
        <v>21</v>
      </c>
      <c r="S13" s="767">
        <f t="shared" si="0"/>
        <v>100</v>
      </c>
      <c r="T13" s="766" t="s">
        <v>21</v>
      </c>
      <c r="U13" s="767">
        <f t="shared" si="1"/>
        <v>100</v>
      </c>
      <c r="V13" s="766" t="s">
        <v>21</v>
      </c>
      <c r="W13" s="767">
        <f t="shared" si="2"/>
        <v>100</v>
      </c>
      <c r="X13" s="768"/>
      <c r="Y13" s="3224"/>
      <c r="Z13" s="2933">
        <f t="shared" si="7"/>
        <v>0</v>
      </c>
      <c r="AA13" s="769">
        <f t="shared" si="3"/>
        <v>1</v>
      </c>
      <c r="AB13" s="769">
        <f t="shared" si="4"/>
        <v>1</v>
      </c>
      <c r="AC13" s="769">
        <f t="shared" si="5"/>
        <v>1</v>
      </c>
    </row>
    <row r="14" spans="1:29" ht="15.75"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92"/>
      <c r="Q14" s="2932">
        <f t="shared" si="6"/>
        <v>0</v>
      </c>
      <c r="R14" s="766" t="s">
        <v>21</v>
      </c>
      <c r="S14" s="767">
        <f t="shared" si="0"/>
        <v>100</v>
      </c>
      <c r="T14" s="766" t="s">
        <v>21</v>
      </c>
      <c r="U14" s="767">
        <f t="shared" si="1"/>
        <v>100</v>
      </c>
      <c r="V14" s="766" t="s">
        <v>21</v>
      </c>
      <c r="W14" s="767">
        <f t="shared" si="2"/>
        <v>100</v>
      </c>
      <c r="X14" s="768"/>
      <c r="Y14" s="3224"/>
      <c r="Z14" s="2933">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38"/>
      <c r="H15" s="437">
        <f>SUMIF(76:76,G16,77:77)-SUMIF(76:76,C16,77:77)+100</f>
        <v>100</v>
      </c>
      <c r="I15" s="438"/>
      <c r="J15" s="437">
        <f>SUMIF(76:76,I16,77:77)-SUMIF(76:76,C16,77:77)+100</f>
        <v>100</v>
      </c>
      <c r="K15" s="441"/>
      <c r="L15" s="1133"/>
      <c r="M15" s="1124"/>
      <c r="N15" s="1124"/>
      <c r="O15" s="1124"/>
      <c r="P15" s="3400" t="s">
        <v>2547</v>
      </c>
      <c r="Q15" s="2944" t="str">
        <f t="shared" si="6"/>
        <v>居住社区成熟度</v>
      </c>
      <c r="R15" s="770" t="s">
        <v>21</v>
      </c>
      <c r="S15" s="771">
        <f t="shared" si="0"/>
        <v>100</v>
      </c>
      <c r="T15" s="770" t="s">
        <v>21</v>
      </c>
      <c r="U15" s="771">
        <f t="shared" si="1"/>
        <v>100</v>
      </c>
      <c r="V15" s="770" t="s">
        <v>21</v>
      </c>
      <c r="W15" s="771">
        <f t="shared" si="2"/>
        <v>100</v>
      </c>
      <c r="X15" s="2946"/>
      <c r="Y15" s="3383" t="s">
        <v>2547</v>
      </c>
      <c r="Z15" s="2947" t="str">
        <f t="shared" si="7"/>
        <v>居住社区成熟度</v>
      </c>
      <c r="AA15" s="2945">
        <f t="shared" si="3"/>
        <v>1</v>
      </c>
      <c r="AB15" s="2945">
        <f t="shared" si="4"/>
        <v>1</v>
      </c>
      <c r="AC15" s="2945">
        <f t="shared" si="5"/>
        <v>1</v>
      </c>
    </row>
    <row r="16" spans="1:29" ht="15">
      <c r="A16" s="424"/>
      <c r="B16" s="442"/>
      <c r="C16" s="443"/>
      <c r="D16" s="444"/>
      <c r="E16" s="2594"/>
      <c r="F16" s="444"/>
      <c r="G16" s="2595"/>
      <c r="H16" s="446"/>
      <c r="I16" s="2595"/>
      <c r="J16" s="444"/>
      <c r="K16" s="2596"/>
      <c r="L16" s="1133"/>
      <c r="M16" s="1124"/>
      <c r="N16" s="1124"/>
      <c r="O16" s="1124"/>
      <c r="P16" s="3401"/>
      <c r="Q16" s="2944"/>
      <c r="R16" s="770"/>
      <c r="S16" s="771"/>
      <c r="T16" s="770"/>
      <c r="U16" s="771"/>
      <c r="V16" s="770"/>
      <c r="W16" s="771"/>
      <c r="X16" s="2946"/>
      <c r="Y16" s="3384"/>
      <c r="Z16" s="2947"/>
      <c r="AA16" s="2945">
        <v>1</v>
      </c>
      <c r="AB16" s="2945">
        <v>1</v>
      </c>
      <c r="AC16" s="2945">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100</v>
      </c>
      <c r="G17" s="448"/>
      <c r="H17" s="451">
        <f>SUMIF(78:78,G18,79:79)-SUMIF(78:78,C18,79:79)+100</f>
        <v>100</v>
      </c>
      <c r="I17" s="448"/>
      <c r="J17" s="451">
        <f>SUMIF(78:78,I18,79:79)-SUMIF(78:78,C18,79:79)+100</f>
        <v>100</v>
      </c>
      <c r="K17" s="441"/>
      <c r="L17" s="1133"/>
      <c r="M17" s="1124"/>
      <c r="N17" s="1124"/>
      <c r="O17" s="1124"/>
      <c r="P17" s="3401"/>
      <c r="Q17" s="2944" t="str">
        <f>B17</f>
        <v>交通便捷度</v>
      </c>
      <c r="R17" s="770" t="s">
        <v>21</v>
      </c>
      <c r="S17" s="771">
        <f>F17</f>
        <v>100</v>
      </c>
      <c r="T17" s="770" t="s">
        <v>21</v>
      </c>
      <c r="U17" s="771">
        <f>H17</f>
        <v>100</v>
      </c>
      <c r="V17" s="770" t="s">
        <v>21</v>
      </c>
      <c r="W17" s="771">
        <f>J17</f>
        <v>100</v>
      </c>
      <c r="X17" s="2946"/>
      <c r="Y17" s="3384"/>
      <c r="Z17" s="2947" t="str">
        <f>Q17</f>
        <v>交通便捷度</v>
      </c>
      <c r="AA17" s="2945">
        <f t="shared" si="3"/>
        <v>1</v>
      </c>
      <c r="AB17" s="2945">
        <f t="shared" si="4"/>
        <v>1</v>
      </c>
      <c r="AC17" s="2945">
        <f t="shared" si="5"/>
        <v>1</v>
      </c>
    </row>
    <row r="18" spans="1:29" ht="15">
      <c r="A18" s="424"/>
      <c r="B18" s="452"/>
      <c r="C18" s="2598"/>
      <c r="D18" s="446"/>
      <c r="E18" s="2599"/>
      <c r="F18" s="446"/>
      <c r="G18" s="2600"/>
      <c r="H18" s="444"/>
      <c r="I18" s="2600"/>
      <c r="J18" s="444"/>
      <c r="K18" s="2596"/>
      <c r="L18" s="1133"/>
      <c r="M18" s="1124"/>
      <c r="N18" s="1124"/>
      <c r="O18" s="1124"/>
      <c r="P18" s="3401"/>
      <c r="Q18" s="2944"/>
      <c r="R18" s="770"/>
      <c r="S18" s="771"/>
      <c r="T18" s="770"/>
      <c r="U18" s="771"/>
      <c r="V18" s="770"/>
      <c r="W18" s="771"/>
      <c r="X18" s="2946"/>
      <c r="Y18" s="3384"/>
      <c r="Z18" s="2947"/>
      <c r="AA18" s="2945">
        <v>1</v>
      </c>
      <c r="AB18" s="2945">
        <v>1</v>
      </c>
      <c r="AC18" s="2945">
        <v>1</v>
      </c>
    </row>
    <row r="19" spans="1:29" ht="15">
      <c r="A19" s="424"/>
      <c r="B19" s="447" t="s">
        <v>2089</v>
      </c>
      <c r="C19" s="2597">
        <f>估价对象房地状况!C7</f>
        <v>0</v>
      </c>
      <c r="D19" s="451">
        <v>100</v>
      </c>
      <c r="E19" s="455"/>
      <c r="F19" s="451">
        <f>SUMIF(80:80,E20,81:81)-SUMIF(80:80,C20,81:81)+100</f>
        <v>100</v>
      </c>
      <c r="G19" s="453"/>
      <c r="H19" s="446">
        <f>SUMIF(80:80,G20,81:81)-SUMIF(80:80,C20,81:81)+100</f>
        <v>100</v>
      </c>
      <c r="I19" s="453"/>
      <c r="J19" s="446">
        <f>SUMIF(80:80,I20,81:81)-SUMIF(80:80,C20,81:81)+100</f>
        <v>100</v>
      </c>
      <c r="K19" s="441"/>
      <c r="L19" s="1133"/>
      <c r="M19" s="1124"/>
      <c r="N19" s="1124"/>
      <c r="O19" s="1124"/>
      <c r="P19" s="3401"/>
      <c r="Q19" s="2944" t="str">
        <f>B19</f>
        <v>公共配套设施</v>
      </c>
      <c r="R19" s="770" t="s">
        <v>21</v>
      </c>
      <c r="S19" s="771">
        <f>F19</f>
        <v>100</v>
      </c>
      <c r="T19" s="770" t="s">
        <v>21</v>
      </c>
      <c r="U19" s="771">
        <f>H19</f>
        <v>100</v>
      </c>
      <c r="V19" s="770" t="s">
        <v>21</v>
      </c>
      <c r="W19" s="771">
        <f>J19</f>
        <v>100</v>
      </c>
      <c r="X19" s="2946"/>
      <c r="Y19" s="3384"/>
      <c r="Z19" s="2947" t="str">
        <f>Q19</f>
        <v>公共配套设施</v>
      </c>
      <c r="AA19" s="2945">
        <f t="shared" si="3"/>
        <v>1</v>
      </c>
      <c r="AB19" s="2945">
        <f t="shared" si="4"/>
        <v>1</v>
      </c>
      <c r="AC19" s="2945">
        <f t="shared" si="5"/>
        <v>1</v>
      </c>
    </row>
    <row r="20" spans="1:29" ht="15">
      <c r="A20" s="424"/>
      <c r="B20" s="452"/>
      <c r="C20" s="443"/>
      <c r="D20" s="444"/>
      <c r="E20" s="2594"/>
      <c r="F20" s="444"/>
      <c r="G20" s="2595"/>
      <c r="H20" s="444"/>
      <c r="I20" s="2595"/>
      <c r="J20" s="444"/>
      <c r="K20" s="2596"/>
      <c r="L20" s="1133"/>
      <c r="M20" s="1124"/>
      <c r="N20" s="1124"/>
      <c r="O20" s="1124"/>
      <c r="P20" s="3401"/>
      <c r="Q20" s="2944"/>
      <c r="R20" s="770"/>
      <c r="S20" s="771"/>
      <c r="T20" s="770"/>
      <c r="U20" s="771"/>
      <c r="V20" s="770"/>
      <c r="W20" s="771"/>
      <c r="X20" s="2946"/>
      <c r="Y20" s="3384"/>
      <c r="Z20" s="2947"/>
      <c r="AA20" s="2945">
        <v>1</v>
      </c>
      <c r="AB20" s="2945">
        <v>1</v>
      </c>
      <c r="AC20" s="2945">
        <v>1</v>
      </c>
    </row>
    <row r="21" spans="1:29" ht="15">
      <c r="A21" s="424"/>
      <c r="B21" s="1377" t="s">
        <v>2091</v>
      </c>
      <c r="C21" s="2597">
        <f>估价对象房地状况!C8</f>
        <v>0</v>
      </c>
      <c r="D21" s="446">
        <v>100</v>
      </c>
      <c r="E21" s="455"/>
      <c r="F21" s="451">
        <f>SUMIF(82:82,E22,83:83)-SUMIF(82:82,C22,83:83)+100</f>
        <v>100</v>
      </c>
      <c r="G21" s="453"/>
      <c r="H21" s="446">
        <f>SUMIF(82:82,G22,83:83)-SUMIF(82:82,C22,83:83)+100</f>
        <v>100</v>
      </c>
      <c r="I21" s="453"/>
      <c r="J21" s="446">
        <f>SUMIF(82:82,I22,83:83)-SUMIF(82:82,C22,83:83)+100</f>
        <v>100</v>
      </c>
      <c r="K21" s="441"/>
      <c r="L21" s="1133"/>
      <c r="M21" s="1124"/>
      <c r="N21" s="1124"/>
      <c r="O21" s="1124"/>
      <c r="P21" s="3401"/>
      <c r="Q21" s="2944" t="str">
        <f>B21</f>
        <v>基础设施水平</v>
      </c>
      <c r="R21" s="770" t="s">
        <v>17</v>
      </c>
      <c r="S21" s="771">
        <f>F21</f>
        <v>100</v>
      </c>
      <c r="T21" s="770" t="s">
        <v>17</v>
      </c>
      <c r="U21" s="771">
        <f>H21</f>
        <v>100</v>
      </c>
      <c r="V21" s="770" t="s">
        <v>17</v>
      </c>
      <c r="W21" s="771">
        <f>J21</f>
        <v>100</v>
      </c>
      <c r="X21" s="2946"/>
      <c r="Y21" s="3384"/>
      <c r="Z21" s="2947" t="str">
        <f>Q21</f>
        <v>基础设施水平</v>
      </c>
      <c r="AA21" s="2945">
        <f t="shared" ref="AA21" si="8">D21/F21</f>
        <v>1</v>
      </c>
      <c r="AB21" s="2945">
        <f t="shared" ref="AB21" si="9">D21/H21</f>
        <v>1</v>
      </c>
      <c r="AC21" s="2945">
        <f t="shared" ref="AC21" si="10">D21/J21</f>
        <v>1</v>
      </c>
    </row>
    <row r="22" spans="1:29" ht="15">
      <c r="A22" s="424"/>
      <c r="B22" s="1377"/>
      <c r="C22" s="2598"/>
      <c r="D22" s="444"/>
      <c r="E22" s="443"/>
      <c r="F22" s="444"/>
      <c r="G22" s="2601"/>
      <c r="H22" s="444"/>
      <c r="I22" s="443"/>
      <c r="J22" s="444"/>
      <c r="K22" s="2602"/>
      <c r="L22" s="1133"/>
      <c r="M22" s="1124"/>
      <c r="N22" s="1124"/>
      <c r="O22" s="1124"/>
      <c r="P22" s="3401"/>
      <c r="Q22" s="2944"/>
      <c r="R22" s="770"/>
      <c r="S22" s="771"/>
      <c r="T22" s="770"/>
      <c r="U22" s="771"/>
      <c r="V22" s="770"/>
      <c r="W22" s="771"/>
      <c r="X22" s="2946"/>
      <c r="Y22" s="3384"/>
      <c r="Z22" s="2947"/>
      <c r="AA22" s="2945">
        <v>1</v>
      </c>
      <c r="AB22" s="2945">
        <v>1</v>
      </c>
      <c r="AC22" s="2945">
        <v>1</v>
      </c>
    </row>
    <row r="23" spans="1:29" ht="15">
      <c r="A23" s="424"/>
      <c r="B23" s="447" t="s">
        <v>2093</v>
      </c>
      <c r="C23" s="2597">
        <f>估价对象房地状况!C9</f>
        <v>0</v>
      </c>
      <c r="D23" s="446">
        <v>100</v>
      </c>
      <c r="E23" s="450"/>
      <c r="F23" s="446">
        <f>SUMIF(84:84,E24,85:85)-SUMIF(84:84,C24,85:85)+100</f>
        <v>100</v>
      </c>
      <c r="G23" s="448"/>
      <c r="H23" s="446">
        <f>SUMIF(84:84,G24,85:85)-SUMIF(84:84,C24,85:85)+100</f>
        <v>100</v>
      </c>
      <c r="I23" s="448"/>
      <c r="J23" s="446">
        <f>SUMIF(84:84,I24,85:85)-SUMIF(84:84,C24,85:85)+100</f>
        <v>100</v>
      </c>
      <c r="K23" s="441"/>
      <c r="L23" s="1133"/>
      <c r="M23" s="1124"/>
      <c r="N23" s="1124"/>
      <c r="O23" s="1124"/>
      <c r="P23" s="3401"/>
      <c r="Q23" s="2944" t="str">
        <f>B23</f>
        <v>自然及人文环境</v>
      </c>
      <c r="R23" s="770" t="s">
        <v>21</v>
      </c>
      <c r="S23" s="771">
        <f>F23</f>
        <v>100</v>
      </c>
      <c r="T23" s="770" t="s">
        <v>21</v>
      </c>
      <c r="U23" s="771">
        <f>H23</f>
        <v>100</v>
      </c>
      <c r="V23" s="770" t="s">
        <v>21</v>
      </c>
      <c r="W23" s="771">
        <f>J23</f>
        <v>100</v>
      </c>
      <c r="X23" s="2946"/>
      <c r="Y23" s="3384"/>
      <c r="Z23" s="2947" t="str">
        <f>Q23</f>
        <v>自然及人文环境</v>
      </c>
      <c r="AA23" s="2945">
        <f>D23/F23</f>
        <v>1</v>
      </c>
      <c r="AB23" s="2945">
        <f>D23/H23</f>
        <v>1</v>
      </c>
      <c r="AC23" s="2945">
        <f>D23/J23</f>
        <v>1</v>
      </c>
    </row>
    <row r="24" spans="1:29" ht="15">
      <c r="A24" s="424"/>
      <c r="B24" s="452"/>
      <c r="C24" s="443"/>
      <c r="D24" s="444"/>
      <c r="E24" s="2594"/>
      <c r="F24" s="444"/>
      <c r="G24" s="2595"/>
      <c r="H24" s="444"/>
      <c r="I24" s="2595"/>
      <c r="J24" s="444"/>
      <c r="K24" s="2596"/>
      <c r="L24" s="1133"/>
      <c r="M24" s="1124"/>
      <c r="N24" s="1124"/>
      <c r="O24" s="1124"/>
      <c r="P24" s="3401"/>
      <c r="Q24" s="2944"/>
      <c r="R24" s="770"/>
      <c r="S24" s="771"/>
      <c r="T24" s="770"/>
      <c r="U24" s="771"/>
      <c r="V24" s="770"/>
      <c r="W24" s="771"/>
      <c r="X24" s="2946"/>
      <c r="Y24" s="3384"/>
      <c r="Z24" s="2947"/>
      <c r="AA24" s="2945">
        <v>1</v>
      </c>
      <c r="AB24" s="2945">
        <v>1</v>
      </c>
      <c r="AC24" s="2945">
        <v>1</v>
      </c>
    </row>
    <row r="25" spans="1:29" ht="15">
      <c r="A25" s="424"/>
      <c r="B25" s="2938" t="s">
        <v>2548</v>
      </c>
      <c r="C25" s="456"/>
      <c r="D25" s="431">
        <v>100</v>
      </c>
      <c r="E25" s="2603"/>
      <c r="F25" s="431">
        <f>SUMIF(86:86,E25,87:87)-SUMIF(86:86,C25,87:87)+100</f>
        <v>100</v>
      </c>
      <c r="G25" s="2604"/>
      <c r="H25" s="431">
        <f>SUMIF(86:86,G25,87:87)-SUMIF(86:86,C25,87:87)+100</f>
        <v>100</v>
      </c>
      <c r="I25" s="2604"/>
      <c r="J25" s="431">
        <f>SUMIF(86:86,I25,87:87)-SUMIF(86:86,C25,87:87)+100</f>
        <v>100</v>
      </c>
      <c r="K25" s="422"/>
      <c r="L25" s="1133"/>
      <c r="M25" s="1124"/>
      <c r="N25" s="1124"/>
      <c r="O25" s="1124"/>
      <c r="P25" s="3401"/>
      <c r="Q25" s="2944" t="str">
        <f t="shared" ref="Q25:Q46" si="11">B25</f>
        <v>楼层-1</v>
      </c>
      <c r="R25" s="770" t="s">
        <v>21</v>
      </c>
      <c r="S25" s="771">
        <f t="shared" ref="S25:S46" si="12">F25</f>
        <v>100</v>
      </c>
      <c r="T25" s="770" t="s">
        <v>21</v>
      </c>
      <c r="U25" s="771">
        <f t="shared" ref="U25:U46" si="13">H25</f>
        <v>100</v>
      </c>
      <c r="V25" s="770" t="s">
        <v>21</v>
      </c>
      <c r="W25" s="771">
        <f t="shared" ref="W25:W46" si="14">J25</f>
        <v>100</v>
      </c>
      <c r="X25" s="2946"/>
      <c r="Y25" s="3384"/>
      <c r="Z25" s="2947" t="str">
        <f>Q25</f>
        <v>楼层-1</v>
      </c>
      <c r="AA25" s="2945">
        <f t="shared" ref="AA25:AA46" si="15">D25/F25</f>
        <v>1</v>
      </c>
      <c r="AB25" s="2945">
        <f t="shared" ref="AB25:AB46" si="16">D25/H25</f>
        <v>1</v>
      </c>
      <c r="AC25" s="2945">
        <f t="shared" ref="AC25:AC46" si="17">D25/J25</f>
        <v>1</v>
      </c>
    </row>
    <row r="26" spans="1:29" ht="15">
      <c r="A26" s="424"/>
      <c r="B26" s="2938" t="s">
        <v>2549</v>
      </c>
      <c r="C26" s="456"/>
      <c r="D26" s="431">
        <v>100</v>
      </c>
      <c r="E26" s="2603"/>
      <c r="F26" s="431">
        <f>SUMIF(88:88,E26,89:89)-SUMIF(88:88,C26,89:89)+100</f>
        <v>100</v>
      </c>
      <c r="G26" s="2604"/>
      <c r="H26" s="431">
        <f>SUMIF(88:88,G26,89:89)-SUMIF(88:88,C26,89:89)+100</f>
        <v>100</v>
      </c>
      <c r="I26" s="2604"/>
      <c r="J26" s="431">
        <f>SUMIF(88:88,I26,89:89)-SUMIF(88:88,C26,89:89)+100</f>
        <v>100</v>
      </c>
      <c r="K26" s="422"/>
      <c r="L26" s="1133"/>
      <c r="M26" s="1124"/>
      <c r="N26" s="1124"/>
      <c r="O26" s="1124"/>
      <c r="P26" s="3401"/>
      <c r="Q26" s="2944" t="str">
        <f t="shared" si="11"/>
        <v>朝向</v>
      </c>
      <c r="R26" s="770" t="s">
        <v>21</v>
      </c>
      <c r="S26" s="771">
        <f t="shared" si="12"/>
        <v>100</v>
      </c>
      <c r="T26" s="770" t="s">
        <v>21</v>
      </c>
      <c r="U26" s="771">
        <f t="shared" si="13"/>
        <v>100</v>
      </c>
      <c r="V26" s="770" t="s">
        <v>21</v>
      </c>
      <c r="W26" s="771">
        <f t="shared" si="14"/>
        <v>100</v>
      </c>
      <c r="X26" s="2946"/>
      <c r="Y26" s="3384"/>
      <c r="Z26" s="2947" t="str">
        <f>Q26</f>
        <v>朝向</v>
      </c>
      <c r="AA26" s="2945">
        <f t="shared" si="15"/>
        <v>1</v>
      </c>
      <c r="AB26" s="2945">
        <f t="shared" si="16"/>
        <v>1</v>
      </c>
      <c r="AC26" s="2945">
        <f t="shared" si="17"/>
        <v>1</v>
      </c>
    </row>
    <row r="27" spans="1:29" s="116" customFormat="1" ht="15">
      <c r="A27" s="427"/>
      <c r="B27" s="1379"/>
      <c r="C27" s="428"/>
      <c r="D27" s="458">
        <v>100</v>
      </c>
      <c r="E27" s="461"/>
      <c r="F27" s="458">
        <f>SUMIF(90:90,E27,91:91)-SUMIF(90:90,C27,91:91)+100</f>
        <v>100</v>
      </c>
      <c r="G27" s="459"/>
      <c r="H27" s="458">
        <f>SUMIF(90:90,G27,91:91)-SUMIF(90:90,C27,91:91)+100</f>
        <v>100</v>
      </c>
      <c r="I27" s="459"/>
      <c r="J27" s="458">
        <f>SUMIF(90:90,I27,91:91)-SUMIF(90:90,C27,91:91)+100</f>
        <v>100</v>
      </c>
      <c r="K27" s="2591"/>
      <c r="L27" s="1125"/>
      <c r="M27" s="1126"/>
      <c r="N27" s="1126"/>
      <c r="O27" s="1126"/>
      <c r="P27" s="3401"/>
      <c r="Q27" s="2932">
        <f t="shared" si="11"/>
        <v>0</v>
      </c>
      <c r="R27" s="766" t="s">
        <v>21</v>
      </c>
      <c r="S27" s="767">
        <f t="shared" si="12"/>
        <v>100</v>
      </c>
      <c r="T27" s="766" t="s">
        <v>21</v>
      </c>
      <c r="U27" s="767">
        <f t="shared" si="13"/>
        <v>100</v>
      </c>
      <c r="V27" s="766" t="s">
        <v>21</v>
      </c>
      <c r="W27" s="767">
        <f t="shared" si="14"/>
        <v>100</v>
      </c>
      <c r="X27" s="768"/>
      <c r="Y27" s="3384"/>
      <c r="Z27" s="2933">
        <f>Q27</f>
        <v>0</v>
      </c>
      <c r="AA27" s="2945">
        <f t="shared" si="15"/>
        <v>1</v>
      </c>
      <c r="AB27" s="2945">
        <f t="shared" si="16"/>
        <v>1</v>
      </c>
      <c r="AC27" s="2945">
        <f t="shared" si="17"/>
        <v>1</v>
      </c>
    </row>
    <row r="28" spans="1:29" ht="15">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01"/>
      <c r="Q28" s="2944">
        <f t="shared" si="11"/>
        <v>0</v>
      </c>
      <c r="R28" s="770" t="s">
        <v>21</v>
      </c>
      <c r="S28" s="771">
        <f t="shared" si="12"/>
        <v>100</v>
      </c>
      <c r="T28" s="770" t="s">
        <v>21</v>
      </c>
      <c r="U28" s="771">
        <f t="shared" si="13"/>
        <v>100</v>
      </c>
      <c r="V28" s="770" t="s">
        <v>21</v>
      </c>
      <c r="W28" s="771">
        <f t="shared" si="14"/>
        <v>100</v>
      </c>
      <c r="X28" s="2946"/>
      <c r="Y28" s="3384"/>
      <c r="Z28" s="2947">
        <f t="shared" ref="Z28:Z46" si="18">Q28</f>
        <v>0</v>
      </c>
      <c r="AA28" s="2945">
        <f t="shared" si="15"/>
        <v>1</v>
      </c>
      <c r="AB28" s="2945">
        <f t="shared" si="16"/>
        <v>1</v>
      </c>
      <c r="AC28" s="2945">
        <f t="shared" si="17"/>
        <v>1</v>
      </c>
    </row>
    <row r="29" spans="1:29" ht="15">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01"/>
      <c r="Q29" s="2944">
        <f t="shared" si="11"/>
        <v>0</v>
      </c>
      <c r="R29" s="770" t="s">
        <v>21</v>
      </c>
      <c r="S29" s="771">
        <f t="shared" si="12"/>
        <v>100</v>
      </c>
      <c r="T29" s="770" t="s">
        <v>21</v>
      </c>
      <c r="U29" s="771">
        <f t="shared" si="13"/>
        <v>100</v>
      </c>
      <c r="V29" s="770" t="s">
        <v>21</v>
      </c>
      <c r="W29" s="771">
        <f t="shared" si="14"/>
        <v>100</v>
      </c>
      <c r="X29" s="2946"/>
      <c r="Y29" s="3384"/>
      <c r="Z29" s="2947">
        <f t="shared" si="18"/>
        <v>0</v>
      </c>
      <c r="AA29" s="2945">
        <f t="shared" si="15"/>
        <v>1</v>
      </c>
      <c r="AB29" s="2945">
        <f t="shared" si="16"/>
        <v>1</v>
      </c>
      <c r="AC29" s="2945">
        <f t="shared" si="17"/>
        <v>1</v>
      </c>
    </row>
    <row r="30" spans="1:29" ht="15">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01"/>
      <c r="Q30" s="2944">
        <f t="shared" si="11"/>
        <v>0</v>
      </c>
      <c r="R30" s="770" t="s">
        <v>21</v>
      </c>
      <c r="S30" s="771">
        <f t="shared" si="12"/>
        <v>100</v>
      </c>
      <c r="T30" s="770" t="s">
        <v>21</v>
      </c>
      <c r="U30" s="771">
        <f t="shared" si="13"/>
        <v>100</v>
      </c>
      <c r="V30" s="770" t="s">
        <v>21</v>
      </c>
      <c r="W30" s="771">
        <f t="shared" si="14"/>
        <v>100</v>
      </c>
      <c r="X30" s="2946"/>
      <c r="Y30" s="3384"/>
      <c r="Z30" s="2947">
        <f t="shared" si="18"/>
        <v>0</v>
      </c>
      <c r="AA30" s="2945">
        <f t="shared" si="15"/>
        <v>1</v>
      </c>
      <c r="AB30" s="2945">
        <f t="shared" si="16"/>
        <v>1</v>
      </c>
      <c r="AC30" s="2945">
        <f t="shared" si="17"/>
        <v>1</v>
      </c>
    </row>
    <row r="31" spans="1:29" ht="15.75"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01"/>
      <c r="Q31" s="2944">
        <f t="shared" si="11"/>
        <v>0</v>
      </c>
      <c r="R31" s="770" t="s">
        <v>21</v>
      </c>
      <c r="S31" s="771">
        <f t="shared" si="12"/>
        <v>100</v>
      </c>
      <c r="T31" s="770" t="s">
        <v>21</v>
      </c>
      <c r="U31" s="771">
        <f t="shared" si="13"/>
        <v>100</v>
      </c>
      <c r="V31" s="770" t="s">
        <v>21</v>
      </c>
      <c r="W31" s="771">
        <f t="shared" si="14"/>
        <v>100</v>
      </c>
      <c r="X31" s="2946"/>
      <c r="Y31" s="3384"/>
      <c r="Z31" s="2947">
        <f t="shared" si="18"/>
        <v>0</v>
      </c>
      <c r="AA31" s="2945">
        <f t="shared" si="15"/>
        <v>1</v>
      </c>
      <c r="AB31" s="2945">
        <f t="shared" si="16"/>
        <v>1</v>
      </c>
      <c r="AC31" s="2945">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02" t="s">
        <v>2552</v>
      </c>
      <c r="Q32" s="2944" t="str">
        <f t="shared" si="11"/>
        <v>建筑类型</v>
      </c>
      <c r="R32" s="770" t="s">
        <v>21</v>
      </c>
      <c r="S32" s="771">
        <f t="shared" si="12"/>
        <v>100</v>
      </c>
      <c r="T32" s="770" t="s">
        <v>21</v>
      </c>
      <c r="U32" s="771">
        <f t="shared" si="13"/>
        <v>100</v>
      </c>
      <c r="V32" s="770" t="s">
        <v>21</v>
      </c>
      <c r="W32" s="771">
        <f t="shared" si="14"/>
        <v>100</v>
      </c>
      <c r="X32" s="2946"/>
      <c r="Y32" s="3386" t="s">
        <v>2552</v>
      </c>
      <c r="Z32" s="2947" t="str">
        <f t="shared" si="18"/>
        <v>建筑类型</v>
      </c>
      <c r="AA32" s="2945">
        <f t="shared" si="15"/>
        <v>1</v>
      </c>
      <c r="AB32" s="2945">
        <f t="shared" si="16"/>
        <v>1</v>
      </c>
      <c r="AC32" s="2945">
        <f t="shared" si="17"/>
        <v>1</v>
      </c>
    </row>
    <row r="33" spans="1:29" s="467" customFormat="1" ht="15">
      <c r="A33" s="464"/>
      <c r="B33" s="2938" t="s">
        <v>2553</v>
      </c>
      <c r="C33" s="465"/>
      <c r="D33" s="133">
        <v>100</v>
      </c>
      <c r="E33" s="426"/>
      <c r="F33" s="421" t="e">
        <f>LOOKUP(E33,103:103,104:104)-LOOKUP(C33,103:103,104:104)+100</f>
        <v>#N/A</v>
      </c>
      <c r="G33" s="425"/>
      <c r="H33" s="133" t="e">
        <f>LOOKUP(G33,103:103,104:104)-LOOKUP(C33,103:103,104:104)+100</f>
        <v>#N/A</v>
      </c>
      <c r="I33" s="426"/>
      <c r="J33" s="133" t="e">
        <f>LOOKUP(I33,103:103,104:104)-LOOKUP(C33,103:103,104:104)+100</f>
        <v>#N/A</v>
      </c>
      <c r="K33" s="2591"/>
      <c r="L33" s="1131"/>
      <c r="M33" s="1134"/>
      <c r="N33" s="1134"/>
      <c r="O33" s="1134"/>
      <c r="P33" s="3403"/>
      <c r="Q33" s="772" t="str">
        <f t="shared" si="11"/>
        <v>项目建筑规模</v>
      </c>
      <c r="R33" s="773" t="s">
        <v>21</v>
      </c>
      <c r="S33" s="774" t="e">
        <f t="shared" si="12"/>
        <v>#N/A</v>
      </c>
      <c r="T33" s="773" t="s">
        <v>21</v>
      </c>
      <c r="U33" s="774" t="e">
        <f t="shared" si="13"/>
        <v>#N/A</v>
      </c>
      <c r="V33" s="773" t="s">
        <v>21</v>
      </c>
      <c r="W33" s="774" t="e">
        <f t="shared" si="14"/>
        <v>#N/A</v>
      </c>
      <c r="X33" s="775"/>
      <c r="Y33" s="3386"/>
      <c r="Z33" s="776" t="str">
        <f t="shared" si="18"/>
        <v>项目建筑规模</v>
      </c>
      <c r="AA33" s="2945" t="e">
        <f t="shared" si="15"/>
        <v>#N/A</v>
      </c>
      <c r="AB33" s="2945" t="e">
        <f t="shared" si="16"/>
        <v>#N/A</v>
      </c>
      <c r="AC33" s="2945" t="e">
        <f t="shared" si="17"/>
        <v>#N/A</v>
      </c>
    </row>
    <row r="34" spans="1:29" ht="15">
      <c r="A34" s="468"/>
      <c r="B34" s="2938" t="s">
        <v>2554</v>
      </c>
      <c r="C34" s="2609"/>
      <c r="D34" s="431">
        <v>100</v>
      </c>
      <c r="E34" s="2610"/>
      <c r="F34" s="457">
        <f>SUMIF(105:105,E34,106:106)-SUMIF(105:105,C34,106:106)+100</f>
        <v>100</v>
      </c>
      <c r="G34" s="2609"/>
      <c r="H34" s="431">
        <f>SUMIF(105:105,G34,106:106)-SUMIF(105:105,C34,106:106)+100</f>
        <v>100</v>
      </c>
      <c r="I34" s="2610"/>
      <c r="J34" s="431">
        <f>SUMIF(105:105,I34,106:106)-SUMIF(105:105,C34,106:106)+100</f>
        <v>100</v>
      </c>
      <c r="K34" s="422"/>
      <c r="L34" s="1133"/>
      <c r="M34" s="1124"/>
      <c r="N34" s="1124"/>
      <c r="O34" s="1124"/>
      <c r="P34" s="3403"/>
      <c r="Q34" s="2944" t="str">
        <f t="shared" si="11"/>
        <v>建筑结构</v>
      </c>
      <c r="R34" s="770" t="s">
        <v>21</v>
      </c>
      <c r="S34" s="771">
        <f t="shared" si="12"/>
        <v>100</v>
      </c>
      <c r="T34" s="770" t="s">
        <v>21</v>
      </c>
      <c r="U34" s="771">
        <f t="shared" si="13"/>
        <v>100</v>
      </c>
      <c r="V34" s="770" t="s">
        <v>21</v>
      </c>
      <c r="W34" s="771">
        <f t="shared" si="14"/>
        <v>100</v>
      </c>
      <c r="X34" s="2946"/>
      <c r="Y34" s="3386"/>
      <c r="Z34" s="2947" t="str">
        <f t="shared" si="18"/>
        <v>建筑结构</v>
      </c>
      <c r="AA34" s="2945">
        <f t="shared" si="15"/>
        <v>1</v>
      </c>
      <c r="AB34" s="2945">
        <f t="shared" si="16"/>
        <v>1</v>
      </c>
      <c r="AC34" s="2945">
        <f t="shared" si="17"/>
        <v>1</v>
      </c>
    </row>
    <row r="35" spans="1:29" ht="15">
      <c r="A35" s="468"/>
      <c r="B35" s="2938" t="s">
        <v>2555</v>
      </c>
      <c r="C35" s="2603"/>
      <c r="D35" s="431">
        <v>100</v>
      </c>
      <c r="E35" s="2604"/>
      <c r="F35" s="457">
        <f>SUMIF(107:107,E35,108:108)-SUMIF(107:107,C35,108:108)+100</f>
        <v>100</v>
      </c>
      <c r="G35" s="2603"/>
      <c r="H35" s="431">
        <f>SUMIF(107:107,G35,108:108)-SUMIF(107:107,C35,108:108)+100</f>
        <v>100</v>
      </c>
      <c r="I35" s="2604"/>
      <c r="J35" s="431">
        <f>SUMIF(107:107,I35,108:108)-SUMIF(107:107,C35,108:108)+100</f>
        <v>100</v>
      </c>
      <c r="K35" s="422"/>
      <c r="L35" s="1133"/>
      <c r="M35" s="1124"/>
      <c r="N35" s="1124"/>
      <c r="O35" s="1124"/>
      <c r="P35" s="3403"/>
      <c r="Q35" s="2944" t="str">
        <f t="shared" si="11"/>
        <v>建筑品质</v>
      </c>
      <c r="R35" s="770" t="s">
        <v>21</v>
      </c>
      <c r="S35" s="771">
        <f t="shared" si="12"/>
        <v>100</v>
      </c>
      <c r="T35" s="770" t="s">
        <v>21</v>
      </c>
      <c r="U35" s="771">
        <f t="shared" si="13"/>
        <v>100</v>
      </c>
      <c r="V35" s="770" t="s">
        <v>21</v>
      </c>
      <c r="W35" s="771">
        <f t="shared" si="14"/>
        <v>100</v>
      </c>
      <c r="X35" s="2946"/>
      <c r="Y35" s="3386"/>
      <c r="Z35" s="2947" t="str">
        <f t="shared" si="18"/>
        <v>建筑品质</v>
      </c>
      <c r="AA35" s="2945">
        <f t="shared" si="15"/>
        <v>1</v>
      </c>
      <c r="AB35" s="2945">
        <f t="shared" si="16"/>
        <v>1</v>
      </c>
      <c r="AC35" s="2945">
        <f t="shared" si="17"/>
        <v>1</v>
      </c>
    </row>
    <row r="36" spans="1:29" ht="15">
      <c r="A36" s="468"/>
      <c r="B36" s="2938" t="s">
        <v>2556</v>
      </c>
      <c r="C36" s="2603"/>
      <c r="D36" s="431">
        <v>100</v>
      </c>
      <c r="E36" s="2604"/>
      <c r="F36" s="457">
        <f>SUMIF(109:109,E36,110:110)-SUMIF(109:109,C36,110:110)+100</f>
        <v>100</v>
      </c>
      <c r="G36" s="2603"/>
      <c r="H36" s="431">
        <f>SUMIF(109:109,G36,110:110)-SUMIF(109:109,C36,110:110)+100</f>
        <v>100</v>
      </c>
      <c r="I36" s="2604"/>
      <c r="J36" s="431">
        <f>SUMIF(109:109,I36,110:110)-SUMIF(109:109,C36,110:110)+100</f>
        <v>100</v>
      </c>
      <c r="K36" s="422"/>
      <c r="L36" s="1133"/>
      <c r="M36" s="1124"/>
      <c r="N36" s="1124"/>
      <c r="O36" s="1124"/>
      <c r="P36" s="3403"/>
      <c r="Q36" s="2944" t="str">
        <f t="shared" si="11"/>
        <v>公共部分装修</v>
      </c>
      <c r="R36" s="770" t="s">
        <v>21</v>
      </c>
      <c r="S36" s="771">
        <f t="shared" si="12"/>
        <v>100</v>
      </c>
      <c r="T36" s="770" t="s">
        <v>21</v>
      </c>
      <c r="U36" s="771">
        <f t="shared" si="13"/>
        <v>100</v>
      </c>
      <c r="V36" s="770" t="s">
        <v>21</v>
      </c>
      <c r="W36" s="771">
        <f t="shared" si="14"/>
        <v>100</v>
      </c>
      <c r="X36" s="2946"/>
      <c r="Y36" s="3386"/>
      <c r="Z36" s="2947" t="str">
        <f t="shared" si="18"/>
        <v>公共部分装修</v>
      </c>
      <c r="AA36" s="2945">
        <f t="shared" si="15"/>
        <v>1</v>
      </c>
      <c r="AB36" s="2945">
        <f t="shared" si="16"/>
        <v>1</v>
      </c>
      <c r="AC36" s="2945">
        <f t="shared" si="17"/>
        <v>1</v>
      </c>
    </row>
    <row r="37" spans="1:29" s="116" customFormat="1" ht="15">
      <c r="A37" s="469"/>
      <c r="B37" s="2938" t="s">
        <v>2557</v>
      </c>
      <c r="C37" s="470"/>
      <c r="D37" s="133">
        <v>100</v>
      </c>
      <c r="E37" s="470"/>
      <c r="F37" s="421" t="e">
        <f>LOOKUP(E37,112:112,113:113)-LOOKUP(C37,112:112,113:113)+100</f>
        <v>#N/A</v>
      </c>
      <c r="G37" s="472"/>
      <c r="H37" s="133" t="e">
        <f>LOOKUP(G37,112:112,113:113)-LOOKUP(C37,112:112,113:113)+100</f>
        <v>#N/A</v>
      </c>
      <c r="I37" s="471"/>
      <c r="J37" s="133" t="e">
        <f>LOOKUP(I37,112:112,113:113)-LOOKUP(C37,112:112,113:113)+100</f>
        <v>#N/A</v>
      </c>
      <c r="K37" s="422"/>
      <c r="L37" s="1125"/>
      <c r="M37" s="1126"/>
      <c r="N37" s="1126"/>
      <c r="O37" s="1126"/>
      <c r="P37" s="3403"/>
      <c r="Q37" s="2932" t="str">
        <f t="shared" si="11"/>
        <v>成新度</v>
      </c>
      <c r="R37" s="766" t="s">
        <v>21</v>
      </c>
      <c r="S37" s="767" t="e">
        <f t="shared" si="12"/>
        <v>#N/A</v>
      </c>
      <c r="T37" s="766" t="s">
        <v>21</v>
      </c>
      <c r="U37" s="767" t="e">
        <f t="shared" si="13"/>
        <v>#N/A</v>
      </c>
      <c r="V37" s="766" t="s">
        <v>21</v>
      </c>
      <c r="W37" s="767" t="e">
        <f t="shared" si="14"/>
        <v>#N/A</v>
      </c>
      <c r="X37" s="768"/>
      <c r="Y37" s="3386"/>
      <c r="Z37" s="2933" t="str">
        <f t="shared" si="18"/>
        <v>成新度</v>
      </c>
      <c r="AA37" s="769" t="e">
        <f t="shared" si="15"/>
        <v>#N/A</v>
      </c>
      <c r="AB37" s="769" t="e">
        <f t="shared" si="16"/>
        <v>#N/A</v>
      </c>
      <c r="AC37" s="769" t="e">
        <f t="shared" si="17"/>
        <v>#N/A</v>
      </c>
    </row>
    <row r="38" spans="1:29" ht="15">
      <c r="A38" s="468"/>
      <c r="B38" s="2938" t="s">
        <v>2558</v>
      </c>
      <c r="C38" s="2603"/>
      <c r="D38" s="431">
        <v>100</v>
      </c>
      <c r="E38" s="2604"/>
      <c r="F38" s="457">
        <f>SUMIF(114:114,E38,115:115)-SUMIF(114:114,C38,115:115)+100</f>
        <v>100</v>
      </c>
      <c r="G38" s="2603"/>
      <c r="H38" s="431">
        <f>SUMIF(114:114,G38,115:115)-SUMIF(114:114,C38,115:115)+100</f>
        <v>100</v>
      </c>
      <c r="I38" s="2604"/>
      <c r="J38" s="431">
        <f>SUMIF(114:114,I38,115:115)-SUMIF(114:114,C38,115:115)+100</f>
        <v>100</v>
      </c>
      <c r="K38" s="422"/>
      <c r="L38" s="1133"/>
      <c r="M38" s="1124"/>
      <c r="N38" s="1124"/>
      <c r="O38" s="1124"/>
      <c r="P38" s="3403" t="s">
        <v>2552</v>
      </c>
      <c r="Q38" s="2944" t="str">
        <f t="shared" si="11"/>
        <v>物业管理</v>
      </c>
      <c r="R38" s="770" t="s">
        <v>21</v>
      </c>
      <c r="S38" s="771">
        <f t="shared" si="12"/>
        <v>100</v>
      </c>
      <c r="T38" s="770" t="s">
        <v>21</v>
      </c>
      <c r="U38" s="771">
        <f t="shared" si="13"/>
        <v>100</v>
      </c>
      <c r="V38" s="770" t="s">
        <v>21</v>
      </c>
      <c r="W38" s="771">
        <f t="shared" si="14"/>
        <v>100</v>
      </c>
      <c r="X38" s="2946"/>
      <c r="Y38" s="3386" t="s">
        <v>2552</v>
      </c>
      <c r="Z38" s="2947" t="str">
        <f t="shared" si="18"/>
        <v>物业管理</v>
      </c>
      <c r="AA38" s="2945">
        <f t="shared" si="15"/>
        <v>1</v>
      </c>
      <c r="AB38" s="2945">
        <f t="shared" si="16"/>
        <v>1</v>
      </c>
      <c r="AC38" s="2945">
        <f t="shared" si="17"/>
        <v>1</v>
      </c>
    </row>
    <row r="39" spans="1:29" ht="15">
      <c r="A39" s="468"/>
      <c r="B39" s="2938" t="s">
        <v>2559</v>
      </c>
      <c r="C39" s="2603"/>
      <c r="D39" s="431">
        <v>100</v>
      </c>
      <c r="E39" s="2604"/>
      <c r="F39" s="457">
        <f>SUMIF(116:116,E39,117:117)-SUMIF(116:116,C39,117:117)+100</f>
        <v>100</v>
      </c>
      <c r="G39" s="2603"/>
      <c r="H39" s="431">
        <f>SUMIF(116:116,G39,117:117)-SUMIF(116:116,C39,117:117)+100</f>
        <v>100</v>
      </c>
      <c r="I39" s="2604"/>
      <c r="J39" s="431">
        <f>SUMIF(116:116,I39,117:117)-SUMIF(116:116,C39,117:117)+100</f>
        <v>100</v>
      </c>
      <c r="K39" s="422"/>
      <c r="L39" s="1133"/>
      <c r="M39" s="1124"/>
      <c r="N39" s="1124"/>
      <c r="O39" s="1124"/>
      <c r="P39" s="3403"/>
      <c r="Q39" s="2944" t="str">
        <f t="shared" si="11"/>
        <v>市政基础设施</v>
      </c>
      <c r="R39" s="770" t="s">
        <v>21</v>
      </c>
      <c r="S39" s="771">
        <f t="shared" si="12"/>
        <v>100</v>
      </c>
      <c r="T39" s="770" t="s">
        <v>21</v>
      </c>
      <c r="U39" s="771">
        <f t="shared" si="13"/>
        <v>100</v>
      </c>
      <c r="V39" s="770" t="s">
        <v>21</v>
      </c>
      <c r="W39" s="771">
        <f t="shared" si="14"/>
        <v>100</v>
      </c>
      <c r="X39" s="2946"/>
      <c r="Y39" s="3386"/>
      <c r="Z39" s="2947" t="str">
        <f t="shared" si="18"/>
        <v>市政基础设施</v>
      </c>
      <c r="AA39" s="2945">
        <f t="shared" si="15"/>
        <v>1</v>
      </c>
      <c r="AB39" s="2945">
        <f t="shared" si="16"/>
        <v>1</v>
      </c>
      <c r="AC39" s="2945">
        <f t="shared" si="17"/>
        <v>1</v>
      </c>
    </row>
    <row r="40" spans="1:29" ht="15">
      <c r="A40" s="468"/>
      <c r="B40" s="2938" t="s">
        <v>2560</v>
      </c>
      <c r="C40" s="2603"/>
      <c r="D40" s="431">
        <v>100</v>
      </c>
      <c r="E40" s="2604"/>
      <c r="F40" s="457">
        <f>SUMIF(118:118,E40,119:119)-SUMIF(118:118,C40,119:119)+100</f>
        <v>100</v>
      </c>
      <c r="G40" s="2603"/>
      <c r="H40" s="431">
        <f>SUMIF(118:118,G40,119:119)-SUMIF(118:118,C40,119:119)+100</f>
        <v>100</v>
      </c>
      <c r="I40" s="2604"/>
      <c r="J40" s="431">
        <f>SUMIF(118:118,I40,119:119)-SUMIF(118:118,C40,119:119)+100</f>
        <v>100</v>
      </c>
      <c r="K40" s="422"/>
      <c r="L40" s="1133"/>
      <c r="M40" s="1124"/>
      <c r="N40" s="1124"/>
      <c r="O40" s="1124"/>
      <c r="P40" s="3403"/>
      <c r="Q40" s="2944" t="str">
        <f t="shared" si="11"/>
        <v>房型</v>
      </c>
      <c r="R40" s="770" t="s">
        <v>21</v>
      </c>
      <c r="S40" s="771">
        <f t="shared" si="12"/>
        <v>100</v>
      </c>
      <c r="T40" s="770" t="s">
        <v>21</v>
      </c>
      <c r="U40" s="771">
        <f t="shared" si="13"/>
        <v>100</v>
      </c>
      <c r="V40" s="770" t="s">
        <v>21</v>
      </c>
      <c r="W40" s="771">
        <f t="shared" si="14"/>
        <v>100</v>
      </c>
      <c r="X40" s="2946"/>
      <c r="Y40" s="3386"/>
      <c r="Z40" s="2947" t="str">
        <f t="shared" si="18"/>
        <v>房型</v>
      </c>
      <c r="AA40" s="2945">
        <f t="shared" si="15"/>
        <v>1</v>
      </c>
      <c r="AB40" s="2945">
        <f t="shared" si="16"/>
        <v>1</v>
      </c>
      <c r="AC40" s="2945">
        <f t="shared" si="17"/>
        <v>1</v>
      </c>
    </row>
    <row r="41" spans="1:29" s="467" customFormat="1" ht="28.5">
      <c r="A41" s="464"/>
      <c r="B41" s="2938" t="s">
        <v>2561</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1"/>
      <c r="L41" s="1131"/>
      <c r="M41" s="1134"/>
      <c r="N41" s="1134"/>
      <c r="O41" s="1134"/>
      <c r="P41" s="3403"/>
      <c r="Q41" s="772" t="str">
        <f t="shared" si="11"/>
        <v>单套/主力户型建筑面积</v>
      </c>
      <c r="R41" s="773" t="s">
        <v>21</v>
      </c>
      <c r="S41" s="774">
        <f t="shared" si="12"/>
        <v>100</v>
      </c>
      <c r="T41" s="773" t="s">
        <v>21</v>
      </c>
      <c r="U41" s="774">
        <f t="shared" si="13"/>
        <v>100</v>
      </c>
      <c r="V41" s="773" t="s">
        <v>21</v>
      </c>
      <c r="W41" s="774">
        <f t="shared" si="14"/>
        <v>100</v>
      </c>
      <c r="X41" s="775"/>
      <c r="Y41" s="3386"/>
      <c r="Z41" s="776" t="str">
        <f t="shared" si="18"/>
        <v>单套/主力户型建筑面积</v>
      </c>
      <c r="AA41" s="2945">
        <f t="shared" si="15"/>
        <v>1</v>
      </c>
      <c r="AB41" s="2945">
        <f t="shared" si="16"/>
        <v>1</v>
      </c>
      <c r="AC41" s="2945">
        <f t="shared" si="17"/>
        <v>1</v>
      </c>
    </row>
    <row r="42" spans="1:29" ht="15">
      <c r="A42" s="468"/>
      <c r="B42" s="2938" t="s">
        <v>2562</v>
      </c>
      <c r="C42" s="2603"/>
      <c r="D42" s="431">
        <v>100</v>
      </c>
      <c r="E42" s="2604"/>
      <c r="F42" s="457">
        <f>SUMIF(122:122,E42,123:123)-SUMIF(122:122,C42,123:123)+100</f>
        <v>100</v>
      </c>
      <c r="G42" s="2603"/>
      <c r="H42" s="431">
        <f>SUMIF(122:122,G42,123:123)-SUMIF(122:122,C42,123:123)+100</f>
        <v>100</v>
      </c>
      <c r="I42" s="2604"/>
      <c r="J42" s="431">
        <f>SUMIF(122:122,I42,123:123)-SUMIF(122:122,C42,123:123)+100</f>
        <v>100</v>
      </c>
      <c r="K42" s="422"/>
      <c r="L42" s="1133"/>
      <c r="M42" s="1124"/>
      <c r="N42" s="1124"/>
      <c r="O42" s="1124"/>
      <c r="P42" s="3403"/>
      <c r="Q42" s="2944" t="str">
        <f t="shared" si="11"/>
        <v>内部装修</v>
      </c>
      <c r="R42" s="770" t="s">
        <v>21</v>
      </c>
      <c r="S42" s="771">
        <f t="shared" si="12"/>
        <v>100</v>
      </c>
      <c r="T42" s="770" t="s">
        <v>21</v>
      </c>
      <c r="U42" s="771">
        <f t="shared" si="13"/>
        <v>100</v>
      </c>
      <c r="V42" s="770" t="s">
        <v>21</v>
      </c>
      <c r="W42" s="771">
        <f t="shared" si="14"/>
        <v>100</v>
      </c>
      <c r="X42" s="2946"/>
      <c r="Y42" s="3386"/>
      <c r="Z42" s="2947" t="str">
        <f t="shared" si="18"/>
        <v>内部装修</v>
      </c>
      <c r="AA42" s="2945">
        <f t="shared" si="15"/>
        <v>1</v>
      </c>
      <c r="AB42" s="2945">
        <f t="shared" si="16"/>
        <v>1</v>
      </c>
      <c r="AC42" s="2945">
        <f t="shared" si="17"/>
        <v>1</v>
      </c>
    </row>
    <row r="43" spans="1:29" ht="15">
      <c r="A43" s="468"/>
      <c r="B43" s="2938" t="s">
        <v>2563</v>
      </c>
      <c r="C43" s="2603"/>
      <c r="D43" s="431">
        <v>100</v>
      </c>
      <c r="E43" s="2604"/>
      <c r="F43" s="457">
        <f>SUMIF(124:124,E43,125:125)-SUMIF(124:124,C43,125:125)+100</f>
        <v>100</v>
      </c>
      <c r="G43" s="2603"/>
      <c r="H43" s="431">
        <f>SUMIF(124:124,G43,125:125)-SUMIF(124:124,C43,125:125)+100</f>
        <v>100</v>
      </c>
      <c r="I43" s="2604"/>
      <c r="J43" s="431">
        <f>SUMIF(124:124,I43,125:125)-SUMIF(124:124,C43,125:125)+100</f>
        <v>100</v>
      </c>
      <c r="K43" s="422"/>
      <c r="L43" s="1133"/>
      <c r="M43" s="1124"/>
      <c r="N43" s="1124"/>
      <c r="O43" s="1124"/>
      <c r="P43" s="3403"/>
      <c r="Q43" s="2944" t="str">
        <f t="shared" si="11"/>
        <v>内部装修维护情况</v>
      </c>
      <c r="R43" s="770" t="s">
        <v>21</v>
      </c>
      <c r="S43" s="771">
        <f t="shared" si="12"/>
        <v>100</v>
      </c>
      <c r="T43" s="770" t="s">
        <v>21</v>
      </c>
      <c r="U43" s="771">
        <f t="shared" si="13"/>
        <v>100</v>
      </c>
      <c r="V43" s="770" t="s">
        <v>21</v>
      </c>
      <c r="W43" s="771">
        <f t="shared" si="14"/>
        <v>100</v>
      </c>
      <c r="X43" s="2946"/>
      <c r="Y43" s="3386"/>
      <c r="Z43" s="2947" t="str">
        <f t="shared" si="18"/>
        <v>内部装修维护情况</v>
      </c>
      <c r="AA43" s="2945">
        <f t="shared" si="15"/>
        <v>1</v>
      </c>
      <c r="AB43" s="2945">
        <f t="shared" si="16"/>
        <v>1</v>
      </c>
      <c r="AC43" s="2945">
        <f t="shared" si="17"/>
        <v>1</v>
      </c>
    </row>
    <row r="44" spans="1:29" s="116" customFormat="1" ht="15">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03"/>
      <c r="Q44" s="2932">
        <f t="shared" si="11"/>
        <v>0</v>
      </c>
      <c r="R44" s="766" t="s">
        <v>21</v>
      </c>
      <c r="S44" s="767">
        <f t="shared" si="12"/>
        <v>100</v>
      </c>
      <c r="T44" s="766" t="s">
        <v>21</v>
      </c>
      <c r="U44" s="767">
        <f t="shared" si="13"/>
        <v>100</v>
      </c>
      <c r="V44" s="766" t="s">
        <v>21</v>
      </c>
      <c r="W44" s="767">
        <f t="shared" si="14"/>
        <v>100</v>
      </c>
      <c r="X44" s="768"/>
      <c r="Y44" s="3386"/>
      <c r="Z44" s="2933">
        <f t="shared" si="18"/>
        <v>0</v>
      </c>
      <c r="AA44" s="769">
        <f t="shared" si="15"/>
        <v>1</v>
      </c>
      <c r="AB44" s="769">
        <f t="shared" si="16"/>
        <v>1</v>
      </c>
      <c r="AC44" s="769">
        <f t="shared" si="17"/>
        <v>1</v>
      </c>
    </row>
    <row r="45" spans="1:29" ht="15">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03"/>
      <c r="Q45" s="2944">
        <f t="shared" si="11"/>
        <v>0</v>
      </c>
      <c r="R45" s="770" t="s">
        <v>21</v>
      </c>
      <c r="S45" s="771">
        <f t="shared" si="12"/>
        <v>100</v>
      </c>
      <c r="T45" s="770" t="s">
        <v>21</v>
      </c>
      <c r="U45" s="771">
        <f t="shared" si="13"/>
        <v>100</v>
      </c>
      <c r="V45" s="770" t="s">
        <v>21</v>
      </c>
      <c r="W45" s="771">
        <f t="shared" si="14"/>
        <v>100</v>
      </c>
      <c r="X45" s="2946"/>
      <c r="Y45" s="3386"/>
      <c r="Z45" s="2947">
        <f t="shared" si="18"/>
        <v>0</v>
      </c>
      <c r="AA45" s="2945">
        <f t="shared" si="15"/>
        <v>1</v>
      </c>
      <c r="AB45" s="2945">
        <f t="shared" si="16"/>
        <v>1</v>
      </c>
      <c r="AC45" s="2945">
        <f t="shared" si="17"/>
        <v>1</v>
      </c>
    </row>
    <row r="46" spans="1:29" ht="15.75"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04"/>
      <c r="Q46" s="2944">
        <f t="shared" si="11"/>
        <v>0</v>
      </c>
      <c r="R46" s="770" t="s">
        <v>20</v>
      </c>
      <c r="S46" s="771">
        <f t="shared" si="12"/>
        <v>100</v>
      </c>
      <c r="T46" s="770" t="s">
        <v>20</v>
      </c>
      <c r="U46" s="771">
        <f t="shared" si="13"/>
        <v>100</v>
      </c>
      <c r="V46" s="770" t="s">
        <v>20</v>
      </c>
      <c r="W46" s="771">
        <f t="shared" si="14"/>
        <v>100</v>
      </c>
      <c r="X46" s="2946"/>
      <c r="Y46" s="3405"/>
      <c r="Z46" s="2947">
        <f t="shared" si="18"/>
        <v>0</v>
      </c>
      <c r="AA46" s="2945">
        <f t="shared" si="15"/>
        <v>1</v>
      </c>
      <c r="AB46" s="2945">
        <f t="shared" si="16"/>
        <v>1</v>
      </c>
      <c r="AC46" s="2945">
        <f t="shared" si="17"/>
        <v>1</v>
      </c>
    </row>
    <row r="47" spans="1:29" ht="15">
      <c r="A47" s="475" t="s">
        <v>2564</v>
      </c>
      <c r="B47" s="476"/>
      <c r="C47" s="1400" t="s">
        <v>19</v>
      </c>
      <c r="D47" s="1401"/>
      <c r="E47" s="1402"/>
      <c r="F47" s="1403"/>
      <c r="G47" s="1404"/>
      <c r="H47" s="1405"/>
      <c r="I47" s="1402"/>
      <c r="J47" s="1405"/>
      <c r="K47" s="2611"/>
      <c r="L47" s="1136"/>
      <c r="M47" s="1137"/>
      <c r="N47" s="1124"/>
      <c r="O47" s="1137"/>
      <c r="P47" s="3368" t="str">
        <f>A47</f>
        <v>成交单价（元/平方米）</v>
      </c>
      <c r="Q47" s="3368"/>
      <c r="R47" s="3406">
        <f>E47</f>
        <v>0</v>
      </c>
      <c r="S47" s="3406"/>
      <c r="T47" s="3406">
        <f>G47</f>
        <v>0</v>
      </c>
      <c r="U47" s="3406"/>
      <c r="V47" s="3406">
        <f>I47</f>
        <v>0</v>
      </c>
      <c r="W47" s="3406"/>
      <c r="X47" s="755"/>
      <c r="Y47" s="777"/>
      <c r="Z47" s="755"/>
      <c r="AA47" s="755"/>
      <c r="AB47" s="755"/>
      <c r="AC47" s="755"/>
    </row>
    <row r="48" spans="1:29" ht="15.75" thickBot="1">
      <c r="A48" s="482" t="s">
        <v>2565</v>
      </c>
      <c r="B48" s="483"/>
      <c r="C48" s="1406" t="e">
        <f>R49</f>
        <v>#DIV/0!</v>
      </c>
      <c r="D48" s="1407"/>
      <c r="E48" s="1408" t="e">
        <f>R48</f>
        <v>#DIV/0!</v>
      </c>
      <c r="F48" s="1408"/>
      <c r="G48" s="1406" t="e">
        <f>T48</f>
        <v>#DIV/0!</v>
      </c>
      <c r="H48" s="1407"/>
      <c r="I48" s="1408" t="e">
        <f>V48</f>
        <v>#DIV/0!</v>
      </c>
      <c r="J48" s="1407"/>
      <c r="K48" s="2612"/>
      <c r="L48" s="1136"/>
      <c r="M48" s="1137"/>
      <c r="N48" s="1137"/>
      <c r="O48" s="1137"/>
      <c r="P48" s="3368" t="str">
        <f>A48</f>
        <v>比较价值（元/平方米）</v>
      </c>
      <c r="Q48" s="336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55"/>
      <c r="Y48" s="755"/>
      <c r="Z48" s="755"/>
      <c r="AA48" s="755"/>
      <c r="AB48" s="755"/>
      <c r="AC48" s="755"/>
    </row>
    <row r="49" spans="1:29" ht="15.75" thickBot="1">
      <c r="A49" s="488" t="s">
        <v>2566</v>
      </c>
      <c r="B49" s="489"/>
      <c r="C49" s="1409" t="e">
        <f>R49</f>
        <v>#DIV/0!</v>
      </c>
      <c r="D49" s="1410"/>
      <c r="E49" s="1410"/>
      <c r="F49" s="1410"/>
      <c r="G49" s="1410"/>
      <c r="H49" s="1410"/>
      <c r="I49" s="1410"/>
      <c r="J49" s="1410"/>
      <c r="K49" s="2613"/>
      <c r="L49" s="1136"/>
      <c r="M49" s="1137"/>
      <c r="N49" s="1137"/>
      <c r="O49" s="1137"/>
      <c r="P49" s="3388" t="str">
        <f>A49</f>
        <v>估价对象XX用房的比较价值（楼面单价，元/平方米）</v>
      </c>
      <c r="Q49" s="3389"/>
      <c r="R49" s="3407" t="e">
        <f>IF(F1="售价",ROUND(AVERAGE(R48:V48),0),ROUND(AVERAGE(R48:V48),1))</f>
        <v>#DIV/0!</v>
      </c>
      <c r="S49" s="3407"/>
      <c r="T49" s="3407"/>
      <c r="U49" s="3407"/>
      <c r="V49" s="3407"/>
      <c r="W49" s="340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row>
    <row r="53" spans="1:29" ht="13.5" customHeight="1">
      <c r="A53" s="1137"/>
      <c r="B53" s="1137"/>
      <c r="C53" s="493" t="s">
        <v>2568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row>
    <row r="54" spans="1:29" s="498" customFormat="1" ht="13.5" customHeight="1">
      <c r="A54" s="1138"/>
      <c r="B54" s="1138"/>
      <c r="C54" s="493" t="s">
        <v>2569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2535</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6"/>
      <c r="O66" s="1146"/>
      <c r="P66" s="2620"/>
      <c r="Q66" s="500"/>
    </row>
    <row r="67" spans="1:17" ht="15.75" thickTop="1">
      <c r="A67" s="530"/>
      <c r="B67" s="542" t="s">
        <v>2545</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6"/>
      <c r="O69" s="1146"/>
      <c r="P69" s="2620"/>
      <c r="Q69" s="500"/>
    </row>
    <row r="70" spans="1:17" s="467" customFormat="1" ht="15.75" thickTop="1">
      <c r="A70" s="549"/>
      <c r="B70" s="534">
        <f>B12</f>
        <v>0</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579"/>
      <c r="D107" s="579"/>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6"/>
      <c r="O108" s="1146"/>
      <c r="P108" s="2620"/>
      <c r="Q108" s="500"/>
    </row>
    <row r="109" spans="1:17" ht="15" thickTop="1">
      <c r="A109" s="595"/>
      <c r="B109" s="534" t="s">
        <v>2603</v>
      </c>
      <c r="C109" s="550"/>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7"/>
      <c r="O113" s="1147"/>
      <c r="P113" s="2621"/>
      <c r="Q113" s="555"/>
    </row>
    <row r="114" spans="1:17" ht="15" thickTop="1">
      <c r="A114" s="595"/>
      <c r="B114" s="534" t="s">
        <v>2604</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579"/>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51" priority="14" stopIfTrue="1" operator="containsText" text="超过">
      <formula>NOT(ISERROR(SEARCH("超过",F52)))</formula>
    </cfRule>
  </conditionalFormatting>
  <conditionalFormatting sqref="J54">
    <cfRule type="containsText" dxfId="150" priority="13" stopIfTrue="1" operator="containsText" text="超过">
      <formula>NOT(ISERROR(SEARCH("超过",J54)))</formula>
    </cfRule>
  </conditionalFormatting>
  <conditionalFormatting sqref="H54">
    <cfRule type="containsText" dxfId="149" priority="12" stopIfTrue="1" operator="containsText" text="超过">
      <formula>NOT(ISERROR(SEARCH("超过",H54)))</formula>
    </cfRule>
  </conditionalFormatting>
  <conditionalFormatting sqref="F54">
    <cfRule type="containsText" dxfId="148" priority="11" stopIfTrue="1" operator="containsText" text="超过">
      <formula>NOT(ISERROR(SEARCH("超过",F54)))</formula>
    </cfRule>
  </conditionalFormatting>
  <conditionalFormatting sqref="F53 H53 J53">
    <cfRule type="containsText" dxfId="147" priority="10" stopIfTrue="1" operator="containsText" text="超过">
      <formula>NOT(ISERROR(SEARCH("超过",F53)))</formula>
    </cfRule>
  </conditionalFormatting>
  <conditionalFormatting sqref="E52">
    <cfRule type="expression" dxfId="146" priority="9"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H15" sqref="H15"/>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3045</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t="e">
        <f>IF(C2="——",ROUND(C49*D3/10000,0),ROUND(C49*D3/10000,0)-D2)</f>
        <v>#DIV/0!</v>
      </c>
      <c r="C2" s="2576" t="s">
        <v>70</v>
      </c>
      <c r="D2" s="1358" t="e">
        <f ca="1">SUMIF(INDIRECT("'"&amp;F2&amp;"'"&amp;"!A:A"),"承租人权益价值",INDIRECT("'"&amp;F2&amp;"'"&amp;"!c:c"))</f>
        <v>#REF!</v>
      </c>
      <c r="E2" s="2577" t="s">
        <v>2318</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t="e">
        <f>IF(C2="——",C49,ROUND(B2*10000/D3,0))</f>
        <v>#DIV/0!</v>
      </c>
      <c r="C3" s="396" t="s">
        <v>2521</v>
      </c>
      <c r="D3" s="395">
        <f>IF(D1="",'数据-汇总表'!E3,SUMIF('数据-汇总表'!$C19:$C33,D1,'数据-汇总表'!$E19:$E33))</f>
        <v>84500</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69" t="s">
        <v>2523</v>
      </c>
      <c r="D4" s="3370"/>
      <c r="E4" s="3371" t="s">
        <v>2524</v>
      </c>
      <c r="F4" s="3372"/>
      <c r="G4" s="3369" t="s">
        <v>2525</v>
      </c>
      <c r="H4" s="3370"/>
      <c r="I4" s="3369" t="s">
        <v>2526</v>
      </c>
      <c r="J4" s="3370"/>
      <c r="K4" s="2586" t="s">
        <v>2527</v>
      </c>
      <c r="L4" s="1123"/>
      <c r="M4" s="1124"/>
      <c r="N4" s="1124"/>
      <c r="O4" s="1124"/>
      <c r="P4" s="3373" t="s">
        <v>2528</v>
      </c>
      <c r="Q4" s="3374"/>
      <c r="R4" s="3356" t="s">
        <v>2524</v>
      </c>
      <c r="S4" s="3357"/>
      <c r="T4" s="3356" t="s">
        <v>2525</v>
      </c>
      <c r="U4" s="3357"/>
      <c r="V4" s="3381" t="s">
        <v>2526</v>
      </c>
      <c r="W4" s="3381"/>
      <c r="X4" s="2946"/>
      <c r="Y4" s="3356" t="s">
        <v>2528</v>
      </c>
      <c r="Z4" s="3357"/>
      <c r="AA4" s="3351" t="s">
        <v>2524</v>
      </c>
      <c r="AB4" s="3351" t="s">
        <v>2525</v>
      </c>
      <c r="AC4" s="3351" t="s">
        <v>2526</v>
      </c>
    </row>
    <row r="5" spans="1:29" ht="15">
      <c r="A5" s="400"/>
      <c r="B5" s="401"/>
      <c r="C5" s="3362" t="s">
        <v>2529</v>
      </c>
      <c r="D5" s="3363"/>
      <c r="E5" s="3360" t="s">
        <v>2530</v>
      </c>
      <c r="F5" s="3361"/>
      <c r="G5" s="3362" t="s">
        <v>2531</v>
      </c>
      <c r="H5" s="3363"/>
      <c r="I5" s="3362" t="s">
        <v>2532</v>
      </c>
      <c r="J5" s="3363"/>
      <c r="K5" s="2587"/>
      <c r="L5" s="1123"/>
      <c r="M5" s="1124"/>
      <c r="N5" s="1124"/>
      <c r="O5" s="1124"/>
      <c r="P5" s="3375"/>
      <c r="Q5" s="3376"/>
      <c r="R5" s="3358"/>
      <c r="S5" s="3359"/>
      <c r="T5" s="3358"/>
      <c r="U5" s="3359"/>
      <c r="V5" s="3381"/>
      <c r="W5" s="3381"/>
      <c r="X5" s="2946"/>
      <c r="Y5" s="3358"/>
      <c r="Z5" s="3359"/>
      <c r="AA5" s="3352"/>
      <c r="AB5" s="3352"/>
      <c r="AC5" s="3352"/>
    </row>
    <row r="6" spans="1:29" ht="15.75" thickBot="1">
      <c r="A6" s="402"/>
      <c r="B6" s="403"/>
      <c r="C6" s="3364" t="s">
        <v>2533</v>
      </c>
      <c r="D6" s="3365"/>
      <c r="E6" s="3366" t="s">
        <v>2533</v>
      </c>
      <c r="F6" s="3367"/>
      <c r="G6" s="3364" t="s">
        <v>2533</v>
      </c>
      <c r="H6" s="3365"/>
      <c r="I6" s="3364" t="s">
        <v>2533</v>
      </c>
      <c r="J6" s="3365"/>
      <c r="K6" s="2587" t="s">
        <v>2534</v>
      </c>
      <c r="L6" s="1123"/>
      <c r="M6" s="1124"/>
      <c r="N6" s="1124"/>
      <c r="O6" s="1124"/>
      <c r="P6" s="3377"/>
      <c r="Q6" s="3378"/>
      <c r="R6" s="3358"/>
      <c r="S6" s="3359"/>
      <c r="T6" s="3379"/>
      <c r="U6" s="3380"/>
      <c r="V6" s="3381"/>
      <c r="W6" s="3381"/>
      <c r="X6" s="2946"/>
      <c r="Y6" s="3379"/>
      <c r="Z6" s="3380"/>
      <c r="AA6" s="3353"/>
      <c r="AB6" s="3353"/>
      <c r="AC6" s="3353"/>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2588"/>
      <c r="L7" s="1125"/>
      <c r="M7" s="1126"/>
      <c r="N7" s="1126"/>
      <c r="O7" s="1126"/>
      <c r="P7" s="3354" t="s">
        <v>2536</v>
      </c>
      <c r="Q7" s="3382"/>
      <c r="R7" s="766" t="s">
        <v>23</v>
      </c>
      <c r="S7" s="767">
        <f t="shared" ref="S7:S15" si="0">F7</f>
        <v>0</v>
      </c>
      <c r="T7" s="766" t="s">
        <v>23</v>
      </c>
      <c r="U7" s="767">
        <f t="shared" ref="U7:U15" si="1">H7</f>
        <v>0</v>
      </c>
      <c r="V7" s="766" t="s">
        <v>23</v>
      </c>
      <c r="W7" s="767">
        <f t="shared" ref="W7:W15" si="2">J7</f>
        <v>0</v>
      </c>
      <c r="X7" s="768"/>
      <c r="Y7" s="3354" t="s">
        <v>2536</v>
      </c>
      <c r="Z7" s="3355"/>
      <c r="AA7" s="769" t="e">
        <f>D7/F7</f>
        <v>#DIV/0!</v>
      </c>
      <c r="AB7" s="769" t="e">
        <f>D7/H7</f>
        <v>#DIV/0!</v>
      </c>
      <c r="AC7" s="769" t="e">
        <f>D7/J7</f>
        <v>#DIV/0!</v>
      </c>
    </row>
    <row r="8" spans="1:29" s="116" customFormat="1" ht="15.75" thickBot="1">
      <c r="A8" s="404" t="s">
        <v>2537</v>
      </c>
      <c r="B8" s="405"/>
      <c r="C8" s="410" t="s">
        <v>2538</v>
      </c>
      <c r="D8" s="407">
        <v>100</v>
      </c>
      <c r="E8" s="2589"/>
      <c r="F8" s="409">
        <f>SUMIF(61:61,E8,62:62)-SUMIF(61:61,C8,62:62)+100</f>
        <v>0</v>
      </c>
      <c r="G8" s="410"/>
      <c r="H8" s="407">
        <f>SUMIF(61:61,G8,62:62)-SUMIF(61:61,C8,62:62)+100</f>
        <v>0</v>
      </c>
      <c r="I8" s="2589"/>
      <c r="J8" s="407">
        <f>SUMIF(61:61,I8,62:62)-SUMIF(61:61,C8,62:62)+100</f>
        <v>0</v>
      </c>
      <c r="K8" s="2588"/>
      <c r="L8" s="1125"/>
      <c r="M8" s="1126"/>
      <c r="N8" s="1126"/>
      <c r="O8" s="1126"/>
      <c r="P8" s="3354" t="s">
        <v>2539</v>
      </c>
      <c r="Q8" s="3355"/>
      <c r="R8" s="766" t="s">
        <v>23</v>
      </c>
      <c r="S8" s="767">
        <f t="shared" si="0"/>
        <v>0</v>
      </c>
      <c r="T8" s="766" t="s">
        <v>23</v>
      </c>
      <c r="U8" s="767">
        <f t="shared" si="1"/>
        <v>0</v>
      </c>
      <c r="V8" s="766" t="s">
        <v>23</v>
      </c>
      <c r="W8" s="767">
        <f t="shared" si="2"/>
        <v>0</v>
      </c>
      <c r="X8" s="768"/>
      <c r="Y8" s="3354" t="s">
        <v>2539</v>
      </c>
      <c r="Z8" s="3355"/>
      <c r="AA8" s="769" t="e">
        <f t="shared" ref="AA8:AA19" si="3">D8/F8</f>
        <v>#DIV/0!</v>
      </c>
      <c r="AB8" s="769" t="e">
        <f t="shared" ref="AB8:AB19" si="4">D8/H8</f>
        <v>#DIV/0!</v>
      </c>
      <c r="AC8" s="769" t="e">
        <f t="shared" ref="AC8:AC19" si="5">D8/J8</f>
        <v>#DIV/0!</v>
      </c>
    </row>
    <row r="9" spans="1:29" s="116" customFormat="1">
      <c r="A9" s="411" t="s">
        <v>2540</v>
      </c>
      <c r="B9" s="71" t="s">
        <v>2541</v>
      </c>
      <c r="C9" s="412"/>
      <c r="D9" s="132">
        <v>100</v>
      </c>
      <c r="E9" s="413"/>
      <c r="F9" s="414">
        <f>SUMIF(63:63,E9,64:64)-SUMIF(63:63,C9,64:64)+100</f>
        <v>100</v>
      </c>
      <c r="G9" s="415"/>
      <c r="H9" s="132">
        <f>SUMIF(63:63,G9,64:64)-SUMIF(63:63,C9,64:64)+100</f>
        <v>100</v>
      </c>
      <c r="I9" s="415"/>
      <c r="J9" s="132">
        <f>SUMIF(63:63,I9,64:64)-SUMIF(63:63,C9,64:64)+100</f>
        <v>100</v>
      </c>
      <c r="K9" s="2588"/>
      <c r="L9" s="1125"/>
      <c r="M9" s="1126"/>
      <c r="N9" s="1126"/>
      <c r="O9" s="1126"/>
      <c r="P9" s="3392" t="s">
        <v>2542</v>
      </c>
      <c r="Q9" s="2932" t="str">
        <f t="shared" ref="Q9:Q15" si="6">B9</f>
        <v>用途</v>
      </c>
      <c r="R9" s="766" t="s">
        <v>17</v>
      </c>
      <c r="S9" s="767">
        <f t="shared" si="0"/>
        <v>100</v>
      </c>
      <c r="T9" s="766" t="s">
        <v>17</v>
      </c>
      <c r="U9" s="767">
        <f t="shared" si="1"/>
        <v>100</v>
      </c>
      <c r="V9" s="766" t="s">
        <v>17</v>
      </c>
      <c r="W9" s="767">
        <f t="shared" si="2"/>
        <v>100</v>
      </c>
      <c r="X9" s="768"/>
      <c r="Y9" s="3224" t="s">
        <v>2543</v>
      </c>
      <c r="Z9" s="2933" t="str">
        <f t="shared" ref="Z9:Z15" si="7">Q9</f>
        <v>用途</v>
      </c>
      <c r="AA9" s="769">
        <f t="shared" si="3"/>
        <v>1</v>
      </c>
      <c r="AB9" s="769">
        <f t="shared" si="4"/>
        <v>1</v>
      </c>
      <c r="AC9" s="769">
        <f t="shared" si="5"/>
        <v>1</v>
      </c>
    </row>
    <row r="10" spans="1:29" s="423" customFormat="1" ht="27">
      <c r="A10" s="417"/>
      <c r="B10" s="2938" t="s">
        <v>2544</v>
      </c>
      <c r="C10" s="419"/>
      <c r="D10" s="133">
        <v>100</v>
      </c>
      <c r="E10" s="420"/>
      <c r="F10" s="421">
        <f>SUMIF(65:65,E10,66:66)-SUMIF(65:65,C10,66:66)+100</f>
        <v>100</v>
      </c>
      <c r="G10" s="419"/>
      <c r="H10" s="133">
        <f>SUMIF(65:65,G10,66:66)-SUMIF(65:65,C10,66:66)+100</f>
        <v>100</v>
      </c>
      <c r="I10" s="419"/>
      <c r="J10" s="133">
        <f>SUMIF(65:65,I10,66:66)-SUMIF(65:65,C10,66:66)+100</f>
        <v>100</v>
      </c>
      <c r="K10" s="422"/>
      <c r="L10" s="1128"/>
      <c r="M10" s="1129"/>
      <c r="N10" s="1129"/>
      <c r="O10" s="1129"/>
      <c r="P10" s="3392"/>
      <c r="Q10" s="2932" t="str">
        <f t="shared" si="6"/>
        <v>土地使用年限（年）</v>
      </c>
      <c r="R10" s="766" t="s">
        <v>17</v>
      </c>
      <c r="S10" s="767">
        <f t="shared" si="0"/>
        <v>100</v>
      </c>
      <c r="T10" s="766" t="s">
        <v>17</v>
      </c>
      <c r="U10" s="767">
        <f t="shared" si="1"/>
        <v>100</v>
      </c>
      <c r="V10" s="766" t="s">
        <v>17</v>
      </c>
      <c r="W10" s="767">
        <f t="shared" si="2"/>
        <v>100</v>
      </c>
      <c r="X10" s="768"/>
      <c r="Y10" s="3224"/>
      <c r="Z10" s="2933" t="str">
        <f t="shared" si="7"/>
        <v>土地使用年限（年）</v>
      </c>
      <c r="AA10" s="769">
        <f t="shared" si="3"/>
        <v>1</v>
      </c>
      <c r="AB10" s="769">
        <f t="shared" si="4"/>
        <v>1</v>
      </c>
      <c r="AC10" s="769">
        <f t="shared" si="5"/>
        <v>1</v>
      </c>
    </row>
    <row r="11" spans="1:29" ht="15">
      <c r="A11" s="424"/>
      <c r="B11" s="2938" t="s">
        <v>2545</v>
      </c>
      <c r="C11" s="425"/>
      <c r="D11" s="133">
        <v>100</v>
      </c>
      <c r="E11" s="426"/>
      <c r="F11" s="421" t="e">
        <f>LOOKUP(E11,68:68,69:69)-LOOKUP(C11,68:68,69:69)+100</f>
        <v>#N/A</v>
      </c>
      <c r="G11" s="425"/>
      <c r="H11" s="133" t="e">
        <f>LOOKUP(G11,68:68,69:69)-LOOKUP(C11,68:68,69:69)+100</f>
        <v>#N/A</v>
      </c>
      <c r="I11" s="425"/>
      <c r="J11" s="133" t="e">
        <f>LOOKUP(I11,68:68,69:69)-LOOKUP(C11,68:68,69:69)+100</f>
        <v>#N/A</v>
      </c>
      <c r="K11" s="422"/>
      <c r="L11" s="1131"/>
      <c r="M11" s="1124"/>
      <c r="N11" s="1124"/>
      <c r="O11" s="1124"/>
      <c r="P11" s="3392"/>
      <c r="Q11" s="2932" t="str">
        <f t="shared" si="6"/>
        <v>容积率</v>
      </c>
      <c r="R11" s="766" t="s">
        <v>21</v>
      </c>
      <c r="S11" s="767" t="e">
        <f t="shared" si="0"/>
        <v>#N/A</v>
      </c>
      <c r="T11" s="766" t="s">
        <v>21</v>
      </c>
      <c r="U11" s="767" t="e">
        <f t="shared" si="1"/>
        <v>#N/A</v>
      </c>
      <c r="V11" s="766" t="s">
        <v>21</v>
      </c>
      <c r="W11" s="767" t="e">
        <f t="shared" si="2"/>
        <v>#N/A</v>
      </c>
      <c r="X11" s="768"/>
      <c r="Y11" s="3224"/>
      <c r="Z11" s="2933" t="str">
        <f t="shared" si="7"/>
        <v>容积率</v>
      </c>
      <c r="AA11" s="769" t="e">
        <f t="shared" si="3"/>
        <v>#N/A</v>
      </c>
      <c r="AB11" s="769" t="e">
        <f t="shared" si="4"/>
        <v>#N/A</v>
      </c>
      <c r="AC11" s="769" t="e">
        <f t="shared" si="5"/>
        <v>#N/A</v>
      </c>
    </row>
    <row r="12" spans="1:29" s="116" customFormat="1" ht="15">
      <c r="A12" s="427"/>
      <c r="B12" s="2590"/>
      <c r="C12" s="428"/>
      <c r="D12" s="429">
        <v>100</v>
      </c>
      <c r="E12" s="428"/>
      <c r="F12" s="421">
        <f>SUMIF(70:70,E12,71:71)-SUMIF(70:70,C12,71:71)+100</f>
        <v>100</v>
      </c>
      <c r="G12" s="428"/>
      <c r="H12" s="133">
        <f>SUMIF(70:70,G12,71:71)-SUMIF(70:70,C12,71:71)+100</f>
        <v>100</v>
      </c>
      <c r="I12" s="428"/>
      <c r="J12" s="133">
        <f>SUMIF(70:70,I12,71:71)-SUMIF(70:70,C12,71:71)+100</f>
        <v>100</v>
      </c>
      <c r="K12" s="2591"/>
      <c r="L12" s="1125"/>
      <c r="M12" s="1126"/>
      <c r="N12" s="1126"/>
      <c r="O12" s="1126"/>
      <c r="P12" s="3392"/>
      <c r="Q12" s="2932">
        <f t="shared" si="6"/>
        <v>0</v>
      </c>
      <c r="R12" s="766" t="s">
        <v>21</v>
      </c>
      <c r="S12" s="767">
        <f t="shared" si="0"/>
        <v>100</v>
      </c>
      <c r="T12" s="766" t="s">
        <v>21</v>
      </c>
      <c r="U12" s="767">
        <f t="shared" si="1"/>
        <v>100</v>
      </c>
      <c r="V12" s="766" t="s">
        <v>21</v>
      </c>
      <c r="W12" s="767">
        <f t="shared" si="2"/>
        <v>100</v>
      </c>
      <c r="X12" s="768"/>
      <c r="Y12" s="3224"/>
      <c r="Z12" s="2933">
        <f t="shared" si="7"/>
        <v>0</v>
      </c>
      <c r="AA12" s="769">
        <f>D12/F12</f>
        <v>1</v>
      </c>
      <c r="AB12" s="769">
        <f>D12/H12</f>
        <v>1</v>
      </c>
      <c r="AC12" s="769">
        <f>D12/J12</f>
        <v>1</v>
      </c>
    </row>
    <row r="13" spans="1:29" ht="15">
      <c r="A13" s="424"/>
      <c r="B13" s="2590"/>
      <c r="C13" s="430"/>
      <c r="D13" s="431">
        <v>100</v>
      </c>
      <c r="E13" s="430"/>
      <c r="F13" s="421">
        <f>SUMIF(72:72,E13,73:73)-SUMIF(72:72,C13,73:73)+100</f>
        <v>100</v>
      </c>
      <c r="G13" s="430"/>
      <c r="H13" s="431">
        <f>SUMIF(72:72,G13,73:73)-SUMIF(72:72,C13,73:73)+100</f>
        <v>100</v>
      </c>
      <c r="I13" s="430"/>
      <c r="J13" s="431">
        <f>SUMIF(72:72,I13,73:73)-SUMIF(72:72,C13,73:73)+100</f>
        <v>100</v>
      </c>
      <c r="K13" s="2591"/>
      <c r="L13" s="1133"/>
      <c r="M13" s="1124"/>
      <c r="N13" s="1124"/>
      <c r="O13" s="1124"/>
      <c r="P13" s="3392"/>
      <c r="Q13" s="2932">
        <f t="shared" si="6"/>
        <v>0</v>
      </c>
      <c r="R13" s="766" t="s">
        <v>21</v>
      </c>
      <c r="S13" s="767">
        <f t="shared" si="0"/>
        <v>100</v>
      </c>
      <c r="T13" s="766" t="s">
        <v>21</v>
      </c>
      <c r="U13" s="767">
        <f t="shared" si="1"/>
        <v>100</v>
      </c>
      <c r="V13" s="766" t="s">
        <v>21</v>
      </c>
      <c r="W13" s="767">
        <f t="shared" si="2"/>
        <v>100</v>
      </c>
      <c r="X13" s="768"/>
      <c r="Y13" s="3224"/>
      <c r="Z13" s="2933">
        <f t="shared" si="7"/>
        <v>0</v>
      </c>
      <c r="AA13" s="769">
        <f t="shared" si="3"/>
        <v>1</v>
      </c>
      <c r="AB13" s="769">
        <f t="shared" si="4"/>
        <v>1</v>
      </c>
      <c r="AC13" s="769">
        <f t="shared" si="5"/>
        <v>1</v>
      </c>
    </row>
    <row r="14" spans="1:29" ht="15.75"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92"/>
      <c r="Q14" s="2932">
        <f t="shared" si="6"/>
        <v>0</v>
      </c>
      <c r="R14" s="766" t="s">
        <v>21</v>
      </c>
      <c r="S14" s="767">
        <f t="shared" si="0"/>
        <v>100</v>
      </c>
      <c r="T14" s="766" t="s">
        <v>21</v>
      </c>
      <c r="U14" s="767">
        <f t="shared" si="1"/>
        <v>100</v>
      </c>
      <c r="V14" s="766" t="s">
        <v>21</v>
      </c>
      <c r="W14" s="767">
        <f t="shared" si="2"/>
        <v>100</v>
      </c>
      <c r="X14" s="768"/>
      <c r="Y14" s="3224"/>
      <c r="Z14" s="2933">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38"/>
      <c r="H15" s="437">
        <f>SUMIF(76:76,G16,77:77)-SUMIF(76:76,C16,77:77)+100</f>
        <v>100</v>
      </c>
      <c r="I15" s="438"/>
      <c r="J15" s="437">
        <f>SUMIF(76:76,I16,77:77)-SUMIF(76:76,C16,77:77)+100</f>
        <v>100</v>
      </c>
      <c r="K15" s="441"/>
      <c r="L15" s="1133"/>
      <c r="M15" s="1124"/>
      <c r="N15" s="1124"/>
      <c r="O15" s="1124"/>
      <c r="P15" s="3400" t="s">
        <v>2547</v>
      </c>
      <c r="Q15" s="2944" t="str">
        <f t="shared" si="6"/>
        <v>居住社区成熟度</v>
      </c>
      <c r="R15" s="770" t="s">
        <v>21</v>
      </c>
      <c r="S15" s="771">
        <f t="shared" si="0"/>
        <v>100</v>
      </c>
      <c r="T15" s="770" t="s">
        <v>21</v>
      </c>
      <c r="U15" s="771">
        <f t="shared" si="1"/>
        <v>100</v>
      </c>
      <c r="V15" s="770" t="s">
        <v>21</v>
      </c>
      <c r="W15" s="771">
        <f t="shared" si="2"/>
        <v>100</v>
      </c>
      <c r="X15" s="2946"/>
      <c r="Y15" s="3383" t="s">
        <v>2547</v>
      </c>
      <c r="Z15" s="2947" t="str">
        <f t="shared" si="7"/>
        <v>居住社区成熟度</v>
      </c>
      <c r="AA15" s="2945">
        <f t="shared" si="3"/>
        <v>1</v>
      </c>
      <c r="AB15" s="2945">
        <f t="shared" si="4"/>
        <v>1</v>
      </c>
      <c r="AC15" s="2945">
        <f t="shared" si="5"/>
        <v>1</v>
      </c>
    </row>
    <row r="16" spans="1:29" ht="15">
      <c r="A16" s="424"/>
      <c r="B16" s="442"/>
      <c r="C16" s="443"/>
      <c r="D16" s="444"/>
      <c r="E16" s="2594"/>
      <c r="F16" s="444"/>
      <c r="G16" s="2595"/>
      <c r="H16" s="446"/>
      <c r="I16" s="2595"/>
      <c r="J16" s="444"/>
      <c r="K16" s="2596"/>
      <c r="L16" s="1133"/>
      <c r="M16" s="1124"/>
      <c r="N16" s="1124"/>
      <c r="O16" s="1124"/>
      <c r="P16" s="3401"/>
      <c r="Q16" s="2944"/>
      <c r="R16" s="770"/>
      <c r="S16" s="771"/>
      <c r="T16" s="770"/>
      <c r="U16" s="771"/>
      <c r="V16" s="770"/>
      <c r="W16" s="771"/>
      <c r="X16" s="2946"/>
      <c r="Y16" s="3384"/>
      <c r="Z16" s="2947"/>
      <c r="AA16" s="2945">
        <v>1</v>
      </c>
      <c r="AB16" s="2945">
        <v>1</v>
      </c>
      <c r="AC16" s="2945">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100</v>
      </c>
      <c r="G17" s="448"/>
      <c r="H17" s="451">
        <f>SUMIF(78:78,G18,79:79)-SUMIF(78:78,C18,79:79)+100</f>
        <v>100</v>
      </c>
      <c r="I17" s="448"/>
      <c r="J17" s="451">
        <f>SUMIF(78:78,I18,79:79)-SUMIF(78:78,C18,79:79)+100</f>
        <v>100</v>
      </c>
      <c r="K17" s="441"/>
      <c r="L17" s="1133"/>
      <c r="M17" s="1124"/>
      <c r="N17" s="1124"/>
      <c r="O17" s="1124"/>
      <c r="P17" s="3401"/>
      <c r="Q17" s="2944" t="str">
        <f>B17</f>
        <v>交通便捷度</v>
      </c>
      <c r="R17" s="770" t="s">
        <v>21</v>
      </c>
      <c r="S17" s="771">
        <f>F17</f>
        <v>100</v>
      </c>
      <c r="T17" s="770" t="s">
        <v>21</v>
      </c>
      <c r="U17" s="771">
        <f>H17</f>
        <v>100</v>
      </c>
      <c r="V17" s="770" t="s">
        <v>21</v>
      </c>
      <c r="W17" s="771">
        <f>J17</f>
        <v>100</v>
      </c>
      <c r="X17" s="2946"/>
      <c r="Y17" s="3384"/>
      <c r="Z17" s="2947" t="str">
        <f>Q17</f>
        <v>交通便捷度</v>
      </c>
      <c r="AA17" s="2945">
        <f t="shared" si="3"/>
        <v>1</v>
      </c>
      <c r="AB17" s="2945">
        <f t="shared" si="4"/>
        <v>1</v>
      </c>
      <c r="AC17" s="2945">
        <f t="shared" si="5"/>
        <v>1</v>
      </c>
    </row>
    <row r="18" spans="1:29" ht="15">
      <c r="A18" s="424"/>
      <c r="B18" s="452"/>
      <c r="C18" s="2598"/>
      <c r="D18" s="446"/>
      <c r="E18" s="2599"/>
      <c r="F18" s="446"/>
      <c r="G18" s="2600"/>
      <c r="H18" s="444"/>
      <c r="I18" s="2600"/>
      <c r="J18" s="444"/>
      <c r="K18" s="2596"/>
      <c r="L18" s="1133"/>
      <c r="M18" s="1124"/>
      <c r="N18" s="1124"/>
      <c r="O18" s="1124"/>
      <c r="P18" s="3401"/>
      <c r="Q18" s="2944"/>
      <c r="R18" s="770"/>
      <c r="S18" s="771"/>
      <c r="T18" s="770"/>
      <c r="U18" s="771"/>
      <c r="V18" s="770"/>
      <c r="W18" s="771"/>
      <c r="X18" s="2946"/>
      <c r="Y18" s="3384"/>
      <c r="Z18" s="2947"/>
      <c r="AA18" s="2945">
        <v>1</v>
      </c>
      <c r="AB18" s="2945">
        <v>1</v>
      </c>
      <c r="AC18" s="2945">
        <v>1</v>
      </c>
    </row>
    <row r="19" spans="1:29" ht="15">
      <c r="A19" s="424"/>
      <c r="B19" s="447" t="s">
        <v>2089</v>
      </c>
      <c r="C19" s="2597">
        <f>估价对象房地状况!C7</f>
        <v>0</v>
      </c>
      <c r="D19" s="451">
        <v>100</v>
      </c>
      <c r="E19" s="455"/>
      <c r="F19" s="451">
        <f>SUMIF(80:80,E20,81:81)-SUMIF(80:80,C20,81:81)+100</f>
        <v>100</v>
      </c>
      <c r="G19" s="453"/>
      <c r="H19" s="446">
        <f>SUMIF(80:80,G20,81:81)-SUMIF(80:80,C20,81:81)+100</f>
        <v>100</v>
      </c>
      <c r="I19" s="453"/>
      <c r="J19" s="446">
        <f>SUMIF(80:80,I20,81:81)-SUMIF(80:80,C20,81:81)+100</f>
        <v>100</v>
      </c>
      <c r="K19" s="441"/>
      <c r="L19" s="1133"/>
      <c r="M19" s="1124"/>
      <c r="N19" s="1124"/>
      <c r="O19" s="1124"/>
      <c r="P19" s="3401"/>
      <c r="Q19" s="2944" t="str">
        <f>B19</f>
        <v>公共配套设施</v>
      </c>
      <c r="R19" s="770" t="s">
        <v>21</v>
      </c>
      <c r="S19" s="771">
        <f>F19</f>
        <v>100</v>
      </c>
      <c r="T19" s="770" t="s">
        <v>21</v>
      </c>
      <c r="U19" s="771">
        <f>H19</f>
        <v>100</v>
      </c>
      <c r="V19" s="770" t="s">
        <v>21</v>
      </c>
      <c r="W19" s="771">
        <f>J19</f>
        <v>100</v>
      </c>
      <c r="X19" s="2946"/>
      <c r="Y19" s="3384"/>
      <c r="Z19" s="2947" t="str">
        <f>Q19</f>
        <v>公共配套设施</v>
      </c>
      <c r="AA19" s="2945">
        <f t="shared" si="3"/>
        <v>1</v>
      </c>
      <c r="AB19" s="2945">
        <f t="shared" si="4"/>
        <v>1</v>
      </c>
      <c r="AC19" s="2945">
        <f t="shared" si="5"/>
        <v>1</v>
      </c>
    </row>
    <row r="20" spans="1:29" ht="15">
      <c r="A20" s="424"/>
      <c r="B20" s="452"/>
      <c r="C20" s="443"/>
      <c r="D20" s="444"/>
      <c r="E20" s="2594"/>
      <c r="F20" s="444"/>
      <c r="G20" s="2595"/>
      <c r="H20" s="444"/>
      <c r="I20" s="2595"/>
      <c r="J20" s="444"/>
      <c r="K20" s="2596"/>
      <c r="L20" s="1133"/>
      <c r="M20" s="1124"/>
      <c r="N20" s="1124"/>
      <c r="O20" s="1124"/>
      <c r="P20" s="3401"/>
      <c r="Q20" s="2944"/>
      <c r="R20" s="770"/>
      <c r="S20" s="771"/>
      <c r="T20" s="770"/>
      <c r="U20" s="771"/>
      <c r="V20" s="770"/>
      <c r="W20" s="771"/>
      <c r="X20" s="2946"/>
      <c r="Y20" s="3384"/>
      <c r="Z20" s="2947"/>
      <c r="AA20" s="2945">
        <v>1</v>
      </c>
      <c r="AB20" s="2945">
        <v>1</v>
      </c>
      <c r="AC20" s="2945">
        <v>1</v>
      </c>
    </row>
    <row r="21" spans="1:29" ht="15">
      <c r="A21" s="424"/>
      <c r="B21" s="1377" t="s">
        <v>2091</v>
      </c>
      <c r="C21" s="2597">
        <f>估价对象房地状况!C8</f>
        <v>0</v>
      </c>
      <c r="D21" s="446">
        <v>100</v>
      </c>
      <c r="E21" s="455"/>
      <c r="F21" s="451">
        <f>SUMIF(82:82,E22,83:83)-SUMIF(82:82,C22,83:83)+100</f>
        <v>100</v>
      </c>
      <c r="G21" s="453"/>
      <c r="H21" s="446">
        <f>SUMIF(82:82,G22,83:83)-SUMIF(82:82,C22,83:83)+100</f>
        <v>100</v>
      </c>
      <c r="I21" s="453"/>
      <c r="J21" s="446">
        <f>SUMIF(82:82,I22,83:83)-SUMIF(82:82,C22,83:83)+100</f>
        <v>100</v>
      </c>
      <c r="K21" s="441"/>
      <c r="L21" s="1133"/>
      <c r="M21" s="1124"/>
      <c r="N21" s="1124"/>
      <c r="O21" s="1124"/>
      <c r="P21" s="3401"/>
      <c r="Q21" s="2944" t="str">
        <f>B21</f>
        <v>基础设施水平</v>
      </c>
      <c r="R21" s="770" t="s">
        <v>17</v>
      </c>
      <c r="S21" s="771">
        <f>F21</f>
        <v>100</v>
      </c>
      <c r="T21" s="770" t="s">
        <v>17</v>
      </c>
      <c r="U21" s="771">
        <f>H21</f>
        <v>100</v>
      </c>
      <c r="V21" s="770" t="s">
        <v>17</v>
      </c>
      <c r="W21" s="771">
        <f>J21</f>
        <v>100</v>
      </c>
      <c r="X21" s="2946"/>
      <c r="Y21" s="3384"/>
      <c r="Z21" s="2947" t="str">
        <f>Q21</f>
        <v>基础设施水平</v>
      </c>
      <c r="AA21" s="2945">
        <f t="shared" ref="AA21" si="8">D21/F21</f>
        <v>1</v>
      </c>
      <c r="AB21" s="2945">
        <f t="shared" ref="AB21" si="9">D21/H21</f>
        <v>1</v>
      </c>
      <c r="AC21" s="2945">
        <f t="shared" ref="AC21" si="10">D21/J21</f>
        <v>1</v>
      </c>
    </row>
    <row r="22" spans="1:29" ht="15">
      <c r="A22" s="424"/>
      <c r="B22" s="1377"/>
      <c r="C22" s="2598"/>
      <c r="D22" s="444"/>
      <c r="E22" s="443"/>
      <c r="F22" s="444"/>
      <c r="G22" s="2601"/>
      <c r="H22" s="444"/>
      <c r="I22" s="443"/>
      <c r="J22" s="444"/>
      <c r="K22" s="2602"/>
      <c r="L22" s="1133"/>
      <c r="M22" s="1124"/>
      <c r="N22" s="1124"/>
      <c r="O22" s="1124"/>
      <c r="P22" s="3401"/>
      <c r="Q22" s="2944"/>
      <c r="R22" s="770"/>
      <c r="S22" s="771"/>
      <c r="T22" s="770"/>
      <c r="U22" s="771"/>
      <c r="V22" s="770"/>
      <c r="W22" s="771"/>
      <c r="X22" s="2946"/>
      <c r="Y22" s="3384"/>
      <c r="Z22" s="2947"/>
      <c r="AA22" s="2945">
        <v>1</v>
      </c>
      <c r="AB22" s="2945">
        <v>1</v>
      </c>
      <c r="AC22" s="2945">
        <v>1</v>
      </c>
    </row>
    <row r="23" spans="1:29" ht="15">
      <c r="A23" s="424"/>
      <c r="B23" s="447" t="s">
        <v>2093</v>
      </c>
      <c r="C23" s="2597">
        <f>估价对象房地状况!C9</f>
        <v>0</v>
      </c>
      <c r="D23" s="446">
        <v>100</v>
      </c>
      <c r="E23" s="450"/>
      <c r="F23" s="446">
        <f>SUMIF(84:84,E24,85:85)-SUMIF(84:84,C24,85:85)+100</f>
        <v>100</v>
      </c>
      <c r="G23" s="448"/>
      <c r="H23" s="446">
        <f>SUMIF(84:84,G24,85:85)-SUMIF(84:84,C24,85:85)+100</f>
        <v>100</v>
      </c>
      <c r="I23" s="448"/>
      <c r="J23" s="446">
        <f>SUMIF(84:84,I24,85:85)-SUMIF(84:84,C24,85:85)+100</f>
        <v>100</v>
      </c>
      <c r="K23" s="441"/>
      <c r="L23" s="1133"/>
      <c r="M23" s="1124"/>
      <c r="N23" s="1124"/>
      <c r="O23" s="1124"/>
      <c r="P23" s="3401"/>
      <c r="Q23" s="2944" t="str">
        <f>B23</f>
        <v>自然及人文环境</v>
      </c>
      <c r="R23" s="770" t="s">
        <v>21</v>
      </c>
      <c r="S23" s="771">
        <f>F23</f>
        <v>100</v>
      </c>
      <c r="T23" s="770" t="s">
        <v>21</v>
      </c>
      <c r="U23" s="771">
        <f>H23</f>
        <v>100</v>
      </c>
      <c r="V23" s="770" t="s">
        <v>21</v>
      </c>
      <c r="W23" s="771">
        <f>J23</f>
        <v>100</v>
      </c>
      <c r="X23" s="2946"/>
      <c r="Y23" s="3384"/>
      <c r="Z23" s="2947" t="str">
        <f>Q23</f>
        <v>自然及人文环境</v>
      </c>
      <c r="AA23" s="2945">
        <f>D23/F23</f>
        <v>1</v>
      </c>
      <c r="AB23" s="2945">
        <f>D23/H23</f>
        <v>1</v>
      </c>
      <c r="AC23" s="2945">
        <f>D23/J23</f>
        <v>1</v>
      </c>
    </row>
    <row r="24" spans="1:29" ht="15">
      <c r="A24" s="424"/>
      <c r="B24" s="452"/>
      <c r="C24" s="443"/>
      <c r="D24" s="444"/>
      <c r="E24" s="2594"/>
      <c r="F24" s="444"/>
      <c r="G24" s="2595"/>
      <c r="H24" s="444"/>
      <c r="I24" s="2595"/>
      <c r="J24" s="444"/>
      <c r="K24" s="2596"/>
      <c r="L24" s="1133"/>
      <c r="M24" s="1124"/>
      <c r="N24" s="1124"/>
      <c r="O24" s="1124"/>
      <c r="P24" s="3401"/>
      <c r="Q24" s="2944"/>
      <c r="R24" s="770"/>
      <c r="S24" s="771"/>
      <c r="T24" s="770"/>
      <c r="U24" s="771"/>
      <c r="V24" s="770"/>
      <c r="W24" s="771"/>
      <c r="X24" s="2946"/>
      <c r="Y24" s="3384"/>
      <c r="Z24" s="2947"/>
      <c r="AA24" s="2945">
        <v>1</v>
      </c>
      <c r="AB24" s="2945">
        <v>1</v>
      </c>
      <c r="AC24" s="2945">
        <v>1</v>
      </c>
    </row>
    <row r="25" spans="1:29" ht="15">
      <c r="A25" s="424"/>
      <c r="B25" s="2938" t="s">
        <v>2548</v>
      </c>
      <c r="C25" s="456"/>
      <c r="D25" s="431">
        <v>100</v>
      </c>
      <c r="E25" s="2603"/>
      <c r="F25" s="431">
        <f>SUMIF(86:86,E25,87:87)-SUMIF(86:86,C25,87:87)+100</f>
        <v>100</v>
      </c>
      <c r="G25" s="2604"/>
      <c r="H25" s="431">
        <f>SUMIF(86:86,G25,87:87)-SUMIF(86:86,C25,87:87)+100</f>
        <v>100</v>
      </c>
      <c r="I25" s="2604"/>
      <c r="J25" s="431">
        <f>SUMIF(86:86,I25,87:87)-SUMIF(86:86,C25,87:87)+100</f>
        <v>100</v>
      </c>
      <c r="K25" s="422"/>
      <c r="L25" s="1133"/>
      <c r="M25" s="1124"/>
      <c r="N25" s="1124"/>
      <c r="O25" s="1124"/>
      <c r="P25" s="3401"/>
      <c r="Q25" s="2944" t="str">
        <f t="shared" ref="Q25:Q46" si="11">B25</f>
        <v>楼层-1</v>
      </c>
      <c r="R25" s="770" t="s">
        <v>21</v>
      </c>
      <c r="S25" s="771">
        <f t="shared" ref="S25:S46" si="12">F25</f>
        <v>100</v>
      </c>
      <c r="T25" s="770" t="s">
        <v>21</v>
      </c>
      <c r="U25" s="771">
        <f t="shared" ref="U25:U46" si="13">H25</f>
        <v>100</v>
      </c>
      <c r="V25" s="770" t="s">
        <v>21</v>
      </c>
      <c r="W25" s="771">
        <f t="shared" ref="W25:W46" si="14">J25</f>
        <v>100</v>
      </c>
      <c r="X25" s="2946"/>
      <c r="Y25" s="3384"/>
      <c r="Z25" s="2947" t="str">
        <f>Q25</f>
        <v>楼层-1</v>
      </c>
      <c r="AA25" s="2945">
        <f t="shared" ref="AA25:AA46" si="15">D25/F25</f>
        <v>1</v>
      </c>
      <c r="AB25" s="2945">
        <f t="shared" ref="AB25:AB46" si="16">D25/H25</f>
        <v>1</v>
      </c>
      <c r="AC25" s="2945">
        <f t="shared" ref="AC25:AC46" si="17">D25/J25</f>
        <v>1</v>
      </c>
    </row>
    <row r="26" spans="1:29" ht="15">
      <c r="A26" s="424"/>
      <c r="B26" s="2938" t="s">
        <v>2549</v>
      </c>
      <c r="C26" s="456"/>
      <c r="D26" s="431">
        <v>100</v>
      </c>
      <c r="E26" s="2603"/>
      <c r="F26" s="431">
        <f>SUMIF(88:88,E26,89:89)-SUMIF(88:88,C26,89:89)+100</f>
        <v>100</v>
      </c>
      <c r="G26" s="2604"/>
      <c r="H26" s="431">
        <f>SUMIF(88:88,G26,89:89)-SUMIF(88:88,C26,89:89)+100</f>
        <v>100</v>
      </c>
      <c r="I26" s="2604"/>
      <c r="J26" s="431">
        <f>SUMIF(88:88,I26,89:89)-SUMIF(88:88,C26,89:89)+100</f>
        <v>100</v>
      </c>
      <c r="K26" s="422"/>
      <c r="L26" s="1133"/>
      <c r="M26" s="1124"/>
      <c r="N26" s="1124"/>
      <c r="O26" s="1124"/>
      <c r="P26" s="3401"/>
      <c r="Q26" s="2944" t="str">
        <f t="shared" si="11"/>
        <v>朝向</v>
      </c>
      <c r="R26" s="770" t="s">
        <v>21</v>
      </c>
      <c r="S26" s="771">
        <f t="shared" si="12"/>
        <v>100</v>
      </c>
      <c r="T26" s="770" t="s">
        <v>21</v>
      </c>
      <c r="U26" s="771">
        <f t="shared" si="13"/>
        <v>100</v>
      </c>
      <c r="V26" s="770" t="s">
        <v>21</v>
      </c>
      <c r="W26" s="771">
        <f t="shared" si="14"/>
        <v>100</v>
      </c>
      <c r="X26" s="2946"/>
      <c r="Y26" s="3384"/>
      <c r="Z26" s="2947" t="str">
        <f>Q26</f>
        <v>朝向</v>
      </c>
      <c r="AA26" s="2945">
        <f t="shared" si="15"/>
        <v>1</v>
      </c>
      <c r="AB26" s="2945">
        <f t="shared" si="16"/>
        <v>1</v>
      </c>
      <c r="AC26" s="2945">
        <f t="shared" si="17"/>
        <v>1</v>
      </c>
    </row>
    <row r="27" spans="1:29" s="116" customFormat="1" ht="15">
      <c r="A27" s="427"/>
      <c r="B27" s="1379"/>
      <c r="C27" s="428"/>
      <c r="D27" s="458">
        <v>100</v>
      </c>
      <c r="E27" s="461"/>
      <c r="F27" s="458">
        <f>SUMIF(90:90,E27,91:91)-SUMIF(90:90,C27,91:91)+100</f>
        <v>100</v>
      </c>
      <c r="G27" s="459"/>
      <c r="H27" s="458">
        <f>SUMIF(90:90,G27,91:91)-SUMIF(90:90,C27,91:91)+100</f>
        <v>100</v>
      </c>
      <c r="I27" s="459"/>
      <c r="J27" s="458">
        <f>SUMIF(90:90,I27,91:91)-SUMIF(90:90,C27,91:91)+100</f>
        <v>100</v>
      </c>
      <c r="K27" s="2591"/>
      <c r="L27" s="1125"/>
      <c r="M27" s="1126"/>
      <c r="N27" s="1126"/>
      <c r="O27" s="1126"/>
      <c r="P27" s="3401"/>
      <c r="Q27" s="2932">
        <f t="shared" si="11"/>
        <v>0</v>
      </c>
      <c r="R27" s="766" t="s">
        <v>21</v>
      </c>
      <c r="S27" s="767">
        <f t="shared" si="12"/>
        <v>100</v>
      </c>
      <c r="T27" s="766" t="s">
        <v>21</v>
      </c>
      <c r="U27" s="767">
        <f t="shared" si="13"/>
        <v>100</v>
      </c>
      <c r="V27" s="766" t="s">
        <v>21</v>
      </c>
      <c r="W27" s="767">
        <f t="shared" si="14"/>
        <v>100</v>
      </c>
      <c r="X27" s="768"/>
      <c r="Y27" s="3384"/>
      <c r="Z27" s="2933">
        <f>Q27</f>
        <v>0</v>
      </c>
      <c r="AA27" s="2945">
        <f t="shared" si="15"/>
        <v>1</v>
      </c>
      <c r="AB27" s="2945">
        <f t="shared" si="16"/>
        <v>1</v>
      </c>
      <c r="AC27" s="2945">
        <f t="shared" si="17"/>
        <v>1</v>
      </c>
    </row>
    <row r="28" spans="1:29" ht="15">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01"/>
      <c r="Q28" s="2944">
        <f t="shared" si="11"/>
        <v>0</v>
      </c>
      <c r="R28" s="770" t="s">
        <v>21</v>
      </c>
      <c r="S28" s="771">
        <f t="shared" si="12"/>
        <v>100</v>
      </c>
      <c r="T28" s="770" t="s">
        <v>21</v>
      </c>
      <c r="U28" s="771">
        <f t="shared" si="13"/>
        <v>100</v>
      </c>
      <c r="V28" s="770" t="s">
        <v>21</v>
      </c>
      <c r="W28" s="771">
        <f t="shared" si="14"/>
        <v>100</v>
      </c>
      <c r="X28" s="2946"/>
      <c r="Y28" s="3384"/>
      <c r="Z28" s="2947">
        <f t="shared" ref="Z28:Z46" si="18">Q28</f>
        <v>0</v>
      </c>
      <c r="AA28" s="2945">
        <f t="shared" si="15"/>
        <v>1</v>
      </c>
      <c r="AB28" s="2945">
        <f t="shared" si="16"/>
        <v>1</v>
      </c>
      <c r="AC28" s="2945">
        <f t="shared" si="17"/>
        <v>1</v>
      </c>
    </row>
    <row r="29" spans="1:29" ht="15">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01"/>
      <c r="Q29" s="2944">
        <f t="shared" si="11"/>
        <v>0</v>
      </c>
      <c r="R29" s="770" t="s">
        <v>21</v>
      </c>
      <c r="S29" s="771">
        <f t="shared" si="12"/>
        <v>100</v>
      </c>
      <c r="T29" s="770" t="s">
        <v>21</v>
      </c>
      <c r="U29" s="771">
        <f t="shared" si="13"/>
        <v>100</v>
      </c>
      <c r="V29" s="770" t="s">
        <v>21</v>
      </c>
      <c r="W29" s="771">
        <f t="shared" si="14"/>
        <v>100</v>
      </c>
      <c r="X29" s="2946"/>
      <c r="Y29" s="3384"/>
      <c r="Z29" s="2947">
        <f t="shared" si="18"/>
        <v>0</v>
      </c>
      <c r="AA29" s="2945">
        <f t="shared" si="15"/>
        <v>1</v>
      </c>
      <c r="AB29" s="2945">
        <f t="shared" si="16"/>
        <v>1</v>
      </c>
      <c r="AC29" s="2945">
        <f t="shared" si="17"/>
        <v>1</v>
      </c>
    </row>
    <row r="30" spans="1:29" ht="15">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01"/>
      <c r="Q30" s="2944">
        <f t="shared" si="11"/>
        <v>0</v>
      </c>
      <c r="R30" s="770" t="s">
        <v>21</v>
      </c>
      <c r="S30" s="771">
        <f t="shared" si="12"/>
        <v>100</v>
      </c>
      <c r="T30" s="770" t="s">
        <v>21</v>
      </c>
      <c r="U30" s="771">
        <f t="shared" si="13"/>
        <v>100</v>
      </c>
      <c r="V30" s="770" t="s">
        <v>21</v>
      </c>
      <c r="W30" s="771">
        <f t="shared" si="14"/>
        <v>100</v>
      </c>
      <c r="X30" s="2946"/>
      <c r="Y30" s="3384"/>
      <c r="Z30" s="2947">
        <f t="shared" si="18"/>
        <v>0</v>
      </c>
      <c r="AA30" s="2945">
        <f t="shared" si="15"/>
        <v>1</v>
      </c>
      <c r="AB30" s="2945">
        <f t="shared" si="16"/>
        <v>1</v>
      </c>
      <c r="AC30" s="2945">
        <f t="shared" si="17"/>
        <v>1</v>
      </c>
    </row>
    <row r="31" spans="1:29" ht="15.75"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01"/>
      <c r="Q31" s="2944">
        <f t="shared" si="11"/>
        <v>0</v>
      </c>
      <c r="R31" s="770" t="s">
        <v>21</v>
      </c>
      <c r="S31" s="771">
        <f t="shared" si="12"/>
        <v>100</v>
      </c>
      <c r="T31" s="770" t="s">
        <v>21</v>
      </c>
      <c r="U31" s="771">
        <f t="shared" si="13"/>
        <v>100</v>
      </c>
      <c r="V31" s="770" t="s">
        <v>21</v>
      </c>
      <c r="W31" s="771">
        <f t="shared" si="14"/>
        <v>100</v>
      </c>
      <c r="X31" s="2946"/>
      <c r="Y31" s="3384"/>
      <c r="Z31" s="2947">
        <f t="shared" si="18"/>
        <v>0</v>
      </c>
      <c r="AA31" s="2945">
        <f t="shared" si="15"/>
        <v>1</v>
      </c>
      <c r="AB31" s="2945">
        <f t="shared" si="16"/>
        <v>1</v>
      </c>
      <c r="AC31" s="2945">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02" t="s">
        <v>2552</v>
      </c>
      <c r="Q32" s="2944" t="str">
        <f t="shared" si="11"/>
        <v>建筑类型</v>
      </c>
      <c r="R32" s="770" t="s">
        <v>21</v>
      </c>
      <c r="S32" s="771">
        <f t="shared" si="12"/>
        <v>100</v>
      </c>
      <c r="T32" s="770" t="s">
        <v>21</v>
      </c>
      <c r="U32" s="771">
        <f t="shared" si="13"/>
        <v>100</v>
      </c>
      <c r="V32" s="770" t="s">
        <v>21</v>
      </c>
      <c r="W32" s="771">
        <f t="shared" si="14"/>
        <v>100</v>
      </c>
      <c r="X32" s="2946"/>
      <c r="Y32" s="3386" t="s">
        <v>2552</v>
      </c>
      <c r="Z32" s="2947" t="str">
        <f t="shared" si="18"/>
        <v>建筑类型</v>
      </c>
      <c r="AA32" s="2945">
        <f t="shared" si="15"/>
        <v>1</v>
      </c>
      <c r="AB32" s="2945">
        <f t="shared" si="16"/>
        <v>1</v>
      </c>
      <c r="AC32" s="2945">
        <f t="shared" si="17"/>
        <v>1</v>
      </c>
    </row>
    <row r="33" spans="1:29" s="467" customFormat="1" ht="15">
      <c r="A33" s="464"/>
      <c r="B33" s="2938" t="s">
        <v>2553</v>
      </c>
      <c r="C33" s="465"/>
      <c r="D33" s="133">
        <v>100</v>
      </c>
      <c r="E33" s="426"/>
      <c r="F33" s="421" t="e">
        <f>LOOKUP(E33,103:103,104:104)-LOOKUP(C33,103:103,104:104)+100</f>
        <v>#N/A</v>
      </c>
      <c r="G33" s="425"/>
      <c r="H33" s="133" t="e">
        <f>LOOKUP(G33,103:103,104:104)-LOOKUP(C33,103:103,104:104)+100</f>
        <v>#N/A</v>
      </c>
      <c r="I33" s="426"/>
      <c r="J33" s="133" t="e">
        <f>LOOKUP(I33,103:103,104:104)-LOOKUP(C33,103:103,104:104)+100</f>
        <v>#N/A</v>
      </c>
      <c r="K33" s="2591"/>
      <c r="L33" s="1131"/>
      <c r="M33" s="1134"/>
      <c r="N33" s="1134"/>
      <c r="O33" s="1134"/>
      <c r="P33" s="3403"/>
      <c r="Q33" s="772" t="str">
        <f t="shared" si="11"/>
        <v>项目建筑规模</v>
      </c>
      <c r="R33" s="773" t="s">
        <v>21</v>
      </c>
      <c r="S33" s="774" t="e">
        <f t="shared" si="12"/>
        <v>#N/A</v>
      </c>
      <c r="T33" s="773" t="s">
        <v>21</v>
      </c>
      <c r="U33" s="774" t="e">
        <f t="shared" si="13"/>
        <v>#N/A</v>
      </c>
      <c r="V33" s="773" t="s">
        <v>21</v>
      </c>
      <c r="W33" s="774" t="e">
        <f t="shared" si="14"/>
        <v>#N/A</v>
      </c>
      <c r="X33" s="775"/>
      <c r="Y33" s="3386"/>
      <c r="Z33" s="776" t="str">
        <f t="shared" si="18"/>
        <v>项目建筑规模</v>
      </c>
      <c r="AA33" s="2945" t="e">
        <f t="shared" si="15"/>
        <v>#N/A</v>
      </c>
      <c r="AB33" s="2945" t="e">
        <f t="shared" si="16"/>
        <v>#N/A</v>
      </c>
      <c r="AC33" s="2945" t="e">
        <f t="shared" si="17"/>
        <v>#N/A</v>
      </c>
    </row>
    <row r="34" spans="1:29" ht="15">
      <c r="A34" s="468"/>
      <c r="B34" s="2938" t="s">
        <v>2554</v>
      </c>
      <c r="C34" s="2609"/>
      <c r="D34" s="431">
        <v>100</v>
      </c>
      <c r="E34" s="2610"/>
      <c r="F34" s="457">
        <f>SUMIF(105:105,E34,106:106)-SUMIF(105:105,C34,106:106)+100</f>
        <v>100</v>
      </c>
      <c r="G34" s="2609"/>
      <c r="H34" s="431">
        <f>SUMIF(105:105,G34,106:106)-SUMIF(105:105,C34,106:106)+100</f>
        <v>100</v>
      </c>
      <c r="I34" s="2610"/>
      <c r="J34" s="431">
        <f>SUMIF(105:105,I34,106:106)-SUMIF(105:105,C34,106:106)+100</f>
        <v>100</v>
      </c>
      <c r="K34" s="422"/>
      <c r="L34" s="1133"/>
      <c r="M34" s="1124"/>
      <c r="N34" s="1124"/>
      <c r="O34" s="1124"/>
      <c r="P34" s="3403"/>
      <c r="Q34" s="2944" t="str">
        <f t="shared" si="11"/>
        <v>建筑结构</v>
      </c>
      <c r="R34" s="770" t="s">
        <v>21</v>
      </c>
      <c r="S34" s="771">
        <f t="shared" si="12"/>
        <v>100</v>
      </c>
      <c r="T34" s="770" t="s">
        <v>21</v>
      </c>
      <c r="U34" s="771">
        <f t="shared" si="13"/>
        <v>100</v>
      </c>
      <c r="V34" s="770" t="s">
        <v>21</v>
      </c>
      <c r="W34" s="771">
        <f t="shared" si="14"/>
        <v>100</v>
      </c>
      <c r="X34" s="2946"/>
      <c r="Y34" s="3386"/>
      <c r="Z34" s="2947" t="str">
        <f t="shared" si="18"/>
        <v>建筑结构</v>
      </c>
      <c r="AA34" s="2945">
        <f t="shared" si="15"/>
        <v>1</v>
      </c>
      <c r="AB34" s="2945">
        <f t="shared" si="16"/>
        <v>1</v>
      </c>
      <c r="AC34" s="2945">
        <f t="shared" si="17"/>
        <v>1</v>
      </c>
    </row>
    <row r="35" spans="1:29" ht="15">
      <c r="A35" s="468"/>
      <c r="B35" s="2938" t="s">
        <v>2555</v>
      </c>
      <c r="C35" s="2603"/>
      <c r="D35" s="431">
        <v>100</v>
      </c>
      <c r="E35" s="2604"/>
      <c r="F35" s="457">
        <f>SUMIF(107:107,E35,108:108)-SUMIF(107:107,C35,108:108)+100</f>
        <v>100</v>
      </c>
      <c r="G35" s="2603"/>
      <c r="H35" s="431">
        <f>SUMIF(107:107,G35,108:108)-SUMIF(107:107,C35,108:108)+100</f>
        <v>100</v>
      </c>
      <c r="I35" s="2604"/>
      <c r="J35" s="431">
        <f>SUMIF(107:107,I35,108:108)-SUMIF(107:107,C35,108:108)+100</f>
        <v>100</v>
      </c>
      <c r="K35" s="422"/>
      <c r="L35" s="1133"/>
      <c r="M35" s="1124"/>
      <c r="N35" s="1124"/>
      <c r="O35" s="1124"/>
      <c r="P35" s="3403"/>
      <c r="Q35" s="2944" t="str">
        <f t="shared" si="11"/>
        <v>建筑品质</v>
      </c>
      <c r="R35" s="770" t="s">
        <v>21</v>
      </c>
      <c r="S35" s="771">
        <f t="shared" si="12"/>
        <v>100</v>
      </c>
      <c r="T35" s="770" t="s">
        <v>21</v>
      </c>
      <c r="U35" s="771">
        <f t="shared" si="13"/>
        <v>100</v>
      </c>
      <c r="V35" s="770" t="s">
        <v>21</v>
      </c>
      <c r="W35" s="771">
        <f t="shared" si="14"/>
        <v>100</v>
      </c>
      <c r="X35" s="2946"/>
      <c r="Y35" s="3386"/>
      <c r="Z35" s="2947" t="str">
        <f t="shared" si="18"/>
        <v>建筑品质</v>
      </c>
      <c r="AA35" s="2945">
        <f t="shared" si="15"/>
        <v>1</v>
      </c>
      <c r="AB35" s="2945">
        <f t="shared" si="16"/>
        <v>1</v>
      </c>
      <c r="AC35" s="2945">
        <f t="shared" si="17"/>
        <v>1</v>
      </c>
    </row>
    <row r="36" spans="1:29" ht="15">
      <c r="A36" s="468"/>
      <c r="B36" s="2938" t="s">
        <v>2556</v>
      </c>
      <c r="C36" s="2603"/>
      <c r="D36" s="431">
        <v>100</v>
      </c>
      <c r="E36" s="2604"/>
      <c r="F36" s="457">
        <f>SUMIF(109:109,E36,110:110)-SUMIF(109:109,C36,110:110)+100</f>
        <v>100</v>
      </c>
      <c r="G36" s="2603"/>
      <c r="H36" s="431">
        <f>SUMIF(109:109,G36,110:110)-SUMIF(109:109,C36,110:110)+100</f>
        <v>100</v>
      </c>
      <c r="I36" s="2604"/>
      <c r="J36" s="431">
        <f>SUMIF(109:109,I36,110:110)-SUMIF(109:109,C36,110:110)+100</f>
        <v>100</v>
      </c>
      <c r="K36" s="422"/>
      <c r="L36" s="1133"/>
      <c r="M36" s="1124"/>
      <c r="N36" s="1124"/>
      <c r="O36" s="1124"/>
      <c r="P36" s="3403"/>
      <c r="Q36" s="2944" t="str">
        <f t="shared" si="11"/>
        <v>公共部分装修</v>
      </c>
      <c r="R36" s="770" t="s">
        <v>21</v>
      </c>
      <c r="S36" s="771">
        <f t="shared" si="12"/>
        <v>100</v>
      </c>
      <c r="T36" s="770" t="s">
        <v>21</v>
      </c>
      <c r="U36" s="771">
        <f t="shared" si="13"/>
        <v>100</v>
      </c>
      <c r="V36" s="770" t="s">
        <v>21</v>
      </c>
      <c r="W36" s="771">
        <f t="shared" si="14"/>
        <v>100</v>
      </c>
      <c r="X36" s="2946"/>
      <c r="Y36" s="3386"/>
      <c r="Z36" s="2947" t="str">
        <f t="shared" si="18"/>
        <v>公共部分装修</v>
      </c>
      <c r="AA36" s="2945">
        <f t="shared" si="15"/>
        <v>1</v>
      </c>
      <c r="AB36" s="2945">
        <f t="shared" si="16"/>
        <v>1</v>
      </c>
      <c r="AC36" s="2945">
        <f t="shared" si="17"/>
        <v>1</v>
      </c>
    </row>
    <row r="37" spans="1:29" s="116" customFormat="1" ht="15">
      <c r="A37" s="469"/>
      <c r="B37" s="2938" t="s">
        <v>2557</v>
      </c>
      <c r="C37" s="470"/>
      <c r="D37" s="133">
        <v>100</v>
      </c>
      <c r="E37" s="470"/>
      <c r="F37" s="421" t="e">
        <f>LOOKUP(E37,112:112,113:113)-LOOKUP(C37,112:112,113:113)+100</f>
        <v>#N/A</v>
      </c>
      <c r="G37" s="472"/>
      <c r="H37" s="133" t="e">
        <f>LOOKUP(G37,112:112,113:113)-LOOKUP(C37,112:112,113:113)+100</f>
        <v>#N/A</v>
      </c>
      <c r="I37" s="471"/>
      <c r="J37" s="133" t="e">
        <f>LOOKUP(I37,112:112,113:113)-LOOKUP(C37,112:112,113:113)+100</f>
        <v>#N/A</v>
      </c>
      <c r="K37" s="422"/>
      <c r="L37" s="1125"/>
      <c r="M37" s="1126"/>
      <c r="N37" s="1126"/>
      <c r="O37" s="1126"/>
      <c r="P37" s="3403"/>
      <c r="Q37" s="2932" t="str">
        <f t="shared" si="11"/>
        <v>成新度</v>
      </c>
      <c r="R37" s="766" t="s">
        <v>21</v>
      </c>
      <c r="S37" s="767" t="e">
        <f t="shared" si="12"/>
        <v>#N/A</v>
      </c>
      <c r="T37" s="766" t="s">
        <v>21</v>
      </c>
      <c r="U37" s="767" t="e">
        <f t="shared" si="13"/>
        <v>#N/A</v>
      </c>
      <c r="V37" s="766" t="s">
        <v>21</v>
      </c>
      <c r="W37" s="767" t="e">
        <f t="shared" si="14"/>
        <v>#N/A</v>
      </c>
      <c r="X37" s="768"/>
      <c r="Y37" s="3386"/>
      <c r="Z37" s="2933" t="str">
        <f t="shared" si="18"/>
        <v>成新度</v>
      </c>
      <c r="AA37" s="769" t="e">
        <f t="shared" si="15"/>
        <v>#N/A</v>
      </c>
      <c r="AB37" s="769" t="e">
        <f t="shared" si="16"/>
        <v>#N/A</v>
      </c>
      <c r="AC37" s="769" t="e">
        <f t="shared" si="17"/>
        <v>#N/A</v>
      </c>
    </row>
    <row r="38" spans="1:29" ht="15">
      <c r="A38" s="468"/>
      <c r="B38" s="2938" t="s">
        <v>2558</v>
      </c>
      <c r="C38" s="2603"/>
      <c r="D38" s="431">
        <v>100</v>
      </c>
      <c r="E38" s="2604"/>
      <c r="F38" s="457">
        <f>SUMIF(114:114,E38,115:115)-SUMIF(114:114,C38,115:115)+100</f>
        <v>100</v>
      </c>
      <c r="G38" s="2603"/>
      <c r="H38" s="431">
        <f>SUMIF(114:114,G38,115:115)-SUMIF(114:114,C38,115:115)+100</f>
        <v>100</v>
      </c>
      <c r="I38" s="2604"/>
      <c r="J38" s="431">
        <f>SUMIF(114:114,I38,115:115)-SUMIF(114:114,C38,115:115)+100</f>
        <v>100</v>
      </c>
      <c r="K38" s="422"/>
      <c r="L38" s="1133"/>
      <c r="M38" s="1124"/>
      <c r="N38" s="1124"/>
      <c r="O38" s="1124"/>
      <c r="P38" s="3403" t="s">
        <v>2552</v>
      </c>
      <c r="Q38" s="2944" t="str">
        <f t="shared" si="11"/>
        <v>物业管理</v>
      </c>
      <c r="R38" s="770" t="s">
        <v>21</v>
      </c>
      <c r="S38" s="771">
        <f t="shared" si="12"/>
        <v>100</v>
      </c>
      <c r="T38" s="770" t="s">
        <v>21</v>
      </c>
      <c r="U38" s="771">
        <f t="shared" si="13"/>
        <v>100</v>
      </c>
      <c r="V38" s="770" t="s">
        <v>21</v>
      </c>
      <c r="W38" s="771">
        <f t="shared" si="14"/>
        <v>100</v>
      </c>
      <c r="X38" s="2946"/>
      <c r="Y38" s="3386" t="s">
        <v>2552</v>
      </c>
      <c r="Z38" s="2947" t="str">
        <f t="shared" si="18"/>
        <v>物业管理</v>
      </c>
      <c r="AA38" s="2945">
        <f t="shared" si="15"/>
        <v>1</v>
      </c>
      <c r="AB38" s="2945">
        <f t="shared" si="16"/>
        <v>1</v>
      </c>
      <c r="AC38" s="2945">
        <f t="shared" si="17"/>
        <v>1</v>
      </c>
    </row>
    <row r="39" spans="1:29" ht="15">
      <c r="A39" s="468"/>
      <c r="B39" s="2938" t="s">
        <v>2559</v>
      </c>
      <c r="C39" s="2603"/>
      <c r="D39" s="431">
        <v>100</v>
      </c>
      <c r="E39" s="2604"/>
      <c r="F39" s="457">
        <f>SUMIF(116:116,E39,117:117)-SUMIF(116:116,C39,117:117)+100</f>
        <v>100</v>
      </c>
      <c r="G39" s="2603"/>
      <c r="H39" s="431">
        <f>SUMIF(116:116,G39,117:117)-SUMIF(116:116,C39,117:117)+100</f>
        <v>100</v>
      </c>
      <c r="I39" s="2604"/>
      <c r="J39" s="431">
        <f>SUMIF(116:116,I39,117:117)-SUMIF(116:116,C39,117:117)+100</f>
        <v>100</v>
      </c>
      <c r="K39" s="422"/>
      <c r="L39" s="1133"/>
      <c r="M39" s="1124"/>
      <c r="N39" s="1124"/>
      <c r="O39" s="1124"/>
      <c r="P39" s="3403"/>
      <c r="Q39" s="2944" t="str">
        <f t="shared" si="11"/>
        <v>市政基础设施</v>
      </c>
      <c r="R39" s="770" t="s">
        <v>21</v>
      </c>
      <c r="S39" s="771">
        <f t="shared" si="12"/>
        <v>100</v>
      </c>
      <c r="T39" s="770" t="s">
        <v>21</v>
      </c>
      <c r="U39" s="771">
        <f t="shared" si="13"/>
        <v>100</v>
      </c>
      <c r="V39" s="770" t="s">
        <v>21</v>
      </c>
      <c r="W39" s="771">
        <f t="shared" si="14"/>
        <v>100</v>
      </c>
      <c r="X39" s="2946"/>
      <c r="Y39" s="3386"/>
      <c r="Z39" s="2947" t="str">
        <f t="shared" si="18"/>
        <v>市政基础设施</v>
      </c>
      <c r="AA39" s="2945">
        <f t="shared" si="15"/>
        <v>1</v>
      </c>
      <c r="AB39" s="2945">
        <f t="shared" si="16"/>
        <v>1</v>
      </c>
      <c r="AC39" s="2945">
        <f t="shared" si="17"/>
        <v>1</v>
      </c>
    </row>
    <row r="40" spans="1:29" ht="15">
      <c r="A40" s="468"/>
      <c r="B40" s="2938" t="s">
        <v>2560</v>
      </c>
      <c r="C40" s="2603"/>
      <c r="D40" s="431">
        <v>100</v>
      </c>
      <c r="E40" s="2604"/>
      <c r="F40" s="457">
        <f>SUMIF(118:118,E40,119:119)-SUMIF(118:118,C40,119:119)+100</f>
        <v>100</v>
      </c>
      <c r="G40" s="2603"/>
      <c r="H40" s="431">
        <f>SUMIF(118:118,G40,119:119)-SUMIF(118:118,C40,119:119)+100</f>
        <v>100</v>
      </c>
      <c r="I40" s="2604"/>
      <c r="J40" s="431">
        <f>SUMIF(118:118,I40,119:119)-SUMIF(118:118,C40,119:119)+100</f>
        <v>100</v>
      </c>
      <c r="K40" s="422"/>
      <c r="L40" s="1133"/>
      <c r="M40" s="1124"/>
      <c r="N40" s="1124"/>
      <c r="O40" s="1124"/>
      <c r="P40" s="3403"/>
      <c r="Q40" s="2944" t="str">
        <f t="shared" si="11"/>
        <v>房型</v>
      </c>
      <c r="R40" s="770" t="s">
        <v>21</v>
      </c>
      <c r="S40" s="771">
        <f t="shared" si="12"/>
        <v>100</v>
      </c>
      <c r="T40" s="770" t="s">
        <v>21</v>
      </c>
      <c r="U40" s="771">
        <f t="shared" si="13"/>
        <v>100</v>
      </c>
      <c r="V40" s="770" t="s">
        <v>21</v>
      </c>
      <c r="W40" s="771">
        <f t="shared" si="14"/>
        <v>100</v>
      </c>
      <c r="X40" s="2946"/>
      <c r="Y40" s="3386"/>
      <c r="Z40" s="2947" t="str">
        <f t="shared" si="18"/>
        <v>房型</v>
      </c>
      <c r="AA40" s="2945">
        <f t="shared" si="15"/>
        <v>1</v>
      </c>
      <c r="AB40" s="2945">
        <f t="shared" si="16"/>
        <v>1</v>
      </c>
      <c r="AC40" s="2945">
        <f t="shared" si="17"/>
        <v>1</v>
      </c>
    </row>
    <row r="41" spans="1:29" s="467" customFormat="1" ht="28.5">
      <c r="A41" s="464"/>
      <c r="B41" s="2938" t="s">
        <v>2561</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1"/>
      <c r="L41" s="1131"/>
      <c r="M41" s="1134"/>
      <c r="N41" s="1134"/>
      <c r="O41" s="1134"/>
      <c r="P41" s="3403"/>
      <c r="Q41" s="772" t="str">
        <f t="shared" si="11"/>
        <v>单套/主力户型建筑面积</v>
      </c>
      <c r="R41" s="773" t="s">
        <v>21</v>
      </c>
      <c r="S41" s="774">
        <f t="shared" si="12"/>
        <v>100</v>
      </c>
      <c r="T41" s="773" t="s">
        <v>21</v>
      </c>
      <c r="U41" s="774">
        <f t="shared" si="13"/>
        <v>100</v>
      </c>
      <c r="V41" s="773" t="s">
        <v>21</v>
      </c>
      <c r="W41" s="774">
        <f t="shared" si="14"/>
        <v>100</v>
      </c>
      <c r="X41" s="775"/>
      <c r="Y41" s="3386"/>
      <c r="Z41" s="776" t="str">
        <f t="shared" si="18"/>
        <v>单套/主力户型建筑面积</v>
      </c>
      <c r="AA41" s="2945">
        <f t="shared" si="15"/>
        <v>1</v>
      </c>
      <c r="AB41" s="2945">
        <f t="shared" si="16"/>
        <v>1</v>
      </c>
      <c r="AC41" s="2945">
        <f t="shared" si="17"/>
        <v>1</v>
      </c>
    </row>
    <row r="42" spans="1:29" ht="15">
      <c r="A42" s="468"/>
      <c r="B42" s="2938" t="s">
        <v>2562</v>
      </c>
      <c r="C42" s="2603"/>
      <c r="D42" s="431">
        <v>100</v>
      </c>
      <c r="E42" s="2604"/>
      <c r="F42" s="457">
        <f>SUMIF(122:122,E42,123:123)-SUMIF(122:122,C42,123:123)+100</f>
        <v>100</v>
      </c>
      <c r="G42" s="2603"/>
      <c r="H42" s="431">
        <f>SUMIF(122:122,G42,123:123)-SUMIF(122:122,C42,123:123)+100</f>
        <v>100</v>
      </c>
      <c r="I42" s="2604"/>
      <c r="J42" s="431">
        <f>SUMIF(122:122,I42,123:123)-SUMIF(122:122,C42,123:123)+100</f>
        <v>100</v>
      </c>
      <c r="K42" s="422"/>
      <c r="L42" s="1133"/>
      <c r="M42" s="1124"/>
      <c r="N42" s="1124"/>
      <c r="O42" s="1124"/>
      <c r="P42" s="3403"/>
      <c r="Q42" s="2944" t="str">
        <f t="shared" si="11"/>
        <v>内部装修</v>
      </c>
      <c r="R42" s="770" t="s">
        <v>21</v>
      </c>
      <c r="S42" s="771">
        <f t="shared" si="12"/>
        <v>100</v>
      </c>
      <c r="T42" s="770" t="s">
        <v>21</v>
      </c>
      <c r="U42" s="771">
        <f t="shared" si="13"/>
        <v>100</v>
      </c>
      <c r="V42" s="770" t="s">
        <v>21</v>
      </c>
      <c r="W42" s="771">
        <f t="shared" si="14"/>
        <v>100</v>
      </c>
      <c r="X42" s="2946"/>
      <c r="Y42" s="3386"/>
      <c r="Z42" s="2947" t="str">
        <f t="shared" si="18"/>
        <v>内部装修</v>
      </c>
      <c r="AA42" s="2945">
        <f t="shared" si="15"/>
        <v>1</v>
      </c>
      <c r="AB42" s="2945">
        <f t="shared" si="16"/>
        <v>1</v>
      </c>
      <c r="AC42" s="2945">
        <f t="shared" si="17"/>
        <v>1</v>
      </c>
    </row>
    <row r="43" spans="1:29" ht="15">
      <c r="A43" s="468"/>
      <c r="B43" s="2938" t="s">
        <v>2563</v>
      </c>
      <c r="C43" s="2603"/>
      <c r="D43" s="431">
        <v>100</v>
      </c>
      <c r="E43" s="2604"/>
      <c r="F43" s="457">
        <f>SUMIF(124:124,E43,125:125)-SUMIF(124:124,C43,125:125)+100</f>
        <v>100</v>
      </c>
      <c r="G43" s="2603"/>
      <c r="H43" s="431">
        <f>SUMIF(124:124,G43,125:125)-SUMIF(124:124,C43,125:125)+100</f>
        <v>100</v>
      </c>
      <c r="I43" s="2604"/>
      <c r="J43" s="431">
        <f>SUMIF(124:124,I43,125:125)-SUMIF(124:124,C43,125:125)+100</f>
        <v>100</v>
      </c>
      <c r="K43" s="422"/>
      <c r="L43" s="1133"/>
      <c r="M43" s="1124"/>
      <c r="N43" s="1124"/>
      <c r="O43" s="1124"/>
      <c r="P43" s="3403"/>
      <c r="Q43" s="2944" t="str">
        <f t="shared" si="11"/>
        <v>内部装修维护情况</v>
      </c>
      <c r="R43" s="770" t="s">
        <v>21</v>
      </c>
      <c r="S43" s="771">
        <f t="shared" si="12"/>
        <v>100</v>
      </c>
      <c r="T43" s="770" t="s">
        <v>21</v>
      </c>
      <c r="U43" s="771">
        <f t="shared" si="13"/>
        <v>100</v>
      </c>
      <c r="V43" s="770" t="s">
        <v>21</v>
      </c>
      <c r="W43" s="771">
        <f t="shared" si="14"/>
        <v>100</v>
      </c>
      <c r="X43" s="2946"/>
      <c r="Y43" s="3386"/>
      <c r="Z43" s="2947" t="str">
        <f t="shared" si="18"/>
        <v>内部装修维护情况</v>
      </c>
      <c r="AA43" s="2945">
        <f t="shared" si="15"/>
        <v>1</v>
      </c>
      <c r="AB43" s="2945">
        <f t="shared" si="16"/>
        <v>1</v>
      </c>
      <c r="AC43" s="2945">
        <f t="shared" si="17"/>
        <v>1</v>
      </c>
    </row>
    <row r="44" spans="1:29" s="116" customFormat="1" ht="15">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03"/>
      <c r="Q44" s="2932">
        <f t="shared" si="11"/>
        <v>0</v>
      </c>
      <c r="R44" s="766" t="s">
        <v>21</v>
      </c>
      <c r="S44" s="767">
        <f t="shared" si="12"/>
        <v>100</v>
      </c>
      <c r="T44" s="766" t="s">
        <v>21</v>
      </c>
      <c r="U44" s="767">
        <f t="shared" si="13"/>
        <v>100</v>
      </c>
      <c r="V44" s="766" t="s">
        <v>21</v>
      </c>
      <c r="W44" s="767">
        <f t="shared" si="14"/>
        <v>100</v>
      </c>
      <c r="X44" s="768"/>
      <c r="Y44" s="3386"/>
      <c r="Z44" s="2933">
        <f t="shared" si="18"/>
        <v>0</v>
      </c>
      <c r="AA44" s="769">
        <f t="shared" si="15"/>
        <v>1</v>
      </c>
      <c r="AB44" s="769">
        <f t="shared" si="16"/>
        <v>1</v>
      </c>
      <c r="AC44" s="769">
        <f t="shared" si="17"/>
        <v>1</v>
      </c>
    </row>
    <row r="45" spans="1:29" ht="15">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03"/>
      <c r="Q45" s="2944">
        <f t="shared" si="11"/>
        <v>0</v>
      </c>
      <c r="R45" s="770" t="s">
        <v>21</v>
      </c>
      <c r="S45" s="771">
        <f t="shared" si="12"/>
        <v>100</v>
      </c>
      <c r="T45" s="770" t="s">
        <v>21</v>
      </c>
      <c r="U45" s="771">
        <f t="shared" si="13"/>
        <v>100</v>
      </c>
      <c r="V45" s="770" t="s">
        <v>21</v>
      </c>
      <c r="W45" s="771">
        <f t="shared" si="14"/>
        <v>100</v>
      </c>
      <c r="X45" s="2946"/>
      <c r="Y45" s="3386"/>
      <c r="Z45" s="2947">
        <f t="shared" si="18"/>
        <v>0</v>
      </c>
      <c r="AA45" s="2945">
        <f t="shared" si="15"/>
        <v>1</v>
      </c>
      <c r="AB45" s="2945">
        <f t="shared" si="16"/>
        <v>1</v>
      </c>
      <c r="AC45" s="2945">
        <f t="shared" si="17"/>
        <v>1</v>
      </c>
    </row>
    <row r="46" spans="1:29" ht="15.75"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04"/>
      <c r="Q46" s="2944">
        <f t="shared" si="11"/>
        <v>0</v>
      </c>
      <c r="R46" s="770" t="s">
        <v>20</v>
      </c>
      <c r="S46" s="771">
        <f t="shared" si="12"/>
        <v>100</v>
      </c>
      <c r="T46" s="770" t="s">
        <v>20</v>
      </c>
      <c r="U46" s="771">
        <f t="shared" si="13"/>
        <v>100</v>
      </c>
      <c r="V46" s="770" t="s">
        <v>20</v>
      </c>
      <c r="W46" s="771">
        <f t="shared" si="14"/>
        <v>100</v>
      </c>
      <c r="X46" s="2946"/>
      <c r="Y46" s="3405"/>
      <c r="Z46" s="2947">
        <f t="shared" si="18"/>
        <v>0</v>
      </c>
      <c r="AA46" s="2945">
        <f t="shared" si="15"/>
        <v>1</v>
      </c>
      <c r="AB46" s="2945">
        <f t="shared" si="16"/>
        <v>1</v>
      </c>
      <c r="AC46" s="2945">
        <f t="shared" si="17"/>
        <v>1</v>
      </c>
    </row>
    <row r="47" spans="1:29" ht="15">
      <c r="A47" s="475" t="s">
        <v>2564</v>
      </c>
      <c r="B47" s="476"/>
      <c r="C47" s="1400" t="s">
        <v>19</v>
      </c>
      <c r="D47" s="1401"/>
      <c r="E47" s="1402"/>
      <c r="F47" s="1403"/>
      <c r="G47" s="1404"/>
      <c r="H47" s="1405"/>
      <c r="I47" s="1402"/>
      <c r="J47" s="1405"/>
      <c r="K47" s="2611"/>
      <c r="L47" s="1136"/>
      <c r="M47" s="1137"/>
      <c r="N47" s="1124"/>
      <c r="O47" s="1137"/>
      <c r="P47" s="3368" t="str">
        <f>A47</f>
        <v>成交单价（元/平方米）</v>
      </c>
      <c r="Q47" s="3368"/>
      <c r="R47" s="3406">
        <f>E47</f>
        <v>0</v>
      </c>
      <c r="S47" s="3406"/>
      <c r="T47" s="3406">
        <f>G47</f>
        <v>0</v>
      </c>
      <c r="U47" s="3406"/>
      <c r="V47" s="3406">
        <f>I47</f>
        <v>0</v>
      </c>
      <c r="W47" s="3406"/>
      <c r="X47" s="755"/>
      <c r="Y47" s="777"/>
      <c r="Z47" s="755"/>
      <c r="AA47" s="755"/>
      <c r="AB47" s="755"/>
      <c r="AC47" s="755"/>
    </row>
    <row r="48" spans="1:29" ht="15.75" thickBot="1">
      <c r="A48" s="482" t="s">
        <v>2565</v>
      </c>
      <c r="B48" s="483"/>
      <c r="C48" s="1406" t="e">
        <f>R49</f>
        <v>#DIV/0!</v>
      </c>
      <c r="D48" s="1407"/>
      <c r="E48" s="1408" t="e">
        <f>R48</f>
        <v>#DIV/0!</v>
      </c>
      <c r="F48" s="1408"/>
      <c r="G48" s="1406" t="e">
        <f>T48</f>
        <v>#DIV/0!</v>
      </c>
      <c r="H48" s="1407"/>
      <c r="I48" s="1408" t="e">
        <f>V48</f>
        <v>#DIV/0!</v>
      </c>
      <c r="J48" s="1407"/>
      <c r="K48" s="2612"/>
      <c r="L48" s="1136"/>
      <c r="M48" s="1137"/>
      <c r="N48" s="1137"/>
      <c r="O48" s="1137"/>
      <c r="P48" s="3368" t="str">
        <f>A48</f>
        <v>比较价值（元/平方米）</v>
      </c>
      <c r="Q48" s="336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55"/>
      <c r="Y48" s="755"/>
      <c r="Z48" s="755"/>
      <c r="AA48" s="755"/>
      <c r="AB48" s="755"/>
      <c r="AC48" s="755"/>
    </row>
    <row r="49" spans="1:29" ht="15.75" thickBot="1">
      <c r="A49" s="488" t="s">
        <v>2566</v>
      </c>
      <c r="B49" s="489"/>
      <c r="C49" s="1409" t="e">
        <f>R49</f>
        <v>#DIV/0!</v>
      </c>
      <c r="D49" s="1410"/>
      <c r="E49" s="1410"/>
      <c r="F49" s="1410"/>
      <c r="G49" s="1410"/>
      <c r="H49" s="1410"/>
      <c r="I49" s="1410"/>
      <c r="J49" s="1410"/>
      <c r="K49" s="2613"/>
      <c r="L49" s="1136"/>
      <c r="M49" s="1137"/>
      <c r="N49" s="1137"/>
      <c r="O49" s="1137"/>
      <c r="P49" s="3388" t="str">
        <f>A49</f>
        <v>估价对象XX用房的比较价值（楼面单价，元/平方米）</v>
      </c>
      <c r="Q49" s="3389"/>
      <c r="R49" s="3407" t="e">
        <f>IF(F1="售价",ROUND(AVERAGE(R48:V48),0),ROUND(AVERAGE(R48:V48),1))</f>
        <v>#DIV/0!</v>
      </c>
      <c r="S49" s="3407"/>
      <c r="T49" s="3407"/>
      <c r="U49" s="3407"/>
      <c r="V49" s="3407"/>
      <c r="W49" s="340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row>
    <row r="53" spans="1:29" ht="13.5" customHeight="1">
      <c r="A53" s="1137"/>
      <c r="B53" s="1137"/>
      <c r="C53" s="493" t="s">
        <v>2568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row>
    <row r="54" spans="1:29" s="498" customFormat="1" ht="13.5" customHeight="1">
      <c r="A54" s="1138"/>
      <c r="B54" s="1138"/>
      <c r="C54" s="493" t="s">
        <v>2569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2535</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6"/>
      <c r="O66" s="1146"/>
      <c r="P66" s="2620"/>
      <c r="Q66" s="500"/>
    </row>
    <row r="67" spans="1:17" ht="15.75" thickTop="1">
      <c r="A67" s="530"/>
      <c r="B67" s="542" t="s">
        <v>2545</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6"/>
      <c r="O69" s="1146"/>
      <c r="P69" s="2620"/>
      <c r="Q69" s="500"/>
    </row>
    <row r="70" spans="1:17" s="467" customFormat="1" ht="15.75" thickTop="1">
      <c r="A70" s="549"/>
      <c r="B70" s="534">
        <f>B12</f>
        <v>0</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579"/>
      <c r="D107" s="579"/>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6"/>
      <c r="O108" s="1146"/>
      <c r="P108" s="2620"/>
      <c r="Q108" s="500"/>
    </row>
    <row r="109" spans="1:17" ht="15" thickTop="1">
      <c r="A109" s="595"/>
      <c r="B109" s="534" t="s">
        <v>2603</v>
      </c>
      <c r="C109" s="550"/>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7"/>
      <c r="O113" s="1147"/>
      <c r="P113" s="2621"/>
      <c r="Q113" s="555"/>
    </row>
    <row r="114" spans="1:17" ht="15" thickTop="1">
      <c r="A114" s="595"/>
      <c r="B114" s="534" t="s">
        <v>2604</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579"/>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3" zoomScale="7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27</v>
      </c>
      <c r="D1" s="1812" t="s">
        <v>3078</v>
      </c>
      <c r="E1" s="1813" t="s">
        <v>1387</v>
      </c>
      <c r="F1" s="1276">
        <f ca="1">J53</f>
        <v>31.54</v>
      </c>
      <c r="G1" s="1828">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186057</v>
      </c>
      <c r="C2" s="1837" t="s">
        <v>1516</v>
      </c>
      <c r="D2" s="1837"/>
      <c r="E2" s="1838"/>
      <c r="F2" s="1839"/>
      <c r="G2" s="1840"/>
      <c r="H2" s="1832"/>
      <c r="I2" s="1832"/>
      <c r="J2" s="1832"/>
      <c r="K2" s="1833"/>
      <c r="L2" s="1832"/>
      <c r="M2" s="1832"/>
    </row>
    <row r="3" spans="1:37" ht="18" customHeight="1" thickBot="1">
      <c r="A3" s="1841" t="s">
        <v>1517</v>
      </c>
      <c r="B3" s="1842">
        <f ca="1">IF(ISERROR(B2*10000/F43),0,ROUND(B2*10000/F43,0))</f>
        <v>22420</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10904</v>
      </c>
      <c r="D5" s="1814" t="s">
        <v>1402</v>
      </c>
      <c r="E5" s="1286"/>
      <c r="F5" s="1287"/>
      <c r="G5" s="1843"/>
      <c r="H5" s="340">
        <v>1</v>
      </c>
      <c r="I5" s="341" t="s">
        <v>1401</v>
      </c>
      <c r="J5" s="1285">
        <f ca="1">J6+J10+J12</f>
        <v>0</v>
      </c>
      <c r="K5" s="1814" t="s">
        <v>1402</v>
      </c>
      <c r="L5" s="1286"/>
      <c r="M5" s="1287"/>
    </row>
    <row r="6" spans="1:37" ht="18" customHeight="1">
      <c r="A6" s="1284" t="s">
        <v>1035</v>
      </c>
      <c r="B6" s="3397" t="s">
        <v>1403</v>
      </c>
      <c r="C6" s="1289">
        <f ca="1">ROUND(F6*F8*F7*(1-F9)/10000,0)</f>
        <v>10904</v>
      </c>
      <c r="D6" s="161" t="s">
        <v>3019</v>
      </c>
      <c r="E6" s="343" t="s">
        <v>1405</v>
      </c>
      <c r="F6" s="344">
        <f ca="1">INDIRECT("'数据-取费表'!u"&amp;$G$1)</f>
        <v>4</v>
      </c>
      <c r="G6" s="1843"/>
      <c r="H6" s="1284" t="s">
        <v>1035</v>
      </c>
      <c r="I6" s="3397" t="s">
        <v>1403</v>
      </c>
      <c r="J6" s="342">
        <f ca="1">ROUND(M6*M8*M7*(1-M9)/10000,0)</f>
        <v>0</v>
      </c>
      <c r="K6" s="161" t="s">
        <v>3018</v>
      </c>
      <c r="L6" s="343" t="s">
        <v>1405</v>
      </c>
      <c r="M6" s="344">
        <f ca="1">INDIRECT("'数据-取费表'!z"&amp;$G$1)</f>
        <v>0</v>
      </c>
    </row>
    <row r="7" spans="1:37" ht="18" customHeight="1">
      <c r="A7" s="1288"/>
      <c r="B7" s="3398"/>
      <c r="C7" s="1290"/>
      <c r="D7" s="348"/>
      <c r="E7" s="3025" t="s">
        <v>1406</v>
      </c>
      <c r="F7" s="344">
        <f ca="1">IF(INDIRECT("'数据-取费表'!ah"&amp;$G$1)="",INDIRECT("'数据-取费表'!k"&amp;$G$1),INDIRECT("'数据-取费表'!ah"&amp;$G$1))</f>
        <v>82985.51999999999</v>
      </c>
      <c r="G7" s="1843"/>
      <c r="H7" s="345"/>
      <c r="I7" s="3398"/>
      <c r="J7" s="347"/>
      <c r="K7" s="348"/>
      <c r="L7" s="343" t="s">
        <v>1406</v>
      </c>
      <c r="M7" s="344">
        <f ca="1">F7</f>
        <v>82985.51999999999</v>
      </c>
    </row>
    <row r="8" spans="1:37" ht="18" customHeight="1">
      <c r="A8" s="345"/>
      <c r="B8" s="3398"/>
      <c r="C8" s="347"/>
      <c r="D8" s="348"/>
      <c r="E8" s="343" t="s">
        <v>1407</v>
      </c>
      <c r="F8" s="344">
        <f ca="1">INDIRECT("'数据-取费表'!ai"&amp;$G$1)</f>
        <v>365</v>
      </c>
      <c r="G8" s="1843"/>
      <c r="H8" s="345"/>
      <c r="I8" s="3398"/>
      <c r="J8" s="347"/>
      <c r="K8" s="348"/>
      <c r="L8" s="343" t="s">
        <v>1407</v>
      </c>
      <c r="M8" s="344">
        <f ca="1">INDIRECT("'数据-取费表'!ai"&amp;$G$1)</f>
        <v>365</v>
      </c>
    </row>
    <row r="9" spans="1:37" ht="18" customHeight="1">
      <c r="A9" s="345"/>
      <c r="B9" s="3399"/>
      <c r="C9" s="347"/>
      <c r="D9" s="348"/>
      <c r="E9" s="343" t="s">
        <v>1408</v>
      </c>
      <c r="F9" s="353">
        <f ca="1">INDIRECT("'数据-取费表'!w"&amp;$G$1)</f>
        <v>0.1</v>
      </c>
      <c r="G9" s="1843"/>
      <c r="H9" s="345"/>
      <c r="I9" s="3399"/>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62058</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38694</v>
      </c>
      <c r="D14" s="3028" t="s">
        <v>1418</v>
      </c>
      <c r="E14" s="3027"/>
      <c r="F14" s="360"/>
      <c r="G14" s="1843"/>
      <c r="H14" s="1194" t="s">
        <v>1035</v>
      </c>
      <c r="I14" s="343" t="s">
        <v>1419</v>
      </c>
      <c r="J14" s="24">
        <f ca="1">C29</f>
        <v>62058</v>
      </c>
      <c r="K14" s="3024"/>
      <c r="L14" s="972"/>
      <c r="M14" s="973"/>
    </row>
    <row r="15" spans="1:37" s="1850" customFormat="1" ht="18" customHeight="1" thickBot="1">
      <c r="A15" s="1194" t="s">
        <v>1036</v>
      </c>
      <c r="B15" s="343" t="s">
        <v>1420</v>
      </c>
      <c r="C15" s="24">
        <f ca="1">ROUND(C14*F15,0)</f>
        <v>1161</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1154</v>
      </c>
      <c r="K16" s="1330" t="s">
        <v>1425</v>
      </c>
      <c r="L16" s="3030"/>
      <c r="M16" s="1287"/>
    </row>
    <row r="17" spans="1:37" s="1850" customFormat="1" ht="18" customHeight="1">
      <c r="A17" s="1194" t="s">
        <v>1390</v>
      </c>
      <c r="B17" s="343" t="s">
        <v>1426</v>
      </c>
      <c r="C17" s="24">
        <f ca="1">ROUND(F17*(F43+INDIRECT("'数据-取费表'!S"&amp;$G$1))/10000,0)</f>
        <v>1727</v>
      </c>
      <c r="D17" s="343" t="s">
        <v>1427</v>
      </c>
      <c r="E17" s="343" t="s">
        <v>1428</v>
      </c>
      <c r="F17" s="26">
        <f>'数据-取费表'!B35</f>
        <v>200</v>
      </c>
      <c r="G17" s="1846"/>
      <c r="H17" s="1194" t="s">
        <v>1035</v>
      </c>
      <c r="I17" s="343" t="s">
        <v>1429</v>
      </c>
      <c r="J17" s="24">
        <f ca="1">ROUND(IF(项目基本情况!B11="自然人",J5*M17,J18+J19+J20),1)</f>
        <v>532.9</v>
      </c>
      <c r="K17" s="3028" t="s">
        <v>1430</v>
      </c>
      <c r="L17" s="3029"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580</v>
      </c>
      <c r="D18" s="343" t="s">
        <v>1421</v>
      </c>
      <c r="E18" s="343" t="s">
        <v>1422</v>
      </c>
      <c r="F18" s="363">
        <f>'数据-取费表'!B36</f>
        <v>1.4999999999999999E-2</v>
      </c>
      <c r="G18" s="1846"/>
      <c r="H18" s="1194" t="s">
        <v>1034</v>
      </c>
      <c r="I18" s="343" t="s">
        <v>1433</v>
      </c>
      <c r="J18" s="24">
        <f ca="1">ROUND(J5*M18/(1+'数据-取费表'!C42),2)</f>
        <v>0</v>
      </c>
      <c r="K18" s="3029"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42162</v>
      </c>
      <c r="D19" s="137" t="s">
        <v>1436</v>
      </c>
      <c r="E19" s="3023"/>
      <c r="F19" s="26"/>
      <c r="G19" s="1843"/>
      <c r="H19" s="1194" t="s">
        <v>1036</v>
      </c>
      <c r="I19" s="343" t="s">
        <v>1437</v>
      </c>
      <c r="J19" s="24">
        <f ca="1">IF(K19="按租金收入计税",ROUND(J5*M19,2),ROUND(C29*M19*0.7,2))</f>
        <v>521.29</v>
      </c>
      <c r="K19" s="1820" t="s">
        <v>1438</v>
      </c>
      <c r="L19" s="343" t="s">
        <v>1422</v>
      </c>
      <c r="M19" s="363">
        <f>IF(K19="按租金收入计税",'数据-取费表'!B51,'数据-取费表'!B50)</f>
        <v>1.2E-2</v>
      </c>
    </row>
    <row r="20" spans="1:37" s="1850" customFormat="1" ht="18" customHeight="1">
      <c r="A20" s="1194" t="s">
        <v>1039</v>
      </c>
      <c r="B20" s="343" t="s">
        <v>1439</v>
      </c>
      <c r="C20" s="24">
        <f ca="1">ROUND(C19*F20,0)</f>
        <v>1265</v>
      </c>
      <c r="D20" s="365" t="s">
        <v>1440</v>
      </c>
      <c r="E20" s="343" t="s">
        <v>1422</v>
      </c>
      <c r="F20" s="363">
        <f>'数据-取费表'!B37</f>
        <v>0.03</v>
      </c>
      <c r="G20" s="1846"/>
      <c r="H20" s="1194" t="s">
        <v>1389</v>
      </c>
      <c r="I20" s="161" t="s">
        <v>1441</v>
      </c>
      <c r="J20" s="25">
        <f ca="1">ROUND(M20*M21/10000,2)</f>
        <v>11.58</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v>
      </c>
      <c r="D21" s="365" t="s">
        <v>1445</v>
      </c>
      <c r="E21" s="343" t="s">
        <v>1446</v>
      </c>
      <c r="F21" s="363">
        <f>'数据-取费表'!B38</f>
        <v>0.03</v>
      </c>
      <c r="G21" s="1846"/>
      <c r="H21" s="368"/>
      <c r="I21" s="352"/>
      <c r="J21" s="29"/>
      <c r="K21" s="369"/>
      <c r="L21" s="343" t="s">
        <v>1447</v>
      </c>
      <c r="M21" s="344">
        <f ca="1">INDIRECT("'数据-取费表'!r"&amp;$G$1)</f>
        <v>5790.7599999999993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3023"/>
      <c r="F22" s="26"/>
      <c r="G22" s="1843"/>
      <c r="H22" s="1194" t="s">
        <v>1039</v>
      </c>
      <c r="I22" s="343" t="s">
        <v>1449</v>
      </c>
      <c r="J22" s="24">
        <f ca="1">ROUND(J14*M22,1)</f>
        <v>620.6</v>
      </c>
      <c r="K22" s="3029"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4224</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3029"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3023"/>
      <c r="F25" s="26"/>
      <c r="G25" s="1843"/>
      <c r="H25" s="1322" t="s">
        <v>1031</v>
      </c>
      <c r="I25" s="1337" t="s">
        <v>1463</v>
      </c>
      <c r="J25" s="351">
        <f ca="1">J5-J16</f>
        <v>-1154</v>
      </c>
      <c r="K25" s="1338" t="s">
        <v>1464</v>
      </c>
      <c r="L25" s="1339"/>
      <c r="M25" s="1340"/>
    </row>
    <row r="26" spans="1:37">
      <c r="A26" s="1194" t="s">
        <v>1034</v>
      </c>
      <c r="B26" s="343" t="s">
        <v>1465</v>
      </c>
      <c r="C26" s="24">
        <f ca="1">ROUND((C19+C20)*F26,0)</f>
        <v>8685</v>
      </c>
      <c r="D26" s="365" t="s">
        <v>1466</v>
      </c>
      <c r="E26" s="354" t="s">
        <v>1467</v>
      </c>
      <c r="F26" s="353">
        <f ca="1">INDIRECT("'数据-取费表'!q"&amp;$G$1)</f>
        <v>0.2</v>
      </c>
      <c r="G26" s="1843"/>
      <c r="H26" s="340" t="s">
        <v>1032</v>
      </c>
      <c r="I26" s="341" t="s">
        <v>1468</v>
      </c>
      <c r="J26" s="342">
        <f ca="1">IF(J5&lt;&gt;0,ROUND(J25*(1-((1+M28)/(1+M26))^M27)/(M26-M28),0),0)</f>
        <v>0</v>
      </c>
      <c r="K26" s="366" t="s">
        <v>1469</v>
      </c>
      <c r="L26" s="343" t="s">
        <v>1470</v>
      </c>
      <c r="M26" s="353">
        <f ca="1">INDIRECT("'数据-取费表'!I"&amp;$G$1)</f>
        <v>5.5E-2</v>
      </c>
    </row>
    <row r="27" spans="1:37" ht="18" customHeight="1">
      <c r="A27" s="1194" t="s">
        <v>1036</v>
      </c>
      <c r="B27" s="343" t="s">
        <v>1471</v>
      </c>
      <c r="C27" s="24">
        <f ca="1">ROUND(F21*F26,4)</f>
        <v>6.0000000000000001E-3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62058</v>
      </c>
      <c r="D29" s="1335"/>
      <c r="E29" s="1333"/>
      <c r="F29" s="1336"/>
      <c r="G29" s="1846"/>
      <c r="H29" s="376" t="s">
        <v>1033</v>
      </c>
      <c r="I29" s="377" t="s">
        <v>1479</v>
      </c>
      <c r="J29" s="378">
        <f ca="1">ROUND(J26/(1+F40)^F41,0)</f>
        <v>0</v>
      </c>
      <c r="K29" s="379" t="s">
        <v>1480</v>
      </c>
      <c r="L29" s="380"/>
      <c r="M29" s="381">
        <f ca="1">INDIRECT("'数据-取费表'!k"&amp;$G$1)</f>
        <v>82985.51999999999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2693</v>
      </c>
      <c r="D30" s="1330" t="s">
        <v>1425</v>
      </c>
      <c r="E30" s="3030"/>
      <c r="F30" s="1287"/>
      <c r="G30" s="1843"/>
      <c r="H30" s="741"/>
      <c r="I30" s="742"/>
      <c r="J30" s="743"/>
      <c r="K30" s="744"/>
      <c r="L30" s="745"/>
      <c r="M30" s="746"/>
    </row>
    <row r="31" spans="1:37" ht="18" customHeight="1">
      <c r="A31" s="1194" t="s">
        <v>1035</v>
      </c>
      <c r="B31" s="343" t="s">
        <v>1429</v>
      </c>
      <c r="C31" s="24">
        <f ca="1">ROUND(IF(项目基本情况!B11="自然人",C5*F31,C32+C33+C34),1)</f>
        <v>1901.6</v>
      </c>
      <c r="D31" s="3028" t="s">
        <v>1430</v>
      </c>
      <c r="E31" s="3029"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581.54999999999995</v>
      </c>
      <c r="D32" s="3029"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1308.48</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11.58</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5790.7599999999993</v>
      </c>
      <c r="G35" s="1843"/>
      <c r="H35" s="741"/>
      <c r="I35" s="1852"/>
      <c r="J35" s="1853"/>
      <c r="K35" s="1854"/>
      <c r="L35" s="1851"/>
      <c r="M35" s="1851"/>
    </row>
    <row r="36" spans="1:18" ht="18" customHeight="1">
      <c r="A36" s="1345" t="s">
        <v>1039</v>
      </c>
      <c r="B36" s="343" t="s">
        <v>1449</v>
      </c>
      <c r="C36" s="24">
        <f ca="1">ROUND(C29*F36,1)</f>
        <v>620.6</v>
      </c>
      <c r="D36" s="3029"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62.1</v>
      </c>
      <c r="D37" s="3029"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109</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8211</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186057</v>
      </c>
      <c r="D40" s="366" t="s">
        <v>1469</v>
      </c>
      <c r="E40" s="343" t="s">
        <v>1470</v>
      </c>
      <c r="F40" s="353">
        <f ca="1">INDIRECT("'数据-取费表'!I"&amp;$G$1)</f>
        <v>5.5E-2</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3.5000000000000003E-2</v>
      </c>
      <c r="G42" s="1843"/>
      <c r="H42" s="728"/>
      <c r="I42" s="1852"/>
      <c r="J42" s="1853"/>
      <c r="K42" s="747"/>
      <c r="L42" s="728"/>
      <c r="M42" s="728"/>
    </row>
    <row r="43" spans="1:18" ht="18" customHeight="1" thickBot="1">
      <c r="A43" s="376" t="s">
        <v>1033</v>
      </c>
      <c r="B43" s="377" t="s">
        <v>1487</v>
      </c>
      <c r="C43" s="378">
        <f ca="1">ROUND(C40*10000/F43,0)</f>
        <v>22420</v>
      </c>
      <c r="D43" s="379" t="s">
        <v>1488</v>
      </c>
      <c r="E43" s="380" t="s">
        <v>1489</v>
      </c>
      <c r="F43" s="381">
        <f ca="1">INDIRECT("'数据-取费表'!k"&amp;$G$1)</f>
        <v>82985.51999999999</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-273613</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186057</v>
      </c>
      <c r="R47" s="1878" t="s">
        <v>1529</v>
      </c>
    </row>
    <row r="48" spans="1:18" s="1834" customFormat="1" ht="28.5" thickBot="1">
      <c r="A48" s="1353" t="s">
        <v>1135</v>
      </c>
      <c r="B48" s="341" t="s">
        <v>1401</v>
      </c>
      <c r="C48" s="3022">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62058</v>
      </c>
      <c r="R49" s="1878" t="s">
        <v>1529</v>
      </c>
    </row>
    <row r="50" spans="1:18" s="1834" customFormat="1" ht="13.5" thickBot="1">
      <c r="A50" s="1188"/>
      <c r="B50" s="1191"/>
      <c r="C50" s="1361"/>
      <c r="D50" s="1165"/>
      <c r="E50" s="1270" t="s">
        <v>1406</v>
      </c>
      <c r="F50" s="1271">
        <f ca="1">F7</f>
        <v>82985.51999999999</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47007</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395" t="s">
        <v>1548</v>
      </c>
      <c r="L53" s="3396"/>
      <c r="O53" s="1876" t="s">
        <v>1046</v>
      </c>
      <c r="P53" s="1877" t="s">
        <v>1549</v>
      </c>
      <c r="Q53" s="1878">
        <f ca="1">Q47+Q48</f>
        <v>186057</v>
      </c>
      <c r="R53" s="1878" t="s">
        <v>1047</v>
      </c>
    </row>
    <row r="54" spans="1:18" s="1834" customFormat="1" ht="13.5" thickBot="1">
      <c r="A54" s="1399"/>
      <c r="B54" s="1817" t="s">
        <v>1388</v>
      </c>
      <c r="C54" s="1171"/>
      <c r="D54" s="1816"/>
      <c r="E54" s="302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3026"/>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62058</v>
      </c>
      <c r="D56" s="1906"/>
      <c r="E56" s="1907"/>
      <c r="F56" s="1899"/>
      <c r="I56" s="1908" t="s">
        <v>1554</v>
      </c>
      <c r="J56" s="1909" t="s">
        <v>3042</v>
      </c>
      <c r="K56" s="1879" t="s">
        <v>1555</v>
      </c>
      <c r="L56" s="1882" t="str">
        <f ca="1">IF(L48&lt;J51,"——",L48-J53)</f>
        <v>——</v>
      </c>
      <c r="O56" s="1876" t="s">
        <v>1040</v>
      </c>
      <c r="P56" s="1877" t="s">
        <v>1528</v>
      </c>
      <c r="Q56" s="1878">
        <f ca="1">C40+J29</f>
        <v>186057</v>
      </c>
      <c r="R56" s="1878" t="s">
        <v>1529</v>
      </c>
    </row>
    <row r="57" spans="1:18" s="1834" customFormat="1" ht="24.75" thickBot="1">
      <c r="A57" s="1910"/>
      <c r="B57" s="1162" t="s">
        <v>1478</v>
      </c>
      <c r="C57" s="278">
        <f ca="1">C29</f>
        <v>62058</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5907</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5224.5</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5212.87</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11.58</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186057</v>
      </c>
      <c r="R62" s="1878" t="s">
        <v>1047</v>
      </c>
    </row>
    <row r="63" spans="1:18" s="1834" customFormat="1" ht="13.5" thickBot="1">
      <c r="A63" s="368"/>
      <c r="B63" s="1168"/>
      <c r="C63" s="29"/>
      <c r="D63" s="1178"/>
      <c r="E63" s="1162" t="s">
        <v>1447</v>
      </c>
      <c r="F63" s="344">
        <f t="shared" ca="1" si="0"/>
        <v>5790.7599999999993</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620.6</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62.1</v>
      </c>
      <c r="D65" s="1176" t="s">
        <v>1454</v>
      </c>
      <c r="E65" s="1162" t="s">
        <v>1422</v>
      </c>
      <c r="F65" s="372">
        <f t="shared" ca="1" si="0"/>
        <v>1E-3</v>
      </c>
      <c r="I65" s="1921" t="s">
        <v>1579</v>
      </c>
      <c r="J65" s="1922">
        <v>40</v>
      </c>
      <c r="K65" s="1922">
        <v>30</v>
      </c>
      <c r="L65" s="1922">
        <v>50</v>
      </c>
      <c r="M65" s="1924">
        <v>0.02</v>
      </c>
      <c r="O65" s="1876" t="s">
        <v>1040</v>
      </c>
      <c r="P65" s="1877" t="s">
        <v>1528</v>
      </c>
      <c r="Q65" s="1878">
        <f ca="1">C40+J29</f>
        <v>186057</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-5907</v>
      </c>
      <c r="D67" s="1175" t="s">
        <v>1464</v>
      </c>
      <c r="E67" s="1180"/>
      <c r="F67" s="1181"/>
      <c r="O67" s="1886" t="s">
        <v>1042</v>
      </c>
      <c r="P67" s="1877" t="s">
        <v>1562</v>
      </c>
      <c r="Q67" s="1925">
        <f ca="1">L51</f>
        <v>47007</v>
      </c>
      <c r="R67" s="1878" t="s">
        <v>1582</v>
      </c>
    </row>
    <row r="68" spans="1:18" s="1834" customFormat="1" ht="16.5" thickBot="1">
      <c r="A68" s="1159" t="s">
        <v>1032</v>
      </c>
      <c r="B68" s="1160" t="s">
        <v>1485</v>
      </c>
      <c r="C68" s="342">
        <f ca="1">ROUND(C67*(1-((1+F70)/(1+F68))^F69)/(F68-F70),0)</f>
        <v>-87556</v>
      </c>
      <c r="D68" s="1177" t="s">
        <v>1469</v>
      </c>
      <c r="E68" s="1162" t="s">
        <v>1470</v>
      </c>
      <c r="F68" s="353">
        <f ca="1">F40</f>
        <v>5.5E-2</v>
      </c>
      <c r="O68" s="1886" t="s">
        <v>1043</v>
      </c>
      <c r="P68" s="1926" t="s">
        <v>1583</v>
      </c>
      <c r="Q68" s="1878">
        <f ca="1">ROUND(Q69-Q70*Q71,0)</f>
        <v>2936</v>
      </c>
      <c r="R68" s="1878" t="s">
        <v>1051</v>
      </c>
    </row>
    <row r="69" spans="1:18" s="1834" customFormat="1" ht="13.5" thickBot="1">
      <c r="A69" s="1163"/>
      <c r="B69" s="1164"/>
      <c r="C69" s="347"/>
      <c r="D69" s="1182" t="s">
        <v>1473</v>
      </c>
      <c r="E69" s="1162" t="s">
        <v>1474</v>
      </c>
      <c r="F69" s="375">
        <f ca="1">F41</f>
        <v>31.54</v>
      </c>
      <c r="O69" s="1886" t="s">
        <v>1048</v>
      </c>
      <c r="P69" s="1926" t="s">
        <v>1584</v>
      </c>
      <c r="Q69" s="1878">
        <f ca="1">C39</f>
        <v>8211</v>
      </c>
      <c r="R69" s="1878" t="s">
        <v>1529</v>
      </c>
    </row>
    <row r="70" spans="1:18" s="1834" customFormat="1" ht="13.5" thickBot="1">
      <c r="A70" s="1166"/>
      <c r="B70" s="1167"/>
      <c r="C70" s="351"/>
      <c r="D70" s="1178"/>
      <c r="E70" s="1162" t="s">
        <v>1477</v>
      </c>
      <c r="F70" s="1268"/>
      <c r="O70" s="1886" t="s">
        <v>1049</v>
      </c>
      <c r="P70" s="1926" t="s">
        <v>1585</v>
      </c>
      <c r="Q70" s="1878">
        <f ca="1">C13</f>
        <v>62058</v>
      </c>
      <c r="R70" s="1878" t="s">
        <v>1529</v>
      </c>
    </row>
    <row r="71" spans="1:18" s="1834" customFormat="1" ht="13.5" thickBot="1">
      <c r="A71" s="1183" t="s">
        <v>1033</v>
      </c>
      <c r="B71" s="1184" t="s">
        <v>1487</v>
      </c>
      <c r="C71" s="378">
        <f ca="1">ROUND(C68*10000/F71,0)</f>
        <v>-10551</v>
      </c>
      <c r="D71" s="1185" t="s">
        <v>1488</v>
      </c>
      <c r="E71" s="1186" t="s">
        <v>1489</v>
      </c>
      <c r="F71" s="381">
        <f ca="1">F43</f>
        <v>82985.51999999999</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5275</v>
      </c>
      <c r="D75" s="1834"/>
      <c r="E75" s="1834"/>
      <c r="F75" s="1834"/>
      <c r="K75" s="1860"/>
      <c r="L75" s="1834"/>
      <c r="O75" s="1876" t="s">
        <v>1046</v>
      </c>
      <c r="P75" s="1877" t="s">
        <v>1549</v>
      </c>
      <c r="Q75" s="1878">
        <f ca="1">Q65+Q66</f>
        <v>186057</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0.35799999999999998</v>
      </c>
    </row>
    <row r="80" spans="1:18">
      <c r="B80" s="382" t="s">
        <v>1511</v>
      </c>
      <c r="C80" s="314">
        <f ca="1">ROUND(C75/C39,3)</f>
        <v>0.64200000000000002</v>
      </c>
    </row>
    <row r="81" spans="2:3">
      <c r="B81" s="310" t="s">
        <v>1512</v>
      </c>
      <c r="C81" s="278"/>
    </row>
    <row r="82" spans="2:3">
      <c r="B82" s="313" t="s">
        <v>1513</v>
      </c>
      <c r="C82" s="315">
        <f ca="1">1-C83</f>
        <v>0.66599999999999993</v>
      </c>
    </row>
    <row r="83" spans="2:3">
      <c r="B83" s="313" t="s">
        <v>1514</v>
      </c>
      <c r="C83" s="314">
        <f ca="1">ROUND(C13/C40,3)</f>
        <v>0.33400000000000002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E50" sqref="E50"/>
    </sheetView>
  </sheetViews>
  <sheetFormatPr defaultColWidth="8.875" defaultRowHeight="14.25"/>
  <cols>
    <col min="1" max="1" width="10.5" style="399" customWidth="1"/>
    <col min="2" max="3" width="15.6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1116"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659" t="s">
        <v>2673</v>
      </c>
      <c r="C1" s="1612" t="s">
        <v>2517</v>
      </c>
      <c r="D1" s="1613" t="s">
        <v>27</v>
      </c>
      <c r="E1" s="1622"/>
      <c r="F1" s="2574" t="s">
        <v>4215</v>
      </c>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f>IF(C2="——",ROUND(C50*D3/10000,0),ROUND(C50*D3/10000,0)-D2)</f>
        <v>187580</v>
      </c>
      <c r="C2" s="2576" t="s">
        <v>70</v>
      </c>
      <c r="D2" s="1358" t="e">
        <f ca="1">SUMIF(INDIRECT("'"&amp;F2&amp;"'"&amp;"!A:A"),"承租人权益价值",INDIRECT("'"&amp;F2&amp;"'"&amp;"!c:c"))</f>
        <v>#REF!</v>
      </c>
      <c r="E2" s="2577" t="s">
        <v>2318</v>
      </c>
      <c r="F2" s="2578"/>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f>IF(C2="——",C50,ROUND(B2*10000/D3,0))</f>
        <v>22604</v>
      </c>
      <c r="C3" s="396" t="s">
        <v>2631</v>
      </c>
      <c r="D3" s="395">
        <f>IF(D1="",'数据-汇总表'!E3,SUMIF('数据-汇总表'!$C19:$C33,D1,'数据-汇总表'!$E19:$E33))</f>
        <v>82985.51999999999</v>
      </c>
      <c r="E3" s="2653"/>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397" t="s">
        <v>2632</v>
      </c>
      <c r="B4" s="398"/>
      <c r="C4" s="3369" t="s">
        <v>2633</v>
      </c>
      <c r="D4" s="3370"/>
      <c r="E4" s="3371" t="s">
        <v>2634</v>
      </c>
      <c r="F4" s="3372"/>
      <c r="G4" s="3369" t="s">
        <v>2635</v>
      </c>
      <c r="H4" s="3370"/>
      <c r="I4" s="3369" t="s">
        <v>2636</v>
      </c>
      <c r="J4" s="3370"/>
      <c r="K4" s="606" t="s">
        <v>2637</v>
      </c>
      <c r="L4" s="1123"/>
      <c r="M4" s="1124"/>
      <c r="N4" s="1124"/>
      <c r="O4" s="1124"/>
      <c r="P4" s="3418" t="s">
        <v>2638</v>
      </c>
      <c r="Q4" s="3419"/>
      <c r="R4" s="3409" t="s">
        <v>2634</v>
      </c>
      <c r="S4" s="3410"/>
      <c r="T4" s="3409" t="s">
        <v>2635</v>
      </c>
      <c r="U4" s="3410"/>
      <c r="V4" s="3422" t="s">
        <v>2636</v>
      </c>
      <c r="W4" s="3422"/>
      <c r="X4" s="2660"/>
      <c r="Y4" s="3409" t="s">
        <v>2638</v>
      </c>
      <c r="Z4" s="3410"/>
      <c r="AA4" s="3408" t="s">
        <v>2634</v>
      </c>
      <c r="AB4" s="3408" t="s">
        <v>2635</v>
      </c>
      <c r="AC4" s="3415" t="s">
        <v>2636</v>
      </c>
    </row>
    <row r="5" spans="1:29" ht="15">
      <c r="A5" s="400"/>
      <c r="B5" s="401"/>
      <c r="C5" s="3362" t="s">
        <v>2529</v>
      </c>
      <c r="D5" s="3363"/>
      <c r="E5" s="3411" t="s">
        <v>4239</v>
      </c>
      <c r="F5" s="3361"/>
      <c r="G5" s="3412" t="s">
        <v>4237</v>
      </c>
      <c r="H5" s="3363"/>
      <c r="I5" s="3412" t="s">
        <v>4241</v>
      </c>
      <c r="J5" s="3363"/>
      <c r="K5" s="606"/>
      <c r="L5" s="1123"/>
      <c r="M5" s="1124"/>
      <c r="N5" s="1124"/>
      <c r="O5" s="1124"/>
      <c r="P5" s="3420"/>
      <c r="Q5" s="3376"/>
      <c r="R5" s="3358"/>
      <c r="S5" s="3359"/>
      <c r="T5" s="3358"/>
      <c r="U5" s="3359"/>
      <c r="V5" s="3381"/>
      <c r="W5" s="3381"/>
      <c r="X5" s="1805"/>
      <c r="Y5" s="3358"/>
      <c r="Z5" s="3359"/>
      <c r="AA5" s="3352"/>
      <c r="AB5" s="3352"/>
      <c r="AC5" s="3416"/>
    </row>
    <row r="6" spans="1:29" ht="15.75" thickBot="1">
      <c r="A6" s="402"/>
      <c r="B6" s="403"/>
      <c r="C6" s="3364" t="s">
        <v>2533</v>
      </c>
      <c r="D6" s="3365"/>
      <c r="E6" s="3413" t="s">
        <v>4240</v>
      </c>
      <c r="F6" s="3367"/>
      <c r="G6" s="3414" t="s">
        <v>4238</v>
      </c>
      <c r="H6" s="3365"/>
      <c r="I6" s="3414" t="s">
        <v>4242</v>
      </c>
      <c r="J6" s="3365"/>
      <c r="K6" s="606" t="s">
        <v>2534</v>
      </c>
      <c r="L6" s="1123"/>
      <c r="M6" s="1124"/>
      <c r="N6" s="1124"/>
      <c r="O6" s="1124"/>
      <c r="P6" s="3421"/>
      <c r="Q6" s="3378"/>
      <c r="R6" s="3358"/>
      <c r="S6" s="3359"/>
      <c r="T6" s="3379"/>
      <c r="U6" s="3380"/>
      <c r="V6" s="3381"/>
      <c r="W6" s="3381"/>
      <c r="X6" s="1805"/>
      <c r="Y6" s="3379"/>
      <c r="Z6" s="3380"/>
      <c r="AA6" s="3353"/>
      <c r="AB6" s="3353"/>
      <c r="AC6" s="3417"/>
    </row>
    <row r="7" spans="1:29" s="116" customFormat="1" ht="15.75" thickBot="1">
      <c r="A7" s="404" t="s">
        <v>2535</v>
      </c>
      <c r="B7" s="405"/>
      <c r="C7" s="406">
        <f>'数据-取费表'!B2</f>
        <v>43332</v>
      </c>
      <c r="D7" s="407">
        <v>100</v>
      </c>
      <c r="E7" s="408">
        <v>43313</v>
      </c>
      <c r="F7" s="409">
        <f>SUMIF(59:59,YEAR(E7)&amp;"-"&amp;MONTH(E7),60:60)</f>
        <v>100</v>
      </c>
      <c r="G7" s="2686">
        <f>E7</f>
        <v>43313</v>
      </c>
      <c r="H7" s="407">
        <f>SUMIF(59:59,YEAR(G7)&amp;"-"&amp;MONTH(G7),60:60)</f>
        <v>100</v>
      </c>
      <c r="I7" s="408">
        <f>E7</f>
        <v>43313</v>
      </c>
      <c r="J7" s="407">
        <f>SUMIF(59:59,YEAR(I7)&amp;"-"&amp;MONTH(I7),60:60)</f>
        <v>100</v>
      </c>
      <c r="K7" s="607"/>
      <c r="L7" s="1125"/>
      <c r="M7" s="1126"/>
      <c r="N7" s="1126"/>
      <c r="O7" s="1126"/>
      <c r="P7" s="3423" t="s">
        <v>2536</v>
      </c>
      <c r="Q7" s="3382"/>
      <c r="R7" s="766" t="s">
        <v>17</v>
      </c>
      <c r="S7" s="767">
        <f t="shared" ref="S7:S15" si="0">F7</f>
        <v>100</v>
      </c>
      <c r="T7" s="766" t="s">
        <v>17</v>
      </c>
      <c r="U7" s="767">
        <f t="shared" ref="U7:U15" si="1">H7</f>
        <v>100</v>
      </c>
      <c r="V7" s="766" t="s">
        <v>17</v>
      </c>
      <c r="W7" s="767">
        <f t="shared" ref="W7:W15" si="2">J7</f>
        <v>100</v>
      </c>
      <c r="X7" s="768"/>
      <c r="Y7" s="3354" t="s">
        <v>2536</v>
      </c>
      <c r="Z7" s="3355"/>
      <c r="AA7" s="769">
        <f>D7/F7</f>
        <v>1</v>
      </c>
      <c r="AB7" s="769">
        <f>D7/H7</f>
        <v>1</v>
      </c>
      <c r="AC7" s="2661">
        <f>D7/J7</f>
        <v>1</v>
      </c>
    </row>
    <row r="8" spans="1:29" s="116" customFormat="1" ht="15.75" thickBot="1">
      <c r="A8" s="404" t="s">
        <v>2537</v>
      </c>
      <c r="B8" s="405"/>
      <c r="C8" s="410" t="s">
        <v>2639</v>
      </c>
      <c r="D8" s="407">
        <v>100</v>
      </c>
      <c r="E8" s="410" t="s">
        <v>3189</v>
      </c>
      <c r="F8" s="409">
        <f>SUMIF(62:62,E8,63:63)-SUMIF(62:62,C8,63:63)+100</f>
        <v>100</v>
      </c>
      <c r="G8" s="410" t="s">
        <v>3189</v>
      </c>
      <c r="H8" s="407">
        <f>SUMIF(62:62,G8,63:63)-SUMIF(62:62,C8,63:63)+100</f>
        <v>100</v>
      </c>
      <c r="I8" s="410" t="s">
        <v>3189</v>
      </c>
      <c r="J8" s="407">
        <f>SUMIF(62:62,I8,63:63)-SUMIF(62:62,C8,63:63)+100</f>
        <v>100</v>
      </c>
      <c r="K8" s="607"/>
      <c r="L8" s="1125"/>
      <c r="M8" s="1126"/>
      <c r="N8" s="1126"/>
      <c r="O8" s="1126"/>
      <c r="P8" s="3423" t="s">
        <v>2539</v>
      </c>
      <c r="Q8" s="3355"/>
      <c r="R8" s="766" t="s">
        <v>17</v>
      </c>
      <c r="S8" s="767">
        <f t="shared" si="0"/>
        <v>100</v>
      </c>
      <c r="T8" s="766" t="s">
        <v>17</v>
      </c>
      <c r="U8" s="767">
        <f t="shared" si="1"/>
        <v>100</v>
      </c>
      <c r="V8" s="766" t="s">
        <v>17</v>
      </c>
      <c r="W8" s="767">
        <f t="shared" si="2"/>
        <v>100</v>
      </c>
      <c r="X8" s="768"/>
      <c r="Y8" s="3354" t="s">
        <v>2539</v>
      </c>
      <c r="Z8" s="3355"/>
      <c r="AA8" s="769">
        <f t="shared" ref="AA8:AA47" si="3">D8/F8</f>
        <v>1</v>
      </c>
      <c r="AB8" s="769">
        <f t="shared" ref="AB8:AB47" si="4">D8/H8</f>
        <v>1</v>
      </c>
      <c r="AC8" s="2661">
        <f t="shared" ref="AC8:AC47" si="5">D8/J8</f>
        <v>1</v>
      </c>
    </row>
    <row r="9" spans="1:29" s="116" customFormat="1">
      <c r="A9" s="411" t="s">
        <v>2540</v>
      </c>
      <c r="B9" s="71" t="s">
        <v>2541</v>
      </c>
      <c r="C9" s="3004" t="s">
        <v>4216</v>
      </c>
      <c r="D9" s="132">
        <v>100</v>
      </c>
      <c r="E9" s="415" t="s">
        <v>27</v>
      </c>
      <c r="F9" s="414">
        <f>SUMIF(64:64,E9,65:65)-SUMIF(64:64,C9,65:65)+100</f>
        <v>100</v>
      </c>
      <c r="G9" s="415" t="s">
        <v>27</v>
      </c>
      <c r="H9" s="132">
        <f>SUMIF(64:64,G9,65:65)-SUMIF(64:64,C9,65:65)+100</f>
        <v>100</v>
      </c>
      <c r="I9" s="415" t="s">
        <v>27</v>
      </c>
      <c r="J9" s="132">
        <f>SUMIF(64:64,I9,65:65)-SUMIF(64:64,C9,65:65)+100</f>
        <v>100</v>
      </c>
      <c r="K9" s="607"/>
      <c r="L9" s="1125"/>
      <c r="M9" s="1126"/>
      <c r="N9" s="1126"/>
      <c r="O9" s="1126"/>
      <c r="P9" s="3392" t="s">
        <v>2542</v>
      </c>
      <c r="Q9" s="1787" t="str">
        <f t="shared" ref="Q9:Q15" si="6">B9</f>
        <v>用途</v>
      </c>
      <c r="R9" s="766" t="s">
        <v>17</v>
      </c>
      <c r="S9" s="767">
        <f t="shared" si="0"/>
        <v>100</v>
      </c>
      <c r="T9" s="766" t="s">
        <v>17</v>
      </c>
      <c r="U9" s="767">
        <f t="shared" si="1"/>
        <v>100</v>
      </c>
      <c r="V9" s="766" t="s">
        <v>17</v>
      </c>
      <c r="W9" s="767">
        <f t="shared" si="2"/>
        <v>100</v>
      </c>
      <c r="X9" s="768"/>
      <c r="Y9" s="3224" t="s">
        <v>2543</v>
      </c>
      <c r="Z9" s="55" t="str">
        <f t="shared" ref="Z9:Z15" si="7">Q9</f>
        <v>用途</v>
      </c>
      <c r="AA9" s="769">
        <f t="shared" si="3"/>
        <v>1</v>
      </c>
      <c r="AB9" s="769">
        <f t="shared" si="4"/>
        <v>1</v>
      </c>
      <c r="AC9" s="2661">
        <f t="shared" si="5"/>
        <v>1</v>
      </c>
    </row>
    <row r="10" spans="1:29" s="423" customFormat="1" ht="27">
      <c r="A10" s="417"/>
      <c r="B10" s="418" t="s">
        <v>2544</v>
      </c>
      <c r="C10" s="419" t="s">
        <v>4217</v>
      </c>
      <c r="D10" s="133">
        <v>100</v>
      </c>
      <c r="E10" s="419" t="s">
        <v>4217</v>
      </c>
      <c r="F10" s="421">
        <f>SUMIF(66:66,E10,67:67)-SUMIF(66:66,C10,67:67)+100</f>
        <v>100</v>
      </c>
      <c r="G10" s="419" t="s">
        <v>4217</v>
      </c>
      <c r="H10" s="133">
        <f>SUMIF(66:66,G10,67:67)-SUMIF(66:66,C10,67:67)+100</f>
        <v>100</v>
      </c>
      <c r="I10" s="419" t="s">
        <v>4217</v>
      </c>
      <c r="J10" s="133">
        <f>SUMIF(66:66,I10,67:67)-SUMIF(66:66,C10,67:67)+100</f>
        <v>100</v>
      </c>
      <c r="K10" s="608">
        <v>1</v>
      </c>
      <c r="L10" s="1128"/>
      <c r="M10" s="1129"/>
      <c r="N10" s="1129"/>
      <c r="O10" s="1129"/>
      <c r="P10" s="3392"/>
      <c r="Q10" s="1787" t="str">
        <f t="shared" si="6"/>
        <v>土地使用年限（年）</v>
      </c>
      <c r="R10" s="766" t="s">
        <v>17</v>
      </c>
      <c r="S10" s="767">
        <f t="shared" si="0"/>
        <v>100</v>
      </c>
      <c r="T10" s="766" t="s">
        <v>17</v>
      </c>
      <c r="U10" s="767">
        <f t="shared" si="1"/>
        <v>100</v>
      </c>
      <c r="V10" s="766" t="s">
        <v>17</v>
      </c>
      <c r="W10" s="767">
        <f t="shared" si="2"/>
        <v>100</v>
      </c>
      <c r="X10" s="768"/>
      <c r="Y10" s="3224"/>
      <c r="Z10" s="55" t="str">
        <f t="shared" si="7"/>
        <v>土地使用年限（年）</v>
      </c>
      <c r="AA10" s="769">
        <f t="shared" si="3"/>
        <v>1</v>
      </c>
      <c r="AB10" s="769">
        <f t="shared" si="4"/>
        <v>1</v>
      </c>
      <c r="AC10" s="2661">
        <f t="shared" si="5"/>
        <v>1</v>
      </c>
    </row>
    <row r="11" spans="1:29" ht="15.75" thickBot="1">
      <c r="A11" s="424"/>
      <c r="B11" s="418" t="s">
        <v>2545</v>
      </c>
      <c r="C11" s="425">
        <f>'数据-汇总表'!I6</f>
        <v>8.73</v>
      </c>
      <c r="D11" s="133">
        <v>100</v>
      </c>
      <c r="E11" s="425">
        <v>9.31</v>
      </c>
      <c r="F11" s="421">
        <f>LOOKUP(E11,69:69,70:70)-LOOKUP(C11,69:69,70:70)+100</f>
        <v>100</v>
      </c>
      <c r="G11" s="3005">
        <f>ROUND(220000/15025,2)</f>
        <v>14.64</v>
      </c>
      <c r="H11" s="134">
        <f>LOOKUP(G11,69:69,70:70)-LOOKUP(C11,69:69,70:70)+100</f>
        <v>99</v>
      </c>
      <c r="I11" s="425">
        <v>10.130000000000001</v>
      </c>
      <c r="J11" s="133">
        <f>LOOKUP(I11,69:69,70:70)-LOOKUP(C11,69:69,70:70)+100</f>
        <v>99</v>
      </c>
      <c r="K11" s="608">
        <v>1</v>
      </c>
      <c r="L11" s="1131"/>
      <c r="M11" s="1124"/>
      <c r="N11" s="1124"/>
      <c r="O11" s="1124"/>
      <c r="P11" s="3392"/>
      <c r="Q11" s="1787" t="str">
        <f t="shared" si="6"/>
        <v>容积率</v>
      </c>
      <c r="R11" s="766" t="s">
        <v>17</v>
      </c>
      <c r="S11" s="767">
        <f t="shared" si="0"/>
        <v>100</v>
      </c>
      <c r="T11" s="766" t="s">
        <v>17</v>
      </c>
      <c r="U11" s="767">
        <f t="shared" si="1"/>
        <v>99</v>
      </c>
      <c r="V11" s="766" t="s">
        <v>17</v>
      </c>
      <c r="W11" s="767">
        <f t="shared" si="2"/>
        <v>99</v>
      </c>
      <c r="X11" s="768"/>
      <c r="Y11" s="3224"/>
      <c r="Z11" s="55" t="str">
        <f t="shared" si="7"/>
        <v>容积率</v>
      </c>
      <c r="AA11" s="769">
        <f t="shared" si="3"/>
        <v>1</v>
      </c>
      <c r="AB11" s="769">
        <f t="shared" si="4"/>
        <v>1.0101010101010102</v>
      </c>
      <c r="AC11" s="2661">
        <f t="shared" si="5"/>
        <v>1.0101010101010102</v>
      </c>
    </row>
    <row r="12" spans="1:29" s="116" customFormat="1" ht="15" hidden="1">
      <c r="A12" s="427"/>
      <c r="B12" s="2590"/>
      <c r="C12" s="428"/>
      <c r="D12" s="429">
        <v>100</v>
      </c>
      <c r="E12" s="428"/>
      <c r="F12" s="133">
        <f>SUMIF(71:71,E12,72:72)-SUMIF(71:71,C12,72:72)+100</f>
        <v>100</v>
      </c>
      <c r="G12" s="2662"/>
      <c r="H12" s="458">
        <f>SUMIF(71:71,G12,72:72)-SUMIF(71:71,C12,72:72)+100</f>
        <v>100</v>
      </c>
      <c r="I12" s="428"/>
      <c r="J12" s="133">
        <f>SUMIF(71:71,I12,72:72)-SUMIF(71:71,C12,72:72)+100</f>
        <v>100</v>
      </c>
      <c r="K12" s="609"/>
      <c r="L12" s="1125"/>
      <c r="M12" s="1126"/>
      <c r="N12" s="1126"/>
      <c r="O12" s="1126"/>
      <c r="P12" s="3392"/>
      <c r="Q12" s="1787">
        <f t="shared" si="6"/>
        <v>0</v>
      </c>
      <c r="R12" s="766" t="s">
        <v>17</v>
      </c>
      <c r="S12" s="767">
        <f t="shared" si="0"/>
        <v>100</v>
      </c>
      <c r="T12" s="766" t="s">
        <v>17</v>
      </c>
      <c r="U12" s="767">
        <f t="shared" si="1"/>
        <v>100</v>
      </c>
      <c r="V12" s="766" t="s">
        <v>17</v>
      </c>
      <c r="W12" s="767">
        <f t="shared" si="2"/>
        <v>100</v>
      </c>
      <c r="X12" s="768"/>
      <c r="Y12" s="3224"/>
      <c r="Z12" s="55">
        <f t="shared" si="7"/>
        <v>0</v>
      </c>
      <c r="AA12" s="769">
        <f>D12/F12</f>
        <v>1</v>
      </c>
      <c r="AB12" s="769">
        <f>D12/H12</f>
        <v>1</v>
      </c>
      <c r="AC12" s="2661">
        <f>D12/J12</f>
        <v>1</v>
      </c>
    </row>
    <row r="13" spans="1:29" ht="15" hidden="1">
      <c r="A13" s="424"/>
      <c r="B13" s="2590"/>
      <c r="C13" s="430"/>
      <c r="D13" s="431">
        <v>100</v>
      </c>
      <c r="E13" s="428"/>
      <c r="F13" s="133">
        <f>SUMIF(73:73,E13,74:74)-SUMIF(73:73,C13,74:74)+100</f>
        <v>100</v>
      </c>
      <c r="G13" s="2662"/>
      <c r="H13" s="431">
        <f>SUMIF(73:73,G13,74:74)-SUMIF(73:73,C13,74:74)+100</f>
        <v>100</v>
      </c>
      <c r="I13" s="428"/>
      <c r="J13" s="431">
        <f>SUMIF(73:73,I13,74:74)-SUMIF(73:73,C13,74:74)+100</f>
        <v>100</v>
      </c>
      <c r="K13" s="609"/>
      <c r="L13" s="1133"/>
      <c r="M13" s="1124"/>
      <c r="N13" s="1124"/>
      <c r="O13" s="1124"/>
      <c r="P13" s="3392"/>
      <c r="Q13" s="1787">
        <f t="shared" si="6"/>
        <v>0</v>
      </c>
      <c r="R13" s="766" t="s">
        <v>17</v>
      </c>
      <c r="S13" s="767">
        <f t="shared" si="0"/>
        <v>100</v>
      </c>
      <c r="T13" s="766" t="s">
        <v>17</v>
      </c>
      <c r="U13" s="767">
        <f t="shared" si="1"/>
        <v>100</v>
      </c>
      <c r="V13" s="766" t="s">
        <v>17</v>
      </c>
      <c r="W13" s="767">
        <f t="shared" si="2"/>
        <v>100</v>
      </c>
      <c r="X13" s="768"/>
      <c r="Y13" s="3224"/>
      <c r="Z13" s="55">
        <f t="shared" si="7"/>
        <v>0</v>
      </c>
      <c r="AA13" s="769">
        <f t="shared" si="3"/>
        <v>1</v>
      </c>
      <c r="AB13" s="769">
        <f t="shared" si="4"/>
        <v>1</v>
      </c>
      <c r="AC13" s="2661">
        <f t="shared" si="5"/>
        <v>1</v>
      </c>
    </row>
    <row r="14" spans="1:29" ht="15.75" hidden="1" thickBot="1">
      <c r="A14" s="432"/>
      <c r="B14" s="2592"/>
      <c r="C14" s="433"/>
      <c r="D14" s="434">
        <v>100</v>
      </c>
      <c r="E14" s="624"/>
      <c r="F14" s="434">
        <f>SUMIF(75:75,E14,76:76)-SUMIF(75:75,C14,76:76)+100</f>
        <v>100</v>
      </c>
      <c r="G14" s="2662"/>
      <c r="H14" s="434">
        <f>SUMIF(75:75,G14,76:76)-SUMIF(75:75,C14,76:76)+100</f>
        <v>100</v>
      </c>
      <c r="I14" s="428"/>
      <c r="J14" s="434">
        <f>SUMIF(75:75,I14,76:76)-SUMIF(75:75,C14,76:76)+100</f>
        <v>100</v>
      </c>
      <c r="K14" s="609"/>
      <c r="L14" s="1133"/>
      <c r="M14" s="1124"/>
      <c r="N14" s="1124"/>
      <c r="O14" s="1124"/>
      <c r="P14" s="3392"/>
      <c r="Q14" s="1787">
        <f t="shared" si="6"/>
        <v>0</v>
      </c>
      <c r="R14" s="766" t="s">
        <v>17</v>
      </c>
      <c r="S14" s="767">
        <f t="shared" si="0"/>
        <v>100</v>
      </c>
      <c r="T14" s="766" t="s">
        <v>17</v>
      </c>
      <c r="U14" s="767">
        <f t="shared" si="1"/>
        <v>100</v>
      </c>
      <c r="V14" s="766" t="s">
        <v>17</v>
      </c>
      <c r="W14" s="767">
        <f t="shared" si="2"/>
        <v>100</v>
      </c>
      <c r="X14" s="768"/>
      <c r="Y14" s="3224"/>
      <c r="Z14" s="55">
        <f t="shared" si="7"/>
        <v>0</v>
      </c>
      <c r="AA14" s="769">
        <f t="shared" si="3"/>
        <v>1</v>
      </c>
      <c r="AB14" s="769">
        <f t="shared" si="4"/>
        <v>1</v>
      </c>
      <c r="AC14" s="2661">
        <f t="shared" si="5"/>
        <v>1</v>
      </c>
    </row>
    <row r="15" spans="1:29" ht="28.5">
      <c r="A15" s="436" t="s">
        <v>2546</v>
      </c>
      <c r="B15" s="625" t="s">
        <v>2674</v>
      </c>
      <c r="C15" s="2663" t="str">
        <f>估价对象房地状况!C5</f>
        <v>XX商圈，周边办公楼项目，入驻率</v>
      </c>
      <c r="D15" s="437">
        <v>100</v>
      </c>
      <c r="E15" s="440"/>
      <c r="F15" s="437">
        <f>SUMIF(77:77,E16,78:78)-SUMIF(77:77,C16,78:78)+100</f>
        <v>100</v>
      </c>
      <c r="G15" s="438"/>
      <c r="H15" s="437">
        <f>SUMIF(77:77,G16,78:78)-SUMIF(77:77,C16,78:78)+100</f>
        <v>100</v>
      </c>
      <c r="I15" s="438"/>
      <c r="J15" s="437">
        <f>SUMIF(77:77,I16,78:78)-SUMIF(77:77,C16,78:78)+100</f>
        <v>100</v>
      </c>
      <c r="K15" s="610">
        <v>5</v>
      </c>
      <c r="L15" s="1133"/>
      <c r="M15" s="1124"/>
      <c r="N15" s="1124"/>
      <c r="O15" s="1124"/>
      <c r="P15" s="3400" t="s">
        <v>2547</v>
      </c>
      <c r="Q15" s="1802" t="str">
        <f t="shared" si="6"/>
        <v>办公集聚程度</v>
      </c>
      <c r="R15" s="770" t="s">
        <v>17</v>
      </c>
      <c r="S15" s="771">
        <f t="shared" si="0"/>
        <v>100</v>
      </c>
      <c r="T15" s="770" t="s">
        <v>17</v>
      </c>
      <c r="U15" s="771">
        <f t="shared" si="1"/>
        <v>100</v>
      </c>
      <c r="V15" s="770" t="s">
        <v>17</v>
      </c>
      <c r="W15" s="771">
        <f t="shared" si="2"/>
        <v>100</v>
      </c>
      <c r="X15" s="1805"/>
      <c r="Y15" s="3383" t="s">
        <v>2547</v>
      </c>
      <c r="Z15" s="1806" t="str">
        <f t="shared" si="7"/>
        <v>办公集聚程度</v>
      </c>
      <c r="AA15" s="1803">
        <f t="shared" si="3"/>
        <v>1</v>
      </c>
      <c r="AB15" s="1803">
        <f t="shared" si="4"/>
        <v>1</v>
      </c>
      <c r="AC15" s="2664">
        <f t="shared" si="5"/>
        <v>1</v>
      </c>
    </row>
    <row r="16" spans="1:29" ht="15">
      <c r="A16" s="424"/>
      <c r="B16" s="626"/>
      <c r="C16" s="2601" t="s">
        <v>3191</v>
      </c>
      <c r="D16" s="444"/>
      <c r="E16" s="2601" t="s">
        <v>3191</v>
      </c>
      <c r="F16" s="444"/>
      <c r="G16" s="2601" t="s">
        <v>3191</v>
      </c>
      <c r="H16" s="446"/>
      <c r="I16" s="2601" t="s">
        <v>3191</v>
      </c>
      <c r="J16" s="444"/>
      <c r="K16" s="611"/>
      <c r="L16" s="1133"/>
      <c r="M16" s="1124"/>
      <c r="N16" s="1124"/>
      <c r="O16" s="1124"/>
      <c r="P16" s="3401"/>
      <c r="Q16" s="1802"/>
      <c r="R16" s="770"/>
      <c r="S16" s="771"/>
      <c r="T16" s="770"/>
      <c r="U16" s="771"/>
      <c r="V16" s="770"/>
      <c r="W16" s="771"/>
      <c r="X16" s="1805"/>
      <c r="Y16" s="3384"/>
      <c r="Z16" s="1806"/>
      <c r="AA16" s="1803">
        <v>1</v>
      </c>
      <c r="AB16" s="1803">
        <v>1</v>
      </c>
      <c r="AC16" s="2664">
        <v>1</v>
      </c>
    </row>
    <row r="17" spans="1:29" ht="57">
      <c r="A17" s="424"/>
      <c r="B17" s="627" t="s">
        <v>2090</v>
      </c>
      <c r="C17" s="2665" t="str">
        <f>估价对象房地状况!C6</f>
        <v>周边道路状况、公共交通通达情况、停车便捷程度（地铁三号线观音桥</v>
      </c>
      <c r="D17" s="446">
        <v>100</v>
      </c>
      <c r="E17" s="450"/>
      <c r="F17" s="446">
        <f>SUMIF(79:79,E18,80:80)-SUMIF(79:79,C18,80:80)+100</f>
        <v>100</v>
      </c>
      <c r="G17" s="448"/>
      <c r="H17" s="451">
        <f>SUMIF(79:79,G18,80:80)-SUMIF(79:79,C18,80:80)+100</f>
        <v>100</v>
      </c>
      <c r="I17" s="448"/>
      <c r="J17" s="451">
        <f>SUMIF(79:79,I18,80:80)-SUMIF(79:79,C18,80:80)+100</f>
        <v>100</v>
      </c>
      <c r="K17" s="610">
        <v>5</v>
      </c>
      <c r="L17" s="1133"/>
      <c r="M17" s="1124"/>
      <c r="N17" s="1124"/>
      <c r="O17" s="1124"/>
      <c r="P17" s="3401"/>
      <c r="Q17" s="1802" t="str">
        <f>B17</f>
        <v>交通便捷度</v>
      </c>
      <c r="R17" s="770" t="s">
        <v>17</v>
      </c>
      <c r="S17" s="771">
        <f>F17</f>
        <v>100</v>
      </c>
      <c r="T17" s="770" t="s">
        <v>17</v>
      </c>
      <c r="U17" s="771">
        <f>H17</f>
        <v>100</v>
      </c>
      <c r="V17" s="770" t="s">
        <v>17</v>
      </c>
      <c r="W17" s="771">
        <f>J17</f>
        <v>100</v>
      </c>
      <c r="X17" s="1805"/>
      <c r="Y17" s="3384"/>
      <c r="Z17" s="1806" t="str">
        <f>Q17</f>
        <v>交通便捷度</v>
      </c>
      <c r="AA17" s="1803">
        <f t="shared" si="3"/>
        <v>1</v>
      </c>
      <c r="AB17" s="1803">
        <f t="shared" si="4"/>
        <v>1</v>
      </c>
      <c r="AC17" s="2664">
        <f t="shared" si="5"/>
        <v>1</v>
      </c>
    </row>
    <row r="18" spans="1:29" ht="15">
      <c r="A18" s="424"/>
      <c r="B18" s="628"/>
      <c r="C18" s="2666" t="s">
        <v>3191</v>
      </c>
      <c r="D18" s="446"/>
      <c r="E18" s="2666" t="s">
        <v>3191</v>
      </c>
      <c r="F18" s="446"/>
      <c r="G18" s="2666" t="s">
        <v>3191</v>
      </c>
      <c r="H18" s="444"/>
      <c r="I18" s="2666" t="s">
        <v>3191</v>
      </c>
      <c r="J18" s="444"/>
      <c r="K18" s="611"/>
      <c r="L18" s="1133"/>
      <c r="M18" s="1124"/>
      <c r="N18" s="1124"/>
      <c r="O18" s="1124"/>
      <c r="P18" s="3401"/>
      <c r="Q18" s="1802"/>
      <c r="R18" s="770"/>
      <c r="S18" s="771"/>
      <c r="T18" s="770"/>
      <c r="U18" s="771"/>
      <c r="V18" s="770"/>
      <c r="W18" s="771"/>
      <c r="X18" s="1805"/>
      <c r="Y18" s="3384"/>
      <c r="Z18" s="1806"/>
      <c r="AA18" s="1803">
        <v>1</v>
      </c>
      <c r="AB18" s="1803">
        <v>1</v>
      </c>
      <c r="AC18" s="2664">
        <v>1</v>
      </c>
    </row>
    <row r="19" spans="1:29" ht="15">
      <c r="A19" s="424"/>
      <c r="B19" s="627" t="s">
        <v>2675</v>
      </c>
      <c r="C19" s="2665">
        <f>估价对象房地状况!C7</f>
        <v>0</v>
      </c>
      <c r="D19" s="451">
        <v>100</v>
      </c>
      <c r="E19" s="455"/>
      <c r="F19" s="451">
        <f>SUMIF(81:81,E20,82:82)-SUMIF(81:81,C20,82:82)+100</f>
        <v>100</v>
      </c>
      <c r="G19" s="453"/>
      <c r="H19" s="446">
        <f>SUMIF(81:81,G20,82:82)-SUMIF(81:81,C20,82:82)+100</f>
        <v>100</v>
      </c>
      <c r="I19" s="453"/>
      <c r="J19" s="446">
        <f>SUMIF(81:81,I20,82:82)-SUMIF(81:81,C20,82:82)+100</f>
        <v>100</v>
      </c>
      <c r="K19" s="610">
        <v>5</v>
      </c>
      <c r="L19" s="1133"/>
      <c r="M19" s="1124"/>
      <c r="N19" s="1124"/>
      <c r="O19" s="1124"/>
      <c r="P19" s="3401"/>
      <c r="Q19" s="1802" t="str">
        <f>B19</f>
        <v>公共配套设施</v>
      </c>
      <c r="R19" s="770" t="s">
        <v>17</v>
      </c>
      <c r="S19" s="771">
        <f>F19</f>
        <v>100</v>
      </c>
      <c r="T19" s="770" t="s">
        <v>17</v>
      </c>
      <c r="U19" s="771">
        <f>H19</f>
        <v>100</v>
      </c>
      <c r="V19" s="770" t="s">
        <v>17</v>
      </c>
      <c r="W19" s="771">
        <f>J19</f>
        <v>100</v>
      </c>
      <c r="X19" s="1805"/>
      <c r="Y19" s="3384"/>
      <c r="Z19" s="1806" t="str">
        <f>Q19</f>
        <v>公共配套设施</v>
      </c>
      <c r="AA19" s="1803">
        <f t="shared" si="3"/>
        <v>1</v>
      </c>
      <c r="AB19" s="1803">
        <f t="shared" si="4"/>
        <v>1</v>
      </c>
      <c r="AC19" s="2664">
        <f t="shared" si="5"/>
        <v>1</v>
      </c>
    </row>
    <row r="20" spans="1:29" ht="15">
      <c r="A20" s="424"/>
      <c r="B20" s="628"/>
      <c r="C20" s="2601" t="s">
        <v>3174</v>
      </c>
      <c r="D20" s="444"/>
      <c r="E20" s="2601" t="s">
        <v>3174</v>
      </c>
      <c r="F20" s="444"/>
      <c r="G20" s="2595" t="s">
        <v>3174</v>
      </c>
      <c r="H20" s="444"/>
      <c r="I20" s="2595" t="s">
        <v>3174</v>
      </c>
      <c r="J20" s="444"/>
      <c r="K20" s="611"/>
      <c r="L20" s="1133"/>
      <c r="M20" s="1124"/>
      <c r="N20" s="1124"/>
      <c r="O20" s="1124"/>
      <c r="P20" s="3401"/>
      <c r="Q20" s="1802"/>
      <c r="R20" s="770"/>
      <c r="S20" s="771"/>
      <c r="T20" s="770"/>
      <c r="U20" s="771"/>
      <c r="V20" s="770"/>
      <c r="W20" s="771"/>
      <c r="X20" s="1805"/>
      <c r="Y20" s="3384"/>
      <c r="Z20" s="1806"/>
      <c r="AA20" s="1803">
        <v>1</v>
      </c>
      <c r="AB20" s="1803">
        <v>1</v>
      </c>
      <c r="AC20" s="2664">
        <v>1</v>
      </c>
    </row>
    <row r="21" spans="1:29" ht="15">
      <c r="A21" s="424"/>
      <c r="B21" s="629" t="s">
        <v>2676</v>
      </c>
      <c r="C21" s="2665">
        <f>估价对象房地状况!C8</f>
        <v>0</v>
      </c>
      <c r="D21" s="446">
        <v>100</v>
      </c>
      <c r="E21" s="455"/>
      <c r="F21" s="451">
        <f>SUMIF(83:83,E22,84:84)-SUMIF(83:83,C22,84:84)+100</f>
        <v>100</v>
      </c>
      <c r="G21" s="453"/>
      <c r="H21" s="446">
        <f>SUMIF(83:83,G22,84:84)-SUMIF(83:83,C22,84:84)+100</f>
        <v>100</v>
      </c>
      <c r="I21" s="453"/>
      <c r="J21" s="446">
        <f>SUMIF(83:83,I22,84:84)-SUMIF(83:83,C22,84:84)+100</f>
        <v>100</v>
      </c>
      <c r="K21" s="610">
        <v>2</v>
      </c>
      <c r="L21" s="1133"/>
      <c r="M21" s="1124"/>
      <c r="N21" s="1124"/>
      <c r="O21" s="1124"/>
      <c r="P21" s="3401"/>
      <c r="Q21" s="1802" t="str">
        <f>B21</f>
        <v>基础设施水平</v>
      </c>
      <c r="R21" s="770" t="s">
        <v>17</v>
      </c>
      <c r="S21" s="771">
        <f>F21</f>
        <v>100</v>
      </c>
      <c r="T21" s="770" t="s">
        <v>17</v>
      </c>
      <c r="U21" s="771">
        <f>H21</f>
        <v>100</v>
      </c>
      <c r="V21" s="770" t="s">
        <v>17</v>
      </c>
      <c r="W21" s="771">
        <f>J21</f>
        <v>100</v>
      </c>
      <c r="X21" s="1805"/>
      <c r="Y21" s="3384"/>
      <c r="Z21" s="1806" t="str">
        <f>Q21</f>
        <v>基础设施水平</v>
      </c>
      <c r="AA21" s="1803">
        <f t="shared" ref="AA21" si="8">D21/F21</f>
        <v>1</v>
      </c>
      <c r="AB21" s="1803">
        <f t="shared" ref="AB21" si="9">D21/H21</f>
        <v>1</v>
      </c>
      <c r="AC21" s="2664">
        <f t="shared" ref="AC21" si="10">D21/J21</f>
        <v>1</v>
      </c>
    </row>
    <row r="22" spans="1:29" ht="15">
      <c r="A22" s="424"/>
      <c r="B22" s="629"/>
      <c r="C22" s="2666" t="s">
        <v>3363</v>
      </c>
      <c r="D22" s="444"/>
      <c r="E22" s="2666" t="s">
        <v>3363</v>
      </c>
      <c r="F22" s="444"/>
      <c r="G22" s="2601" t="s">
        <v>3363</v>
      </c>
      <c r="H22" s="444"/>
      <c r="I22" s="2601" t="s">
        <v>3363</v>
      </c>
      <c r="J22" s="444"/>
      <c r="K22" s="1376"/>
      <c r="L22" s="1133"/>
      <c r="M22" s="1124"/>
      <c r="N22" s="1124"/>
      <c r="O22" s="1124"/>
      <c r="P22" s="3401"/>
      <c r="Q22" s="1802"/>
      <c r="R22" s="770"/>
      <c r="S22" s="771"/>
      <c r="T22" s="770"/>
      <c r="U22" s="771"/>
      <c r="V22" s="770"/>
      <c r="W22" s="771"/>
      <c r="X22" s="1805"/>
      <c r="Y22" s="3384"/>
      <c r="Z22" s="1806"/>
      <c r="AA22" s="1803">
        <v>1</v>
      </c>
      <c r="AB22" s="1803">
        <v>1</v>
      </c>
      <c r="AC22" s="2664">
        <v>1</v>
      </c>
    </row>
    <row r="23" spans="1:29" ht="15">
      <c r="A23" s="424"/>
      <c r="B23" s="627" t="s">
        <v>2677</v>
      </c>
      <c r="C23" s="2665">
        <f>估价对象房地状况!C9</f>
        <v>0</v>
      </c>
      <c r="D23" s="446">
        <v>100</v>
      </c>
      <c r="E23" s="450"/>
      <c r="F23" s="446">
        <f>SUMIF(85:85,E24,86:86)-SUMIF(85:85,C24,86:86)+100</f>
        <v>105</v>
      </c>
      <c r="G23" s="448"/>
      <c r="H23" s="446">
        <f>SUMIF(85:85,G24,86:86)-SUMIF(85:85,C24,86:86)+100</f>
        <v>105</v>
      </c>
      <c r="I23" s="448"/>
      <c r="J23" s="446">
        <f>SUMIF(85:85,I24,86:86)-SUMIF(85:85,C24,86:86)+100</f>
        <v>100</v>
      </c>
      <c r="K23" s="610">
        <v>5</v>
      </c>
      <c r="L23" s="1133"/>
      <c r="M23" s="1124"/>
      <c r="N23" s="1124"/>
      <c r="O23" s="1124"/>
      <c r="P23" s="3401"/>
      <c r="Q23" s="1802" t="str">
        <f>B23</f>
        <v>环境质量</v>
      </c>
      <c r="R23" s="770" t="s">
        <v>17</v>
      </c>
      <c r="S23" s="771">
        <f>F23</f>
        <v>105</v>
      </c>
      <c r="T23" s="770" t="s">
        <v>17</v>
      </c>
      <c r="U23" s="771">
        <f>H23</f>
        <v>105</v>
      </c>
      <c r="V23" s="770" t="s">
        <v>17</v>
      </c>
      <c r="W23" s="771">
        <f>J23</f>
        <v>100</v>
      </c>
      <c r="X23" s="1805"/>
      <c r="Y23" s="3384"/>
      <c r="Z23" s="1806" t="str">
        <f>Q23</f>
        <v>环境质量</v>
      </c>
      <c r="AA23" s="1803">
        <f t="shared" si="3"/>
        <v>0.95238095238095233</v>
      </c>
      <c r="AB23" s="1803">
        <f t="shared" si="4"/>
        <v>0.95238095238095233</v>
      </c>
      <c r="AC23" s="2664">
        <f t="shared" si="5"/>
        <v>1</v>
      </c>
    </row>
    <row r="24" spans="1:29" ht="15">
      <c r="A24" s="424"/>
      <c r="B24" s="629"/>
      <c r="C24" s="2601" t="s">
        <v>3174</v>
      </c>
      <c r="D24" s="444"/>
      <c r="E24" s="2601" t="s">
        <v>3191</v>
      </c>
      <c r="F24" s="444"/>
      <c r="G24" s="2595" t="s">
        <v>3191</v>
      </c>
      <c r="H24" s="444"/>
      <c r="I24" s="2595" t="s">
        <v>3174</v>
      </c>
      <c r="J24" s="444"/>
      <c r="K24" s="611"/>
      <c r="L24" s="1133"/>
      <c r="M24" s="1124"/>
      <c r="N24" s="1124"/>
      <c r="O24" s="1124"/>
      <c r="P24" s="3401"/>
      <c r="Q24" s="1802"/>
      <c r="R24" s="770"/>
      <c r="S24" s="771"/>
      <c r="T24" s="770"/>
      <c r="U24" s="771"/>
      <c r="V24" s="770"/>
      <c r="W24" s="771"/>
      <c r="X24" s="1805"/>
      <c r="Y24" s="3384"/>
      <c r="Z24" s="1806"/>
      <c r="AA24" s="1803">
        <v>1</v>
      </c>
      <c r="AB24" s="1803">
        <v>1</v>
      </c>
      <c r="AC24" s="2664">
        <v>1</v>
      </c>
    </row>
    <row r="25" spans="1:29" ht="27">
      <c r="A25" s="400"/>
      <c r="B25" s="627" t="s">
        <v>2678</v>
      </c>
      <c r="C25" s="2605"/>
      <c r="D25" s="431">
        <v>100</v>
      </c>
      <c r="E25" s="430"/>
      <c r="F25" s="431">
        <f>SUMIF(87:87,E26,88:88)-SUMIF(87:87,C26,88:88)+100</f>
        <v>100</v>
      </c>
      <c r="G25" s="2605"/>
      <c r="H25" s="431">
        <f>SUMIF(87:87,G26,88:88)-SUMIF(87:87,C26,88:88)+100</f>
        <v>100</v>
      </c>
      <c r="I25" s="2605"/>
      <c r="J25" s="431">
        <f>SUMIF(87:87,I26,88:88)-SUMIF(87:87,C26,88:88)+100</f>
        <v>100</v>
      </c>
      <c r="K25" s="610">
        <v>2</v>
      </c>
      <c r="L25" s="1133"/>
      <c r="M25" s="1124"/>
      <c r="N25" s="1124"/>
      <c r="O25" s="1124"/>
      <c r="P25" s="3401"/>
      <c r="Q25" s="1802" t="str">
        <f>B25</f>
        <v>毗邻道路的类型与等级</v>
      </c>
      <c r="R25" s="770" t="s">
        <v>17</v>
      </c>
      <c r="S25" s="771">
        <f>F25</f>
        <v>100</v>
      </c>
      <c r="T25" s="770" t="s">
        <v>17</v>
      </c>
      <c r="U25" s="771">
        <f>H25</f>
        <v>100</v>
      </c>
      <c r="V25" s="770" t="s">
        <v>17</v>
      </c>
      <c r="W25" s="771">
        <f>J25</f>
        <v>100</v>
      </c>
      <c r="X25" s="1805"/>
      <c r="Y25" s="3384"/>
      <c r="Z25" s="1806" t="str">
        <f>Q25</f>
        <v>毗邻道路的类型与等级</v>
      </c>
      <c r="AA25" s="1803">
        <f t="shared" si="3"/>
        <v>1</v>
      </c>
      <c r="AB25" s="1803">
        <f t="shared" si="4"/>
        <v>1</v>
      </c>
      <c r="AC25" s="2664">
        <f t="shared" si="5"/>
        <v>1</v>
      </c>
    </row>
    <row r="26" spans="1:29" ht="15.75" thickBot="1">
      <c r="A26" s="400"/>
      <c r="B26" s="628"/>
      <c r="C26" s="630" t="s">
        <v>3180</v>
      </c>
      <c r="D26" s="431"/>
      <c r="E26" s="612" t="s">
        <v>3180</v>
      </c>
      <c r="F26" s="431"/>
      <c r="G26" s="630" t="s">
        <v>3180</v>
      </c>
      <c r="H26" s="431"/>
      <c r="I26" s="630" t="s">
        <v>3180</v>
      </c>
      <c r="J26" s="431"/>
      <c r="K26" s="611"/>
      <c r="L26" s="1133"/>
      <c r="M26" s="1124"/>
      <c r="N26" s="1124"/>
      <c r="O26" s="1124"/>
      <c r="P26" s="3401"/>
      <c r="Q26" s="1802"/>
      <c r="R26" s="770"/>
      <c r="S26" s="771"/>
      <c r="T26" s="770"/>
      <c r="U26" s="771"/>
      <c r="V26" s="770"/>
      <c r="W26" s="771"/>
      <c r="X26" s="1805"/>
      <c r="Y26" s="3384"/>
      <c r="Z26" s="1806"/>
      <c r="AA26" s="1803">
        <v>1</v>
      </c>
      <c r="AB26" s="1803">
        <v>1</v>
      </c>
      <c r="AC26" s="2664">
        <v>1</v>
      </c>
    </row>
    <row r="27" spans="1:29" ht="15" hidden="1">
      <c r="A27" s="424"/>
      <c r="B27" s="628" t="s">
        <v>2646</v>
      </c>
      <c r="C27" s="630"/>
      <c r="D27" s="431">
        <v>100</v>
      </c>
      <c r="E27" s="612"/>
      <c r="F27" s="431">
        <f>SUMIF(89:89,E27,90:90)-SUMIF(89:89,C27,90:90)+100</f>
        <v>100</v>
      </c>
      <c r="G27" s="630"/>
      <c r="H27" s="431">
        <f>SUMIF(89:89,G27,90:90)-SUMIF(89:89,C27,90:90)+100</f>
        <v>100</v>
      </c>
      <c r="I27" s="612"/>
      <c r="J27" s="431">
        <f>SUMIF(89:89,I27,90:90)-SUMIF(89:89,C27,90:90)+100</f>
        <v>100</v>
      </c>
      <c r="K27" s="608"/>
      <c r="L27" s="1133"/>
      <c r="M27" s="1124"/>
      <c r="N27" s="1124"/>
      <c r="O27" s="1124"/>
      <c r="P27" s="3401"/>
      <c r="Q27" s="1802" t="str">
        <f t="shared" ref="Q27:Q47" si="11">B27</f>
        <v>楼层</v>
      </c>
      <c r="R27" s="770" t="s">
        <v>17</v>
      </c>
      <c r="S27" s="771">
        <f>F27</f>
        <v>100</v>
      </c>
      <c r="T27" s="770" t="s">
        <v>17</v>
      </c>
      <c r="U27" s="771">
        <f>H27</f>
        <v>100</v>
      </c>
      <c r="V27" s="770" t="s">
        <v>17</v>
      </c>
      <c r="W27" s="771">
        <f>J27</f>
        <v>100</v>
      </c>
      <c r="X27" s="1805"/>
      <c r="Y27" s="3384"/>
      <c r="Z27" s="1806" t="str">
        <f>Q27</f>
        <v>楼层</v>
      </c>
      <c r="AA27" s="1803">
        <f t="shared" si="3"/>
        <v>1</v>
      </c>
      <c r="AB27" s="1803">
        <f t="shared" si="4"/>
        <v>1</v>
      </c>
      <c r="AC27" s="2664">
        <f t="shared" si="5"/>
        <v>1</v>
      </c>
    </row>
    <row r="28" spans="1:29" s="116" customFormat="1" ht="15" hidden="1">
      <c r="A28" s="427"/>
      <c r="B28" s="627" t="s">
        <v>2679</v>
      </c>
      <c r="C28" s="2667"/>
      <c r="D28" s="458">
        <v>100</v>
      </c>
      <c r="E28" s="2655"/>
      <c r="F28" s="458">
        <f>SUMIF(91:91,E28,92:92)-SUMIF(91:91,C28,92:92)+100</f>
        <v>100</v>
      </c>
      <c r="G28" s="2667"/>
      <c r="H28" s="458">
        <f>SUMIF(91:91,G28,92:92)-SUMIF(91:91,C28,92:92)+100</f>
        <v>100</v>
      </c>
      <c r="I28" s="2655"/>
      <c r="J28" s="458">
        <f>SUMIF(91:91,I28,92:92)-SUMIF(91:91,C28,92:92)+100</f>
        <v>100</v>
      </c>
      <c r="K28" s="608"/>
      <c r="L28" s="1125"/>
      <c r="M28" s="1126"/>
      <c r="N28" s="1126"/>
      <c r="O28" s="1126"/>
      <c r="P28" s="3401"/>
      <c r="Q28" s="1787" t="str">
        <f t="shared" si="11"/>
        <v>朝向</v>
      </c>
      <c r="R28" s="766" t="s">
        <v>17</v>
      </c>
      <c r="S28" s="767">
        <f>F28</f>
        <v>100</v>
      </c>
      <c r="T28" s="766" t="s">
        <v>17</v>
      </c>
      <c r="U28" s="767">
        <f>H28</f>
        <v>100</v>
      </c>
      <c r="V28" s="766" t="s">
        <v>17</v>
      </c>
      <c r="W28" s="767">
        <f>J28</f>
        <v>100</v>
      </c>
      <c r="X28" s="768"/>
      <c r="Y28" s="3384"/>
      <c r="Z28" s="55" t="str">
        <f>Q28</f>
        <v>朝向</v>
      </c>
      <c r="AA28" s="1803">
        <f>D28/F28</f>
        <v>1</v>
      </c>
      <c r="AB28" s="1803">
        <f>D28/H28</f>
        <v>1</v>
      </c>
      <c r="AC28" s="2664">
        <f>D28/J28</f>
        <v>1</v>
      </c>
    </row>
    <row r="29" spans="1:29" ht="15" hidden="1">
      <c r="A29" s="424"/>
      <c r="B29" s="2668"/>
      <c r="C29" s="2605"/>
      <c r="D29" s="431">
        <v>100</v>
      </c>
      <c r="E29" s="428"/>
      <c r="F29" s="431">
        <f>SUMIF(93:93,E29,94:94)-SUMIF(93:93,C29,94:94)+100</f>
        <v>100</v>
      </c>
      <c r="G29" s="2662"/>
      <c r="H29" s="431">
        <f>SUMIF(93:93,G29,94:94)-SUMIF(93:93,C29,94:94)+100</f>
        <v>100</v>
      </c>
      <c r="I29" s="428"/>
      <c r="J29" s="431">
        <f>SUMIF(93:93,I29,94:94)-SUMIF(93:93,C29,94:94)+100</f>
        <v>100</v>
      </c>
      <c r="K29" s="609"/>
      <c r="L29" s="1133"/>
      <c r="M29" s="1124"/>
      <c r="N29" s="1124"/>
      <c r="O29" s="1124"/>
      <c r="P29" s="3401"/>
      <c r="Q29" s="1802">
        <f t="shared" si="11"/>
        <v>0</v>
      </c>
      <c r="R29" s="770" t="s">
        <v>17</v>
      </c>
      <c r="S29" s="771">
        <f t="shared" ref="S29:S47" si="12">F29</f>
        <v>100</v>
      </c>
      <c r="T29" s="770" t="s">
        <v>17</v>
      </c>
      <c r="U29" s="771">
        <f t="shared" ref="U29:U47" si="13">H29</f>
        <v>100</v>
      </c>
      <c r="V29" s="770" t="s">
        <v>17</v>
      </c>
      <c r="W29" s="771">
        <f t="shared" ref="W29:W47" si="14">J29</f>
        <v>100</v>
      </c>
      <c r="X29" s="1805"/>
      <c r="Y29" s="3384"/>
      <c r="Z29" s="1806">
        <f t="shared" ref="Z29:Z47" si="15">Q29</f>
        <v>0</v>
      </c>
      <c r="AA29" s="1803">
        <f t="shared" si="3"/>
        <v>1</v>
      </c>
      <c r="AB29" s="1803">
        <f t="shared" si="4"/>
        <v>1</v>
      </c>
      <c r="AC29" s="2664">
        <f t="shared" si="5"/>
        <v>1</v>
      </c>
    </row>
    <row r="30" spans="1:29" ht="15" hidden="1">
      <c r="A30" s="424"/>
      <c r="B30" s="2668"/>
      <c r="C30" s="2605"/>
      <c r="D30" s="431">
        <v>100</v>
      </c>
      <c r="E30" s="428"/>
      <c r="F30" s="431">
        <f>SUMIF(95:95,E30,96:96)-SUMIF(95:95,C30,96:96)+100</f>
        <v>100</v>
      </c>
      <c r="G30" s="2662"/>
      <c r="H30" s="431">
        <f>SUMIF(95:95,G30,96:96)-SUMIF(95:95,C30,96:96)+100</f>
        <v>100</v>
      </c>
      <c r="I30" s="428"/>
      <c r="J30" s="431">
        <f>SUMIF(95:95,I30,96:96)-SUMIF(95:95,C30,96:96)+100</f>
        <v>100</v>
      </c>
      <c r="K30" s="609"/>
      <c r="L30" s="1133"/>
      <c r="M30" s="1124"/>
      <c r="N30" s="1124"/>
      <c r="O30" s="1124"/>
      <c r="P30" s="3401"/>
      <c r="Q30" s="1802">
        <f t="shared" si="11"/>
        <v>0</v>
      </c>
      <c r="R30" s="770" t="s">
        <v>17</v>
      </c>
      <c r="S30" s="771">
        <f t="shared" si="12"/>
        <v>100</v>
      </c>
      <c r="T30" s="770" t="s">
        <v>17</v>
      </c>
      <c r="U30" s="771">
        <f t="shared" si="13"/>
        <v>100</v>
      </c>
      <c r="V30" s="770" t="s">
        <v>17</v>
      </c>
      <c r="W30" s="771">
        <f t="shared" si="14"/>
        <v>100</v>
      </c>
      <c r="X30" s="1805"/>
      <c r="Y30" s="3384"/>
      <c r="Z30" s="1806">
        <f t="shared" si="15"/>
        <v>0</v>
      </c>
      <c r="AA30" s="1803">
        <f t="shared" si="3"/>
        <v>1</v>
      </c>
      <c r="AB30" s="1803">
        <f t="shared" si="4"/>
        <v>1</v>
      </c>
      <c r="AC30" s="2664">
        <f t="shared" si="5"/>
        <v>1</v>
      </c>
    </row>
    <row r="31" spans="1:29" ht="15" hidden="1">
      <c r="A31" s="424"/>
      <c r="B31" s="2668"/>
      <c r="C31" s="2605"/>
      <c r="D31" s="431">
        <v>100</v>
      </c>
      <c r="E31" s="428"/>
      <c r="F31" s="431">
        <f>SUMIF(97:97,E31,98:98)-SUMIF(97:97,C31,98:98)+100</f>
        <v>100</v>
      </c>
      <c r="G31" s="2662"/>
      <c r="H31" s="431">
        <f>SUMIF(97:97,G31,98:98)-SUMIF(97:97,C31,98:98)+100</f>
        <v>100</v>
      </c>
      <c r="I31" s="428"/>
      <c r="J31" s="431">
        <f>SUMIF(97:97,I31,98:98)-SUMIF(97:97,C31,98:98)+100</f>
        <v>100</v>
      </c>
      <c r="K31" s="609"/>
      <c r="L31" s="1133"/>
      <c r="M31" s="1124"/>
      <c r="N31" s="1124"/>
      <c r="O31" s="1124"/>
      <c r="P31" s="3401"/>
      <c r="Q31" s="1802">
        <f t="shared" si="11"/>
        <v>0</v>
      </c>
      <c r="R31" s="770" t="s">
        <v>17</v>
      </c>
      <c r="S31" s="771">
        <f t="shared" si="12"/>
        <v>100</v>
      </c>
      <c r="T31" s="770" t="s">
        <v>17</v>
      </c>
      <c r="U31" s="771">
        <f t="shared" si="13"/>
        <v>100</v>
      </c>
      <c r="V31" s="770" t="s">
        <v>17</v>
      </c>
      <c r="W31" s="771">
        <f t="shared" si="14"/>
        <v>100</v>
      </c>
      <c r="X31" s="1805"/>
      <c r="Y31" s="3384"/>
      <c r="Z31" s="1806">
        <f t="shared" si="15"/>
        <v>0</v>
      </c>
      <c r="AA31" s="1803">
        <f t="shared" si="3"/>
        <v>1</v>
      </c>
      <c r="AB31" s="1803">
        <f t="shared" si="4"/>
        <v>1</v>
      </c>
      <c r="AC31" s="2664">
        <f t="shared" si="5"/>
        <v>1</v>
      </c>
    </row>
    <row r="32" spans="1:29" ht="15.75" hidden="1" thickBot="1">
      <c r="A32" s="432"/>
      <c r="B32" s="631"/>
      <c r="C32" s="2606"/>
      <c r="D32" s="434">
        <v>100</v>
      </c>
      <c r="E32" s="624"/>
      <c r="F32" s="434">
        <f>SUMIF(99:99,E32,100:100)-SUMIF(99:99,C32,100:100)+100</f>
        <v>100</v>
      </c>
      <c r="G32" s="2662"/>
      <c r="H32" s="434">
        <f>SUMIF(99:99,G32,100:100)-SUMIF(99:99,C32,100:100)+100</f>
        <v>100</v>
      </c>
      <c r="I32" s="428"/>
      <c r="J32" s="434">
        <f>SUMIF(99:99,I32,100:100)-SUMIF(99:99,C32,100:100)+100</f>
        <v>100</v>
      </c>
      <c r="K32" s="609"/>
      <c r="L32" s="1133"/>
      <c r="M32" s="1124"/>
      <c r="N32" s="1124"/>
      <c r="O32" s="1124"/>
      <c r="P32" s="3401"/>
      <c r="Q32" s="1802">
        <f t="shared" si="11"/>
        <v>0</v>
      </c>
      <c r="R32" s="770" t="s">
        <v>17</v>
      </c>
      <c r="S32" s="771">
        <f t="shared" si="12"/>
        <v>100</v>
      </c>
      <c r="T32" s="770" t="s">
        <v>17</v>
      </c>
      <c r="U32" s="771">
        <f t="shared" si="13"/>
        <v>100</v>
      </c>
      <c r="V32" s="770" t="s">
        <v>17</v>
      </c>
      <c r="W32" s="771">
        <f t="shared" si="14"/>
        <v>100</v>
      </c>
      <c r="X32" s="1805"/>
      <c r="Y32" s="3384"/>
      <c r="Z32" s="1806">
        <f t="shared" si="15"/>
        <v>0</v>
      </c>
      <c r="AA32" s="1803">
        <f t="shared" si="3"/>
        <v>1</v>
      </c>
      <c r="AB32" s="1803">
        <f t="shared" si="4"/>
        <v>1</v>
      </c>
      <c r="AC32" s="2664">
        <f t="shared" si="5"/>
        <v>1</v>
      </c>
    </row>
    <row r="33" spans="1:29" ht="15">
      <c r="A33" s="436" t="s">
        <v>2550</v>
      </c>
      <c r="B33" s="71" t="s">
        <v>2680</v>
      </c>
      <c r="C33" s="2669"/>
      <c r="D33" s="463">
        <v>100</v>
      </c>
      <c r="E33" s="2669"/>
      <c r="F33" s="457">
        <f>SUMIF(101:101,E33,102:102)-SUMIF(101:101,C33,102:102)+100</f>
        <v>100</v>
      </c>
      <c r="G33" s="2669"/>
      <c r="H33" s="431">
        <f>SUMIF(101:101,G33,102:102)-SUMIF(101:101,C33,102:102)+100</f>
        <v>100</v>
      </c>
      <c r="I33" s="2669"/>
      <c r="J33" s="463">
        <f>SUMIF(101:101,I33,102:102)-SUMIF(101:101,C33,102:102)+100</f>
        <v>100</v>
      </c>
      <c r="K33" s="608"/>
      <c r="L33" s="1133"/>
      <c r="M33" s="1124"/>
      <c r="N33" s="1124"/>
      <c r="O33" s="1124"/>
      <c r="P33" s="3402" t="s">
        <v>2552</v>
      </c>
      <c r="Q33" s="1802" t="str">
        <f t="shared" si="11"/>
        <v>建筑类型</v>
      </c>
      <c r="R33" s="770" t="s">
        <v>17</v>
      </c>
      <c r="S33" s="771">
        <f t="shared" si="12"/>
        <v>100</v>
      </c>
      <c r="T33" s="770" t="s">
        <v>17</v>
      </c>
      <c r="U33" s="771">
        <f t="shared" si="13"/>
        <v>100</v>
      </c>
      <c r="V33" s="770" t="s">
        <v>17</v>
      </c>
      <c r="W33" s="771">
        <f t="shared" si="14"/>
        <v>100</v>
      </c>
      <c r="X33" s="1805"/>
      <c r="Y33" s="3386" t="s">
        <v>2552</v>
      </c>
      <c r="Z33" s="1806" t="str">
        <f t="shared" si="15"/>
        <v>建筑类型</v>
      </c>
      <c r="AA33" s="1803">
        <f t="shared" si="3"/>
        <v>1</v>
      </c>
      <c r="AB33" s="1803">
        <f t="shared" si="4"/>
        <v>1</v>
      </c>
      <c r="AC33" s="2664">
        <f t="shared" si="5"/>
        <v>1</v>
      </c>
    </row>
    <row r="34" spans="1:29" s="467" customFormat="1" ht="15">
      <c r="A34" s="464"/>
      <c r="B34" s="418" t="s">
        <v>2553</v>
      </c>
      <c r="C34" s="465">
        <f>'数据-汇总表'!E3</f>
        <v>374875.08999999997</v>
      </c>
      <c r="D34" s="133">
        <v>100</v>
      </c>
      <c r="E34" s="426">
        <v>657970</v>
      </c>
      <c r="F34" s="421">
        <f>LOOKUP(E34,104:104,105:105)-LOOKUP(C34,104:104,105:105)+100</f>
        <v>100</v>
      </c>
      <c r="G34" s="425">
        <v>260000</v>
      </c>
      <c r="H34" s="133">
        <f>LOOKUP(G34,104:104,105:105)-LOOKUP(C34,104:104,105:105)+100</f>
        <v>100</v>
      </c>
      <c r="I34" s="425">
        <v>260000</v>
      </c>
      <c r="J34" s="133">
        <f>LOOKUP(I34,104:104,105:105)-LOOKUP(C34,104:104,105:105)+100</f>
        <v>100</v>
      </c>
      <c r="K34" s="609"/>
      <c r="L34" s="1131"/>
      <c r="M34" s="1134"/>
      <c r="N34" s="1134"/>
      <c r="O34" s="1134"/>
      <c r="P34" s="3403"/>
      <c r="Q34" s="772" t="str">
        <f t="shared" si="11"/>
        <v>项目建筑规模</v>
      </c>
      <c r="R34" s="773" t="s">
        <v>17</v>
      </c>
      <c r="S34" s="774">
        <f t="shared" si="12"/>
        <v>100</v>
      </c>
      <c r="T34" s="773" t="s">
        <v>17</v>
      </c>
      <c r="U34" s="774">
        <f t="shared" si="13"/>
        <v>100</v>
      </c>
      <c r="V34" s="773" t="s">
        <v>17</v>
      </c>
      <c r="W34" s="774">
        <f t="shared" si="14"/>
        <v>100</v>
      </c>
      <c r="X34" s="775"/>
      <c r="Y34" s="3386"/>
      <c r="Z34" s="776" t="str">
        <f t="shared" si="15"/>
        <v>项目建筑规模</v>
      </c>
      <c r="AA34" s="1803">
        <f t="shared" si="3"/>
        <v>1</v>
      </c>
      <c r="AB34" s="1803">
        <f t="shared" si="4"/>
        <v>1</v>
      </c>
      <c r="AC34" s="2664">
        <f t="shared" si="5"/>
        <v>1</v>
      </c>
    </row>
    <row r="35" spans="1:29" ht="15">
      <c r="A35" s="468"/>
      <c r="B35" s="418" t="s">
        <v>2554</v>
      </c>
      <c r="C35" s="456" t="s">
        <v>3075</v>
      </c>
      <c r="D35" s="431">
        <v>100</v>
      </c>
      <c r="E35" s="456" t="s">
        <v>3075</v>
      </c>
      <c r="F35" s="457">
        <f>SUMIF(106:106,E35,107:107)-SUMIF(106:106,C35,107:107)+100</f>
        <v>100</v>
      </c>
      <c r="G35" s="456" t="s">
        <v>3075</v>
      </c>
      <c r="H35" s="431">
        <f>SUMIF(106:106,G35,107:107)-SUMIF(106:106,C35,107:107)+100</f>
        <v>100</v>
      </c>
      <c r="I35" s="456" t="s">
        <v>3075</v>
      </c>
      <c r="J35" s="431">
        <f>SUMIF(106:106,I35,107:107)-SUMIF(106:106,C35,107:107)+100</f>
        <v>100</v>
      </c>
      <c r="K35" s="608">
        <v>2</v>
      </c>
      <c r="L35" s="1133"/>
      <c r="M35" s="1124"/>
      <c r="N35" s="1124"/>
      <c r="O35" s="1124"/>
      <c r="P35" s="3403"/>
      <c r="Q35" s="1802" t="str">
        <f t="shared" si="11"/>
        <v>建筑结构</v>
      </c>
      <c r="R35" s="770" t="s">
        <v>17</v>
      </c>
      <c r="S35" s="771">
        <f t="shared" si="12"/>
        <v>100</v>
      </c>
      <c r="T35" s="770" t="s">
        <v>17</v>
      </c>
      <c r="U35" s="771">
        <f t="shared" si="13"/>
        <v>100</v>
      </c>
      <c r="V35" s="770" t="s">
        <v>17</v>
      </c>
      <c r="W35" s="771">
        <f t="shared" si="14"/>
        <v>100</v>
      </c>
      <c r="X35" s="1805"/>
      <c r="Y35" s="3386"/>
      <c r="Z35" s="1806" t="str">
        <f t="shared" si="15"/>
        <v>建筑结构</v>
      </c>
      <c r="AA35" s="1803">
        <f t="shared" si="3"/>
        <v>1</v>
      </c>
      <c r="AB35" s="1803">
        <f t="shared" si="4"/>
        <v>1</v>
      </c>
      <c r="AC35" s="2664">
        <f t="shared" si="5"/>
        <v>1</v>
      </c>
    </row>
    <row r="36" spans="1:29" ht="15">
      <c r="A36" s="468"/>
      <c r="B36" s="418" t="s">
        <v>2648</v>
      </c>
      <c r="C36" s="456" t="s">
        <v>4223</v>
      </c>
      <c r="D36" s="431">
        <v>100</v>
      </c>
      <c r="E36" s="456" t="s">
        <v>4223</v>
      </c>
      <c r="F36" s="457">
        <f>SUMIF(108:108,E36,109:109)-SUMIF(108:108,C36,109:109)+100</f>
        <v>100</v>
      </c>
      <c r="G36" s="456" t="s">
        <v>4223</v>
      </c>
      <c r="H36" s="431">
        <f>SUMIF(108:108,G36,109:109)-SUMIF(108:108,C36,109:109)+100</f>
        <v>100</v>
      </c>
      <c r="I36" s="456" t="s">
        <v>4223</v>
      </c>
      <c r="J36" s="431">
        <f>SUMIF(108:108,I36,109:109)-SUMIF(108:108,C36,109:109)+100</f>
        <v>100</v>
      </c>
      <c r="K36" s="608">
        <v>2</v>
      </c>
      <c r="L36" s="1133"/>
      <c r="M36" s="1124"/>
      <c r="N36" s="1124"/>
      <c r="O36" s="1124"/>
      <c r="P36" s="3403"/>
      <c r="Q36" s="1802" t="str">
        <f t="shared" si="11"/>
        <v>公共部分装修</v>
      </c>
      <c r="R36" s="770" t="s">
        <v>17</v>
      </c>
      <c r="S36" s="771">
        <f t="shared" si="12"/>
        <v>100</v>
      </c>
      <c r="T36" s="770" t="s">
        <v>17</v>
      </c>
      <c r="U36" s="771">
        <f t="shared" si="13"/>
        <v>100</v>
      </c>
      <c r="V36" s="770" t="s">
        <v>17</v>
      </c>
      <c r="W36" s="771">
        <f t="shared" si="14"/>
        <v>100</v>
      </c>
      <c r="X36" s="1805"/>
      <c r="Y36" s="3386"/>
      <c r="Z36" s="1806" t="str">
        <f t="shared" si="15"/>
        <v>公共部分装修</v>
      </c>
      <c r="AA36" s="1803">
        <f t="shared" si="3"/>
        <v>1</v>
      </c>
      <c r="AB36" s="1803">
        <f t="shared" si="4"/>
        <v>1</v>
      </c>
      <c r="AC36" s="2664">
        <f t="shared" si="5"/>
        <v>1</v>
      </c>
    </row>
    <row r="37" spans="1:29" ht="15">
      <c r="A37" s="468"/>
      <c r="B37" s="418" t="s">
        <v>2649</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608">
        <v>2</v>
      </c>
      <c r="L37" s="1133"/>
      <c r="M37" s="1124"/>
      <c r="N37" s="1124"/>
      <c r="O37" s="1124"/>
      <c r="P37" s="3403"/>
      <c r="Q37" s="1802" t="str">
        <f t="shared" si="11"/>
        <v>成新度</v>
      </c>
      <c r="R37" s="770" t="s">
        <v>17</v>
      </c>
      <c r="S37" s="771">
        <f t="shared" si="12"/>
        <v>100</v>
      </c>
      <c r="T37" s="770" t="s">
        <v>17</v>
      </c>
      <c r="U37" s="771">
        <f t="shared" si="13"/>
        <v>100</v>
      </c>
      <c r="V37" s="770" t="s">
        <v>17</v>
      </c>
      <c r="W37" s="771">
        <f t="shared" si="14"/>
        <v>100</v>
      </c>
      <c r="X37" s="1805"/>
      <c r="Y37" s="3386"/>
      <c r="Z37" s="1806" t="str">
        <f t="shared" si="15"/>
        <v>成新度</v>
      </c>
      <c r="AA37" s="1803">
        <f t="shared" si="3"/>
        <v>1</v>
      </c>
      <c r="AB37" s="1803">
        <f t="shared" si="4"/>
        <v>1</v>
      </c>
      <c r="AC37" s="2664">
        <f t="shared" si="5"/>
        <v>1</v>
      </c>
    </row>
    <row r="38" spans="1:29" s="116" customFormat="1" ht="15">
      <c r="A38" s="469"/>
      <c r="B38" s="418" t="s">
        <v>2681</v>
      </c>
      <c r="C38" s="456" t="s">
        <v>4225</v>
      </c>
      <c r="D38" s="133">
        <v>100</v>
      </c>
      <c r="E38" s="456" t="s">
        <v>4225</v>
      </c>
      <c r="F38" s="457">
        <f>SUMIF(113:113,E38,114:114)-SUMIF(113:113,C38,114:114)+100</f>
        <v>100</v>
      </c>
      <c r="G38" s="456" t="s">
        <v>4225</v>
      </c>
      <c r="H38" s="431">
        <f>SUMIF(113:113,G38,114:114)-SUMIF(113:113,C38,114:114)+100</f>
        <v>100</v>
      </c>
      <c r="I38" s="456" t="s">
        <v>4225</v>
      </c>
      <c r="J38" s="431">
        <f>SUMIF(113:113,I38,114:114)-SUMIF(113:113,C38,114:114)+100</f>
        <v>100</v>
      </c>
      <c r="K38" s="608">
        <v>2</v>
      </c>
      <c r="L38" s="1125"/>
      <c r="M38" s="1126"/>
      <c r="N38" s="1126"/>
      <c r="O38" s="1126"/>
      <c r="P38" s="3403"/>
      <c r="Q38" s="1787" t="str">
        <f t="shared" si="11"/>
        <v>写字楼等级</v>
      </c>
      <c r="R38" s="766" t="s">
        <v>17</v>
      </c>
      <c r="S38" s="767">
        <f t="shared" si="12"/>
        <v>100</v>
      </c>
      <c r="T38" s="766" t="s">
        <v>17</v>
      </c>
      <c r="U38" s="767">
        <f t="shared" si="13"/>
        <v>100</v>
      </c>
      <c r="V38" s="766" t="s">
        <v>17</v>
      </c>
      <c r="W38" s="767">
        <f t="shared" si="14"/>
        <v>100</v>
      </c>
      <c r="X38" s="768"/>
      <c r="Y38" s="3386"/>
      <c r="Z38" s="55" t="str">
        <f t="shared" si="15"/>
        <v>写字楼等级</v>
      </c>
      <c r="AA38" s="769">
        <f t="shared" si="3"/>
        <v>1</v>
      </c>
      <c r="AB38" s="769">
        <f t="shared" si="4"/>
        <v>1</v>
      </c>
      <c r="AC38" s="2661">
        <f t="shared" si="5"/>
        <v>1</v>
      </c>
    </row>
    <row r="39" spans="1:29" ht="15">
      <c r="A39" s="468"/>
      <c r="B39" s="418" t="s">
        <v>2682</v>
      </c>
      <c r="C39" s="456" t="s">
        <v>4227</v>
      </c>
      <c r="D39" s="431">
        <v>100</v>
      </c>
      <c r="E39" s="456" t="s">
        <v>4227</v>
      </c>
      <c r="F39" s="457">
        <f>SUMIF(115:115,E39,116:116)-SUMIF(115:115,C39,116:116)+100</f>
        <v>100</v>
      </c>
      <c r="G39" s="456" t="s">
        <v>4227</v>
      </c>
      <c r="H39" s="431">
        <f>SUMIF(115:115,G39,116:116)-SUMIF(115:115,C39,116:116)+100</f>
        <v>100</v>
      </c>
      <c r="I39" s="456" t="s">
        <v>4227</v>
      </c>
      <c r="J39" s="431">
        <f>SUMIF(115:115,I39,116:116)-SUMIF(115:115,C39,116:116)+100</f>
        <v>100</v>
      </c>
      <c r="K39" s="608">
        <v>2</v>
      </c>
      <c r="L39" s="1133"/>
      <c r="M39" s="1124"/>
      <c r="N39" s="1124"/>
      <c r="O39" s="1124"/>
      <c r="P39" s="3403" t="s">
        <v>2552</v>
      </c>
      <c r="Q39" s="1802" t="str">
        <f t="shared" si="11"/>
        <v>物业管理</v>
      </c>
      <c r="R39" s="770" t="s">
        <v>17</v>
      </c>
      <c r="S39" s="771">
        <f t="shared" si="12"/>
        <v>100</v>
      </c>
      <c r="T39" s="770" t="s">
        <v>17</v>
      </c>
      <c r="U39" s="771">
        <f t="shared" si="13"/>
        <v>100</v>
      </c>
      <c r="V39" s="770" t="s">
        <v>17</v>
      </c>
      <c r="W39" s="771">
        <f t="shared" si="14"/>
        <v>100</v>
      </c>
      <c r="X39" s="1805"/>
      <c r="Y39" s="3386" t="s">
        <v>2552</v>
      </c>
      <c r="Z39" s="1806" t="str">
        <f t="shared" si="15"/>
        <v>物业管理</v>
      </c>
      <c r="AA39" s="1803">
        <f t="shared" si="3"/>
        <v>1</v>
      </c>
      <c r="AB39" s="1803">
        <f t="shared" si="4"/>
        <v>1</v>
      </c>
      <c r="AC39" s="2664">
        <f t="shared" si="5"/>
        <v>1</v>
      </c>
    </row>
    <row r="40" spans="1:29" ht="15">
      <c r="A40" s="468"/>
      <c r="B40" s="418" t="s">
        <v>2650</v>
      </c>
      <c r="C40" s="456" t="s">
        <v>4229</v>
      </c>
      <c r="D40" s="431">
        <v>100</v>
      </c>
      <c r="E40" s="456" t="s">
        <v>4229</v>
      </c>
      <c r="F40" s="457">
        <f>SUMIF(117:117,E40,118:118)-SUMIF(117:117,C40,118:118)+100</f>
        <v>100</v>
      </c>
      <c r="G40" s="456" t="s">
        <v>4229</v>
      </c>
      <c r="H40" s="431">
        <f>SUMIF(117:117,G40,118:118)-SUMIF(117:117,C40,118:118)+100</f>
        <v>100</v>
      </c>
      <c r="I40" s="456" t="s">
        <v>4229</v>
      </c>
      <c r="J40" s="431">
        <f>SUMIF(117:117,I40,118:118)-SUMIF(117:117,C40,118:118)+100</f>
        <v>100</v>
      </c>
      <c r="K40" s="608">
        <v>2</v>
      </c>
      <c r="L40" s="1133"/>
      <c r="M40" s="1124"/>
      <c r="N40" s="1124"/>
      <c r="O40" s="1124"/>
      <c r="P40" s="3403"/>
      <c r="Q40" s="1802" t="str">
        <f t="shared" si="11"/>
        <v>市政基础设施</v>
      </c>
      <c r="R40" s="770" t="s">
        <v>17</v>
      </c>
      <c r="S40" s="771">
        <f t="shared" si="12"/>
        <v>100</v>
      </c>
      <c r="T40" s="770" t="s">
        <v>17</v>
      </c>
      <c r="U40" s="771">
        <f t="shared" si="13"/>
        <v>100</v>
      </c>
      <c r="V40" s="770" t="s">
        <v>17</v>
      </c>
      <c r="W40" s="771">
        <f t="shared" si="14"/>
        <v>100</v>
      </c>
      <c r="X40" s="1805"/>
      <c r="Y40" s="3386"/>
      <c r="Z40" s="1806" t="str">
        <f t="shared" si="15"/>
        <v>市政基础设施</v>
      </c>
      <c r="AA40" s="1803">
        <f t="shared" si="3"/>
        <v>1</v>
      </c>
      <c r="AB40" s="1803">
        <f t="shared" si="4"/>
        <v>1</v>
      </c>
      <c r="AC40" s="2664">
        <f t="shared" si="5"/>
        <v>1</v>
      </c>
    </row>
    <row r="41" spans="1:29" ht="15">
      <c r="A41" s="468"/>
      <c r="B41" s="418" t="s">
        <v>2652</v>
      </c>
      <c r="C41" s="612" t="s">
        <v>4231</v>
      </c>
      <c r="D41" s="431">
        <v>100</v>
      </c>
      <c r="E41" s="612" t="s">
        <v>4231</v>
      </c>
      <c r="F41" s="457">
        <f>SUMIF(119:119,E41,120:120)-SUMIF(119:119,C41,120:120)+100</f>
        <v>100</v>
      </c>
      <c r="G41" s="612" t="s">
        <v>4231</v>
      </c>
      <c r="H41" s="431">
        <f>SUMIF(119:119,G41,120:120)-SUMIF(119:119,C41,120:120)+100</f>
        <v>100</v>
      </c>
      <c r="I41" s="612" t="s">
        <v>4231</v>
      </c>
      <c r="J41" s="431">
        <f>SUMIF(119:119,I41,120:120)-SUMIF(119:119,C41,120:120)+100</f>
        <v>100</v>
      </c>
      <c r="K41" s="608">
        <v>2</v>
      </c>
      <c r="L41" s="1133"/>
      <c r="M41" s="1124"/>
      <c r="N41" s="1124"/>
      <c r="O41" s="1124"/>
      <c r="P41" s="3403"/>
      <c r="Q41" s="1802" t="str">
        <f t="shared" si="11"/>
        <v>层高</v>
      </c>
      <c r="R41" s="770" t="s">
        <v>17</v>
      </c>
      <c r="S41" s="771">
        <f t="shared" si="12"/>
        <v>100</v>
      </c>
      <c r="T41" s="770" t="s">
        <v>17</v>
      </c>
      <c r="U41" s="771">
        <f t="shared" si="13"/>
        <v>100</v>
      </c>
      <c r="V41" s="770" t="s">
        <v>17</v>
      </c>
      <c r="W41" s="771">
        <f t="shared" si="14"/>
        <v>100</v>
      </c>
      <c r="X41" s="1805"/>
      <c r="Y41" s="3386"/>
      <c r="Z41" s="1806" t="str">
        <f t="shared" si="15"/>
        <v>层高</v>
      </c>
      <c r="AA41" s="1803">
        <f t="shared" si="3"/>
        <v>1</v>
      </c>
      <c r="AB41" s="1803">
        <f t="shared" si="4"/>
        <v>1</v>
      </c>
      <c r="AC41" s="2664">
        <f t="shared" si="5"/>
        <v>1</v>
      </c>
    </row>
    <row r="42" spans="1:29" s="467" customFormat="1" ht="15">
      <c r="A42" s="464"/>
      <c r="B42" s="1804" t="s">
        <v>2683</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1"/>
      <c r="M42" s="1134"/>
      <c r="N42" s="1134"/>
      <c r="O42" s="1134"/>
      <c r="P42" s="3403"/>
      <c r="Q42" s="772" t="str">
        <f t="shared" si="11"/>
        <v>单套建筑面积</v>
      </c>
      <c r="R42" s="773" t="s">
        <v>17</v>
      </c>
      <c r="S42" s="774">
        <f t="shared" si="12"/>
        <v>100</v>
      </c>
      <c r="T42" s="773" t="s">
        <v>17</v>
      </c>
      <c r="U42" s="774">
        <f t="shared" si="13"/>
        <v>100</v>
      </c>
      <c r="V42" s="773" t="s">
        <v>17</v>
      </c>
      <c r="W42" s="774">
        <f t="shared" si="14"/>
        <v>100</v>
      </c>
      <c r="X42" s="775"/>
      <c r="Y42" s="3386"/>
      <c r="Z42" s="776" t="str">
        <f t="shared" si="15"/>
        <v>单套建筑面积</v>
      </c>
      <c r="AA42" s="1803">
        <f t="shared" si="3"/>
        <v>1</v>
      </c>
      <c r="AB42" s="1803">
        <f t="shared" si="4"/>
        <v>1</v>
      </c>
      <c r="AC42" s="2664">
        <f t="shared" si="5"/>
        <v>1</v>
      </c>
    </row>
    <row r="43" spans="1:29" ht="15">
      <c r="A43" s="468"/>
      <c r="B43" s="418" t="s">
        <v>2655</v>
      </c>
      <c r="C43" s="456" t="s">
        <v>4235</v>
      </c>
      <c r="D43" s="431">
        <v>100</v>
      </c>
      <c r="E43" s="456" t="s">
        <v>4235</v>
      </c>
      <c r="F43" s="457">
        <f>SUMIF(123:123,E43,124:124)-SUMIF(123:123,C43,124:124)+100</f>
        <v>100</v>
      </c>
      <c r="G43" s="456" t="s">
        <v>4235</v>
      </c>
      <c r="H43" s="431">
        <f>SUMIF(123:123,G43,124:124)-SUMIF(123:123,C43,124:124)+100</f>
        <v>100</v>
      </c>
      <c r="I43" s="456" t="s">
        <v>4235</v>
      </c>
      <c r="J43" s="431">
        <f>SUMIF(123:123,I43,124:124)-SUMIF(123:123,C43,124:124)+100</f>
        <v>100</v>
      </c>
      <c r="K43" s="608">
        <v>3</v>
      </c>
      <c r="L43" s="1133"/>
      <c r="M43" s="1124"/>
      <c r="N43" s="1124"/>
      <c r="O43" s="1124"/>
      <c r="P43" s="3403"/>
      <c r="Q43" s="1802" t="str">
        <f t="shared" si="11"/>
        <v>内部装修</v>
      </c>
      <c r="R43" s="770" t="s">
        <v>17</v>
      </c>
      <c r="S43" s="771">
        <f t="shared" si="12"/>
        <v>100</v>
      </c>
      <c r="T43" s="770" t="s">
        <v>17</v>
      </c>
      <c r="U43" s="771">
        <f t="shared" si="13"/>
        <v>100</v>
      </c>
      <c r="V43" s="770" t="s">
        <v>17</v>
      </c>
      <c r="W43" s="771">
        <f t="shared" si="14"/>
        <v>100</v>
      </c>
      <c r="X43" s="1805"/>
      <c r="Y43" s="3386"/>
      <c r="Z43" s="1806" t="str">
        <f t="shared" si="15"/>
        <v>内部装修</v>
      </c>
      <c r="AA43" s="1803">
        <f t="shared" si="3"/>
        <v>1</v>
      </c>
      <c r="AB43" s="1803">
        <f t="shared" si="4"/>
        <v>1</v>
      </c>
      <c r="AC43" s="2664">
        <f t="shared" si="5"/>
        <v>1</v>
      </c>
    </row>
    <row r="44" spans="1:29" ht="15">
      <c r="A44" s="468"/>
      <c r="B44" s="418" t="s">
        <v>2563</v>
      </c>
      <c r="C44" s="456" t="s">
        <v>3174</v>
      </c>
      <c r="D44" s="431">
        <v>100</v>
      </c>
      <c r="E44" s="456" t="s">
        <v>3174</v>
      </c>
      <c r="F44" s="457">
        <f>SUMIF(125:125,E44,126:126)-SUMIF(125:125,C44,126:126)+100</f>
        <v>100</v>
      </c>
      <c r="G44" s="456" t="s">
        <v>3174</v>
      </c>
      <c r="H44" s="431">
        <f>SUMIF(125:125,G44,126:126)-SUMIF(125:125,C44,126:126)+100</f>
        <v>100</v>
      </c>
      <c r="I44" s="456" t="s">
        <v>3174</v>
      </c>
      <c r="J44" s="431">
        <f>SUMIF(125:125,I44,126:126)-SUMIF(125:125,C44,126:126)+100</f>
        <v>100</v>
      </c>
      <c r="K44" s="608">
        <v>2</v>
      </c>
      <c r="L44" s="1133"/>
      <c r="M44" s="1124"/>
      <c r="N44" s="1124"/>
      <c r="O44" s="1124"/>
      <c r="P44" s="3403"/>
      <c r="Q44" s="1802" t="str">
        <f t="shared" si="11"/>
        <v>内部装修维护情况</v>
      </c>
      <c r="R44" s="770" t="s">
        <v>17</v>
      </c>
      <c r="S44" s="771">
        <f t="shared" si="12"/>
        <v>100</v>
      </c>
      <c r="T44" s="770" t="s">
        <v>17</v>
      </c>
      <c r="U44" s="771">
        <f t="shared" si="13"/>
        <v>100</v>
      </c>
      <c r="V44" s="770" t="s">
        <v>17</v>
      </c>
      <c r="W44" s="771">
        <f t="shared" si="14"/>
        <v>100</v>
      </c>
      <c r="X44" s="1805"/>
      <c r="Y44" s="3386"/>
      <c r="Z44" s="1806" t="str">
        <f t="shared" si="15"/>
        <v>内部装修维护情况</v>
      </c>
      <c r="AA44" s="1803">
        <f t="shared" si="3"/>
        <v>1</v>
      </c>
      <c r="AB44" s="1803">
        <f t="shared" si="4"/>
        <v>1</v>
      </c>
      <c r="AC44" s="2664">
        <f t="shared" si="5"/>
        <v>1</v>
      </c>
    </row>
    <row r="45" spans="1:29" s="116" customFormat="1" ht="15">
      <c r="A45" s="469"/>
      <c r="B45" s="1379"/>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125"/>
      <c r="M45" s="1126"/>
      <c r="N45" s="1126"/>
      <c r="O45" s="1126"/>
      <c r="P45" s="3403"/>
      <c r="Q45" s="1787">
        <f t="shared" si="11"/>
        <v>0</v>
      </c>
      <c r="R45" s="766" t="s">
        <v>17</v>
      </c>
      <c r="S45" s="767">
        <f t="shared" si="12"/>
        <v>100</v>
      </c>
      <c r="T45" s="766" t="s">
        <v>17</v>
      </c>
      <c r="U45" s="767">
        <f t="shared" si="13"/>
        <v>100</v>
      </c>
      <c r="V45" s="766" t="s">
        <v>17</v>
      </c>
      <c r="W45" s="767">
        <f t="shared" si="14"/>
        <v>100</v>
      </c>
      <c r="X45" s="768"/>
      <c r="Y45" s="3386"/>
      <c r="Z45" s="55">
        <f t="shared" si="15"/>
        <v>0</v>
      </c>
      <c r="AA45" s="769">
        <f t="shared" si="3"/>
        <v>1</v>
      </c>
      <c r="AB45" s="769">
        <f t="shared" si="4"/>
        <v>1</v>
      </c>
      <c r="AC45" s="2661">
        <f t="shared" si="5"/>
        <v>1</v>
      </c>
    </row>
    <row r="46" spans="1:29" ht="15">
      <c r="A46" s="468"/>
      <c r="B46" s="1379"/>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3"/>
      <c r="M46" s="1124"/>
      <c r="N46" s="1124"/>
      <c r="O46" s="1124"/>
      <c r="P46" s="3403"/>
      <c r="Q46" s="1802">
        <f t="shared" si="11"/>
        <v>0</v>
      </c>
      <c r="R46" s="770" t="s">
        <v>17</v>
      </c>
      <c r="S46" s="771">
        <f t="shared" si="12"/>
        <v>100</v>
      </c>
      <c r="T46" s="770" t="s">
        <v>17</v>
      </c>
      <c r="U46" s="771">
        <f t="shared" si="13"/>
        <v>100</v>
      </c>
      <c r="V46" s="770" t="s">
        <v>17</v>
      </c>
      <c r="W46" s="771">
        <f t="shared" si="14"/>
        <v>100</v>
      </c>
      <c r="X46" s="1805"/>
      <c r="Y46" s="3386"/>
      <c r="Z46" s="1806">
        <f t="shared" si="15"/>
        <v>0</v>
      </c>
      <c r="AA46" s="1803">
        <f t="shared" si="3"/>
        <v>1</v>
      </c>
      <c r="AB46" s="1803">
        <f t="shared" si="4"/>
        <v>1</v>
      </c>
      <c r="AC46" s="2664">
        <f t="shared" si="5"/>
        <v>1</v>
      </c>
    </row>
    <row r="47" spans="1:29" ht="15.75" thickBot="1">
      <c r="A47" s="474"/>
      <c r="B47" s="2592"/>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3"/>
      <c r="M47" s="1124"/>
      <c r="N47" s="1124"/>
      <c r="O47" s="1124"/>
      <c r="P47" s="3404"/>
      <c r="Q47" s="1802">
        <f t="shared" si="11"/>
        <v>0</v>
      </c>
      <c r="R47" s="770" t="s">
        <v>17</v>
      </c>
      <c r="S47" s="771">
        <f t="shared" si="12"/>
        <v>100</v>
      </c>
      <c r="T47" s="770" t="s">
        <v>17</v>
      </c>
      <c r="U47" s="771">
        <f t="shared" si="13"/>
        <v>100</v>
      </c>
      <c r="V47" s="770" t="s">
        <v>17</v>
      </c>
      <c r="W47" s="771">
        <f t="shared" si="14"/>
        <v>100</v>
      </c>
      <c r="X47" s="1805"/>
      <c r="Y47" s="3405"/>
      <c r="Z47" s="1806">
        <f t="shared" si="15"/>
        <v>0</v>
      </c>
      <c r="AA47" s="1803">
        <f t="shared" si="3"/>
        <v>1</v>
      </c>
      <c r="AB47" s="1803">
        <f t="shared" si="4"/>
        <v>1</v>
      </c>
      <c r="AC47" s="2664">
        <f t="shared" si="5"/>
        <v>1</v>
      </c>
    </row>
    <row r="48" spans="1:29" ht="15">
      <c r="A48" s="475" t="s">
        <v>2564</v>
      </c>
      <c r="B48" s="476"/>
      <c r="C48" s="1400" t="s">
        <v>1</v>
      </c>
      <c r="D48" s="1401"/>
      <c r="E48" s="1402">
        <f>22000*0.98</f>
        <v>21560</v>
      </c>
      <c r="F48" s="1403"/>
      <c r="G48" s="1404">
        <f>26000*0.98</f>
        <v>25480</v>
      </c>
      <c r="H48" s="1405"/>
      <c r="I48" s="1402">
        <f>23000*0.98</f>
        <v>22540</v>
      </c>
      <c r="J48" s="481"/>
      <c r="K48" s="779"/>
      <c r="L48" s="1136"/>
      <c r="M48" s="1124"/>
      <c r="N48" s="1124"/>
      <c r="O48" s="1124"/>
      <c r="P48" s="3392" t="str">
        <f>A48</f>
        <v>成交单价（元/平方米）</v>
      </c>
      <c r="Q48" s="3368"/>
      <c r="R48" s="3406">
        <f>E48</f>
        <v>21560</v>
      </c>
      <c r="S48" s="3406"/>
      <c r="T48" s="3406">
        <f>G48</f>
        <v>25480</v>
      </c>
      <c r="U48" s="3406"/>
      <c r="V48" s="3406">
        <f>I48</f>
        <v>22540</v>
      </c>
      <c r="W48" s="3406"/>
      <c r="X48" s="442"/>
      <c r="Y48" s="777"/>
      <c r="Z48" s="442"/>
      <c r="AA48" s="442"/>
      <c r="AB48" s="442"/>
      <c r="AC48" s="626"/>
    </row>
    <row r="49" spans="1:29" ht="15.75" thickBot="1">
      <c r="A49" s="482" t="s">
        <v>2656</v>
      </c>
      <c r="B49" s="483"/>
      <c r="C49" s="1406">
        <f>R50</f>
        <v>22604</v>
      </c>
      <c r="D49" s="1407"/>
      <c r="E49" s="1408">
        <f>R49</f>
        <v>20533</v>
      </c>
      <c r="F49" s="1408"/>
      <c r="G49" s="1406">
        <f>T49</f>
        <v>24512</v>
      </c>
      <c r="H49" s="1407"/>
      <c r="I49" s="1408">
        <f>V49</f>
        <v>22768</v>
      </c>
      <c r="J49" s="485"/>
      <c r="K49" s="780"/>
      <c r="L49" s="1136"/>
      <c r="M49" s="1124"/>
      <c r="N49" s="1124"/>
      <c r="O49" s="1124"/>
      <c r="P49" s="3392" t="str">
        <f>A49</f>
        <v>比较价值（元/平方米）</v>
      </c>
      <c r="Q49" s="3368"/>
      <c r="R49" s="3406">
        <f>IF(F1="售价",ROUND(PRODUCT(R48,AA7:AA47),0),ROUND(PRODUCT(R48,AA7:AA47),1))</f>
        <v>20533</v>
      </c>
      <c r="S49" s="3406"/>
      <c r="T49" s="3406">
        <f>IF(F1="售价",ROUND(PRODUCT(T48,AB7:AB47),0),ROUND(PRODUCT(T48,AB7:AB47),1))</f>
        <v>24512</v>
      </c>
      <c r="U49" s="3406"/>
      <c r="V49" s="3406">
        <f>IF(F1="售价",ROUND(PRODUCT(V48,AC7:AC47),0),ROUND(PRODUCT(V48,AC7:AC47),1))</f>
        <v>22768</v>
      </c>
      <c r="W49" s="3406"/>
      <c r="X49" s="442"/>
      <c r="Y49" s="442"/>
      <c r="Z49" s="442"/>
      <c r="AA49" s="442"/>
      <c r="AB49" s="442"/>
      <c r="AC49" s="626"/>
    </row>
    <row r="50" spans="1:29" ht="15.75" thickBot="1">
      <c r="A50" s="488" t="s">
        <v>2657</v>
      </c>
      <c r="B50" s="489"/>
      <c r="C50" s="1410">
        <f>R50</f>
        <v>22604</v>
      </c>
      <c r="D50" s="1410"/>
      <c r="E50" s="1410"/>
      <c r="F50" s="1410"/>
      <c r="G50" s="1410"/>
      <c r="H50" s="1410"/>
      <c r="I50" s="1410"/>
      <c r="J50" s="490"/>
      <c r="K50" s="781"/>
      <c r="L50" s="1136"/>
      <c r="M50" s="1124"/>
      <c r="N50" s="1124"/>
      <c r="O50" s="1124"/>
      <c r="P50" s="3424" t="str">
        <f>A50</f>
        <v>估价对象XX用房的比较价值（楼面单价，元/平方米）</v>
      </c>
      <c r="Q50" s="3425"/>
      <c r="R50" s="3426">
        <f>IF(F1="售价",ROUND(AVERAGE(R49:V49),0),ROUND(AVERAGE(R49:V49),1))</f>
        <v>22604</v>
      </c>
      <c r="S50" s="3426"/>
      <c r="T50" s="3426"/>
      <c r="U50" s="3426"/>
      <c r="V50" s="3426"/>
      <c r="W50" s="3426"/>
      <c r="X50" s="2644"/>
      <c r="Y50" s="2644"/>
      <c r="Z50" s="2644"/>
      <c r="AA50" s="2644"/>
      <c r="AB50" s="2644"/>
      <c r="AC50" s="2645"/>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3" t="s">
        <v>2658</v>
      </c>
      <c r="D53" s="494"/>
      <c r="E53" s="495">
        <f>IF(E48&lt;E49,E49/E48-1,E48/E49-1)</f>
        <v>5.0017045731261867E-2</v>
      </c>
      <c r="F53" s="496" t="str">
        <f>IF(OR(E53&gt;=0.3,E53&lt;=-0.3),"超过30%","")</f>
        <v/>
      </c>
      <c r="G53" s="495">
        <f>IF(G48&lt;G49,G49/G48-1,G48/G49-1)</f>
        <v>3.9490861618799E-2</v>
      </c>
      <c r="H53" s="496" t="str">
        <f>IF(OR(G53&gt;=0.3,G53&lt;=-0.3),"超过30%","")</f>
        <v/>
      </c>
      <c r="I53" s="495">
        <f>IF(I48&lt;I49,I49/I48-1,I48/I49-1)</f>
        <v>1.0115350488021368E-2</v>
      </c>
      <c r="J53" s="496" t="str">
        <f>IF(OR(I53&gt;=0.3,I53&lt;=-0.3),"超过30%","")</f>
        <v/>
      </c>
      <c r="K53" s="1098"/>
      <c r="L53" s="1099"/>
      <c r="M53" s="1137"/>
      <c r="N53" s="1137"/>
      <c r="O53" s="1137"/>
    </row>
    <row r="54" spans="1:29" ht="13.5" customHeight="1">
      <c r="A54" s="1137"/>
      <c r="B54" s="1137"/>
      <c r="C54" s="493" t="s">
        <v>2659</v>
      </c>
      <c r="D54" s="497"/>
      <c r="E54" s="495">
        <f>IF(E49&lt;G49,G49/E49-1,E49/G49-1)</f>
        <v>0.19378561340281508</v>
      </c>
      <c r="F54" s="496" t="str">
        <f>IF(OR(E54&gt;=0.2,E54&lt;=-0.2),"超过20%","")</f>
        <v/>
      </c>
      <c r="G54" s="495">
        <f>IF(G49&lt;I49,I49/G49-1,G49/I49-1)</f>
        <v>7.6598735066760293E-2</v>
      </c>
      <c r="H54" s="496" t="str">
        <f>IF(OR(G54&gt;=0.2,G54&lt;=-0.2),"超过20%","")</f>
        <v/>
      </c>
      <c r="I54" s="495">
        <f>IF(I49&lt;E49,E49/I49-1,I49/E49-1)</f>
        <v>0.10884916962937718</v>
      </c>
      <c r="J54" s="496" t="str">
        <f>IF(OR(I54&gt;=0.2,I54&lt;=-0.2),"超过20%","")</f>
        <v/>
      </c>
      <c r="K54" s="1098"/>
      <c r="L54" s="1099"/>
      <c r="M54" s="1137"/>
      <c r="N54" s="1137"/>
      <c r="O54" s="1137"/>
    </row>
    <row r="55" spans="1:29" s="498" customFormat="1" ht="13.5" customHeight="1">
      <c r="A55" s="1138"/>
      <c r="B55" s="1138"/>
      <c r="C55" s="493" t="s">
        <v>2660</v>
      </c>
      <c r="D55" s="497"/>
      <c r="E55" s="495">
        <f>IF(E48&lt;G48,G48/E48-1,E48/G48-1)</f>
        <v>0.18181818181818188</v>
      </c>
      <c r="F55" s="496" t="str">
        <f>IF(OR(E55&gt;=0.3,E55&lt;=-0.3),"超过30%","")</f>
        <v/>
      </c>
      <c r="G55" s="495">
        <f>IF(G48&lt;I48,I48/G48-1,G48/I48-1)</f>
        <v>0.13043478260869557</v>
      </c>
      <c r="H55" s="496" t="str">
        <f>IF(OR(G55&gt;=0.3,G55&lt;=-0.3),"超过30%","")</f>
        <v/>
      </c>
      <c r="I55" s="495">
        <f>IF(I48&lt;E48,E48/I48-1,I48/E48-1)</f>
        <v>4.5454545454545414E-2</v>
      </c>
      <c r="J55" s="496" t="str">
        <f>IF(OR(I55&gt;=0.3,I55&lt;=-0.3),"超过30%","")</f>
        <v/>
      </c>
      <c r="K55" s="1141"/>
      <c r="L55" s="1142"/>
      <c r="M55" s="1138"/>
      <c r="N55" s="1138"/>
      <c r="O55" s="1138"/>
      <c r="P55" s="2670"/>
    </row>
    <row r="56" spans="1:29" s="498" customFormat="1">
      <c r="A56" s="1138"/>
      <c r="B56" s="1139"/>
      <c r="C56" s="1143"/>
      <c r="D56" s="1138"/>
      <c r="E56" s="1138"/>
      <c r="F56" s="1138"/>
      <c r="G56" s="1138"/>
      <c r="H56" s="1138"/>
      <c r="I56" s="1138"/>
      <c r="J56" s="1138"/>
      <c r="K56" s="1141"/>
      <c r="L56" s="1142"/>
      <c r="M56" s="1138"/>
      <c r="N56" s="1138"/>
      <c r="O56" s="1138"/>
      <c r="P56" s="2670"/>
    </row>
    <row r="57" spans="1:29">
      <c r="A57" s="1137"/>
      <c r="B57" s="1139"/>
      <c r="C57" s="1143"/>
      <c r="D57" s="1137"/>
      <c r="E57" s="1137"/>
      <c r="F57" s="1137"/>
      <c r="G57" s="1137"/>
      <c r="H57" s="1137"/>
      <c r="I57" s="1137"/>
      <c r="J57" s="1137"/>
      <c r="K57" s="1098"/>
      <c r="L57" s="1099"/>
      <c r="M57" s="1137"/>
      <c r="N57" s="1137"/>
      <c r="O57" s="1137"/>
    </row>
    <row r="58" spans="1:29" ht="21.75" thickBot="1">
      <c r="A58" s="759" t="s">
        <v>2661</v>
      </c>
      <c r="B58" s="755"/>
      <c r="C58" s="760"/>
      <c r="D58" s="760"/>
      <c r="E58" s="760"/>
      <c r="F58" s="761"/>
      <c r="G58" s="761"/>
      <c r="H58" s="760"/>
      <c r="I58" s="760"/>
      <c r="J58" s="760"/>
      <c r="K58" s="762"/>
      <c r="L58" s="1154"/>
      <c r="M58" s="1152"/>
      <c r="N58" s="1152"/>
      <c r="O58" s="1152"/>
      <c r="P58" s="2671"/>
      <c r="Q58" s="500"/>
    </row>
    <row r="59" spans="1:29" s="504" customFormat="1" ht="15">
      <c r="A59" s="501" t="s">
        <v>2535</v>
      </c>
      <c r="B59" s="502"/>
      <c r="C59" s="1566" t="str">
        <f>YEAR(C7)&amp;"-"&amp;MONTH(C7)</f>
        <v>2018-8</v>
      </c>
      <c r="D59" s="1567">
        <f>EDATE(C59,-1)</f>
        <v>43282</v>
      </c>
      <c r="E59" s="1567">
        <f>EDATE(D59,-1)</f>
        <v>43252</v>
      </c>
      <c r="F59" s="1567">
        <f t="shared" ref="F59:O59" si="16">EDATE(E59,-1)</f>
        <v>43221</v>
      </c>
      <c r="G59" s="1567">
        <f t="shared" si="16"/>
        <v>43191</v>
      </c>
      <c r="H59" s="1567">
        <f t="shared" si="16"/>
        <v>43160</v>
      </c>
      <c r="I59" s="1567">
        <f t="shared" si="16"/>
        <v>43132</v>
      </c>
      <c r="J59" s="1567">
        <f t="shared" si="16"/>
        <v>43101</v>
      </c>
      <c r="K59" s="1567">
        <f t="shared" si="16"/>
        <v>43070</v>
      </c>
      <c r="L59" s="1567">
        <f t="shared" si="16"/>
        <v>43040</v>
      </c>
      <c r="M59" s="1567">
        <f t="shared" si="16"/>
        <v>43009</v>
      </c>
      <c r="N59" s="1567">
        <f t="shared" si="16"/>
        <v>42979</v>
      </c>
      <c r="O59" s="1567">
        <f t="shared" si="16"/>
        <v>42948</v>
      </c>
      <c r="P59" s="1563"/>
    </row>
    <row r="60" spans="1:29" s="116" customFormat="1" ht="15">
      <c r="A60" s="505"/>
      <c r="B60" s="506"/>
      <c r="C60" s="1565">
        <v>100</v>
      </c>
      <c r="D60" s="508"/>
      <c r="E60" s="508"/>
      <c r="F60" s="508"/>
      <c r="G60" s="508"/>
      <c r="H60" s="508"/>
      <c r="I60" s="508"/>
      <c r="J60" s="508"/>
      <c r="K60" s="508"/>
      <c r="L60" s="508"/>
      <c r="M60" s="509"/>
      <c r="N60" s="508"/>
      <c r="O60" s="509"/>
      <c r="P60" s="2672"/>
    </row>
    <row r="61" spans="1:29" s="116" customFormat="1" ht="15.75" thickBot="1">
      <c r="A61" s="511" t="s">
        <v>2572</v>
      </c>
      <c r="B61" s="512"/>
      <c r="C61" s="513"/>
      <c r="D61" s="514"/>
      <c r="E61" s="514"/>
      <c r="F61" s="514"/>
      <c r="G61" s="514"/>
      <c r="H61" s="514"/>
      <c r="I61" s="514"/>
      <c r="J61" s="514"/>
      <c r="K61" s="514"/>
      <c r="L61" s="514"/>
      <c r="M61" s="515"/>
      <c r="N61" s="514"/>
      <c r="O61" s="515"/>
      <c r="P61" s="2672"/>
      <c r="Q61" s="500"/>
    </row>
    <row r="62" spans="1:29" s="116" customFormat="1" ht="15">
      <c r="A62" s="517" t="s">
        <v>2537</v>
      </c>
      <c r="B62" s="506"/>
      <c r="C62" s="518" t="s">
        <v>2639</v>
      </c>
      <c r="D62" s="519"/>
      <c r="E62" s="519"/>
      <c r="F62" s="519"/>
      <c r="G62" s="519"/>
      <c r="H62" s="519"/>
      <c r="I62" s="519"/>
      <c r="J62" s="519"/>
      <c r="K62" s="519"/>
      <c r="L62" s="520"/>
      <c r="M62" s="521"/>
      <c r="N62" s="1144"/>
      <c r="O62" s="1144"/>
      <c r="P62" s="2673"/>
      <c r="Q62" s="500"/>
    </row>
    <row r="63" spans="1:29" s="116" customFormat="1" ht="15.75" thickBot="1">
      <c r="A63" s="517"/>
      <c r="B63" s="506"/>
      <c r="C63" s="507">
        <v>100</v>
      </c>
      <c r="D63" s="508"/>
      <c r="E63" s="508"/>
      <c r="F63" s="508"/>
      <c r="G63" s="508"/>
      <c r="H63" s="508"/>
      <c r="I63" s="508"/>
      <c r="J63" s="508"/>
      <c r="K63" s="508"/>
      <c r="L63" s="508"/>
      <c r="M63" s="510"/>
      <c r="N63" s="1144"/>
      <c r="O63" s="1144"/>
      <c r="P63" s="2672"/>
      <c r="Q63" s="500"/>
    </row>
    <row r="64" spans="1:29">
      <c r="A64" s="523" t="s">
        <v>2575</v>
      </c>
      <c r="B64" s="524" t="s">
        <v>2541</v>
      </c>
      <c r="C64" s="525" t="str">
        <f>C9</f>
        <v>办公</v>
      </c>
      <c r="D64" s="526"/>
      <c r="E64" s="526"/>
      <c r="F64" s="526"/>
      <c r="G64" s="526"/>
      <c r="H64" s="526"/>
      <c r="I64" s="526"/>
      <c r="J64" s="526"/>
      <c r="K64" s="527"/>
      <c r="L64" s="528"/>
      <c r="M64" s="529"/>
      <c r="N64" s="1145"/>
      <c r="O64" s="1145"/>
      <c r="P64" s="2674"/>
      <c r="Q64" s="500"/>
    </row>
    <row r="65" spans="1:17" ht="15.75" thickBot="1">
      <c r="A65" s="530"/>
      <c r="B65" s="531"/>
      <c r="C65" s="532">
        <v>100</v>
      </c>
      <c r="D65" s="532"/>
      <c r="E65" s="532"/>
      <c r="F65" s="532"/>
      <c r="G65" s="532"/>
      <c r="H65" s="532"/>
      <c r="I65" s="532"/>
      <c r="J65" s="532"/>
      <c r="K65" s="532"/>
      <c r="L65" s="532"/>
      <c r="M65" s="533"/>
      <c r="N65" s="1146"/>
      <c r="O65" s="1146"/>
      <c r="P65" s="2674"/>
      <c r="Q65" s="500"/>
    </row>
    <row r="66" spans="1:17" ht="27.75" thickTop="1">
      <c r="A66" s="530"/>
      <c r="B66" s="534" t="s">
        <v>2544</v>
      </c>
      <c r="C66" s="535" t="s">
        <v>2576</v>
      </c>
      <c r="D66" s="535" t="s">
        <v>2577</v>
      </c>
      <c r="E66" s="535" t="s">
        <v>2578</v>
      </c>
      <c r="F66" s="535" t="s">
        <v>2579</v>
      </c>
      <c r="G66" s="535" t="s">
        <v>2580</v>
      </c>
      <c r="H66" s="535" t="s">
        <v>2581</v>
      </c>
      <c r="I66" s="535" t="s">
        <v>2582</v>
      </c>
      <c r="J66" s="535"/>
      <c r="K66" s="536"/>
      <c r="L66" s="537"/>
      <c r="M66" s="538"/>
      <c r="N66" s="1145"/>
      <c r="O66" s="1145"/>
      <c r="P66" s="2674"/>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46"/>
      <c r="O67" s="1146"/>
      <c r="P67" s="2674"/>
      <c r="Q67" s="500"/>
    </row>
    <row r="68" spans="1:17" ht="15.75" thickTop="1">
      <c r="A68" s="530"/>
      <c r="B68" s="542" t="s">
        <v>2545</v>
      </c>
      <c r="C68" s="543" t="str">
        <f>C69&amp;"（含）"&amp;"-"&amp;D69</f>
        <v>5（含）-10</v>
      </c>
      <c r="D68" s="543" t="str">
        <f t="shared" ref="D68:L68" si="17">D69&amp;"（含）"&amp;"-"&amp;E69</f>
        <v>10（含）-15</v>
      </c>
      <c r="E68" s="543" t="str">
        <f t="shared" si="17"/>
        <v>15（含）-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6"/>
      <c r="O68" s="1146"/>
      <c r="P68" s="2674"/>
      <c r="Q68" s="500"/>
    </row>
    <row r="69" spans="1:17" ht="15">
      <c r="A69" s="530"/>
      <c r="B69" s="544"/>
      <c r="C69" s="545">
        <v>5</v>
      </c>
      <c r="D69" s="545">
        <v>10</v>
      </c>
      <c r="E69" s="545">
        <v>15</v>
      </c>
      <c r="F69" s="545"/>
      <c r="G69" s="545"/>
      <c r="H69" s="545"/>
      <c r="I69" s="545"/>
      <c r="J69" s="545"/>
      <c r="K69" s="546"/>
      <c r="L69" s="547"/>
      <c r="M69" s="548"/>
      <c r="N69" s="1145"/>
      <c r="O69" s="1145"/>
      <c r="P69" s="2674"/>
      <c r="Q69" s="500"/>
    </row>
    <row r="70" spans="1:17" ht="15.75" thickBot="1">
      <c r="A70" s="530"/>
      <c r="B70" s="531"/>
      <c r="C70" s="540">
        <v>100</v>
      </c>
      <c r="D70" s="540">
        <f t="shared" ref="D70:M70" si="18">C70-$K11</f>
        <v>99</v>
      </c>
      <c r="E70" s="540">
        <f t="shared" si="18"/>
        <v>98</v>
      </c>
      <c r="F70" s="540">
        <f t="shared" si="18"/>
        <v>97</v>
      </c>
      <c r="G70" s="540">
        <f t="shared" si="18"/>
        <v>96</v>
      </c>
      <c r="H70" s="540">
        <f t="shared" si="18"/>
        <v>95</v>
      </c>
      <c r="I70" s="540">
        <f t="shared" si="18"/>
        <v>94</v>
      </c>
      <c r="J70" s="540">
        <f t="shared" si="18"/>
        <v>93</v>
      </c>
      <c r="K70" s="540">
        <f t="shared" si="18"/>
        <v>92</v>
      </c>
      <c r="L70" s="540">
        <f t="shared" si="18"/>
        <v>91</v>
      </c>
      <c r="M70" s="541">
        <f t="shared" si="18"/>
        <v>90</v>
      </c>
      <c r="N70" s="1146"/>
      <c r="O70" s="1146"/>
      <c r="P70" s="2674"/>
      <c r="Q70" s="500"/>
    </row>
    <row r="71" spans="1:17" s="467" customFormat="1" ht="15.75" thickTop="1">
      <c r="A71" s="549"/>
      <c r="B71" s="534">
        <f>B12</f>
        <v>0</v>
      </c>
      <c r="C71" s="550"/>
      <c r="D71" s="550"/>
      <c r="E71" s="550"/>
      <c r="F71" s="550"/>
      <c r="G71" s="550"/>
      <c r="H71" s="551"/>
      <c r="I71" s="551"/>
      <c r="J71" s="551"/>
      <c r="K71" s="551"/>
      <c r="L71" s="552"/>
      <c r="M71" s="553"/>
      <c r="N71" s="1147"/>
      <c r="O71" s="1147"/>
      <c r="P71" s="2675"/>
      <c r="Q71" s="555"/>
    </row>
    <row r="72" spans="1:17" s="467" customFormat="1" ht="15.75" thickBot="1">
      <c r="A72" s="549"/>
      <c r="B72" s="539"/>
      <c r="C72" s="556"/>
      <c r="D72" s="532"/>
      <c r="E72" s="532"/>
      <c r="F72" s="532"/>
      <c r="G72" s="532"/>
      <c r="H72" s="532"/>
      <c r="I72" s="532"/>
      <c r="J72" s="532"/>
      <c r="K72" s="532"/>
      <c r="L72" s="532"/>
      <c r="M72" s="533"/>
      <c r="N72" s="1146"/>
      <c r="O72" s="1146"/>
      <c r="P72" s="2675"/>
      <c r="Q72" s="555"/>
    </row>
    <row r="73" spans="1:17" s="467" customFormat="1" ht="15.75" thickTop="1">
      <c r="A73" s="549"/>
      <c r="B73" s="534">
        <f>B13</f>
        <v>0</v>
      </c>
      <c r="C73" s="550"/>
      <c r="D73" s="550"/>
      <c r="E73" s="550"/>
      <c r="F73" s="550"/>
      <c r="G73" s="550"/>
      <c r="H73" s="551"/>
      <c r="I73" s="551"/>
      <c r="J73" s="551"/>
      <c r="K73" s="551"/>
      <c r="L73" s="552"/>
      <c r="M73" s="553"/>
      <c r="N73" s="1147"/>
      <c r="O73" s="1147"/>
      <c r="P73" s="2676"/>
      <c r="Q73" s="557"/>
    </row>
    <row r="74" spans="1:17" s="467" customFormat="1" ht="15.75" thickBot="1">
      <c r="A74" s="549"/>
      <c r="B74" s="539"/>
      <c r="C74" s="556"/>
      <c r="D74" s="556"/>
      <c r="E74" s="556"/>
      <c r="F74" s="556"/>
      <c r="G74" s="556"/>
      <c r="H74" s="558"/>
      <c r="I74" s="558"/>
      <c r="J74" s="558"/>
      <c r="K74" s="558"/>
      <c r="L74" s="558"/>
      <c r="M74" s="559"/>
      <c r="N74" s="1147"/>
      <c r="O74" s="1147"/>
      <c r="P74" s="2675"/>
      <c r="Q74" s="555"/>
    </row>
    <row r="75" spans="1:17" s="467" customFormat="1" ht="15.75" thickTop="1">
      <c r="A75" s="549"/>
      <c r="B75" s="542">
        <f>B14</f>
        <v>0</v>
      </c>
      <c r="C75" s="519"/>
      <c r="D75" s="519"/>
      <c r="E75" s="519"/>
      <c r="F75" s="519"/>
      <c r="G75" s="519"/>
      <c r="H75" s="560"/>
      <c r="I75" s="560"/>
      <c r="J75" s="560"/>
      <c r="K75" s="560"/>
      <c r="L75" s="561"/>
      <c r="M75" s="562"/>
      <c r="N75" s="1147"/>
      <c r="O75" s="1147"/>
      <c r="P75" s="2677"/>
      <c r="Q75" s="555"/>
    </row>
    <row r="76" spans="1:17" s="467" customFormat="1" ht="15.75" thickBot="1">
      <c r="A76" s="564"/>
      <c r="B76" s="565"/>
      <c r="C76" s="566"/>
      <c r="D76" s="566"/>
      <c r="E76" s="566"/>
      <c r="F76" s="566"/>
      <c r="G76" s="566"/>
      <c r="H76" s="567"/>
      <c r="I76" s="567"/>
      <c r="J76" s="567"/>
      <c r="K76" s="567"/>
      <c r="L76" s="567"/>
      <c r="M76" s="568"/>
      <c r="N76" s="1147"/>
      <c r="O76" s="1147"/>
      <c r="P76" s="2675"/>
      <c r="Q76" s="555"/>
    </row>
    <row r="77" spans="1:17">
      <c r="A77" s="523" t="s">
        <v>2546</v>
      </c>
      <c r="B77" s="524" t="s">
        <v>2684</v>
      </c>
      <c r="C77" s="569" t="s">
        <v>2584</v>
      </c>
      <c r="D77" s="569" t="s">
        <v>2585</v>
      </c>
      <c r="E77" s="569" t="s">
        <v>2586</v>
      </c>
      <c r="F77" s="569" t="s">
        <v>2587</v>
      </c>
      <c r="G77" s="569" t="s">
        <v>2588</v>
      </c>
      <c r="H77" s="525"/>
      <c r="I77" s="525"/>
      <c r="J77" s="525"/>
      <c r="K77" s="570"/>
      <c r="L77" s="571"/>
      <c r="M77" s="572"/>
      <c r="N77" s="1145"/>
      <c r="O77" s="1145"/>
      <c r="P77" s="2678"/>
      <c r="Q77" s="500"/>
    </row>
    <row r="78" spans="1:17" ht="15.75" thickBot="1">
      <c r="A78" s="530"/>
      <c r="B78" s="539"/>
      <c r="C78" s="540">
        <v>100</v>
      </c>
      <c r="D78" s="540">
        <f>C78-$K15</f>
        <v>95</v>
      </c>
      <c r="E78" s="540">
        <f>D78-$K15</f>
        <v>90</v>
      </c>
      <c r="F78" s="540">
        <f>E78-$K15</f>
        <v>85</v>
      </c>
      <c r="G78" s="540">
        <f>F78-$K15</f>
        <v>80</v>
      </c>
      <c r="H78" s="540"/>
      <c r="I78" s="540"/>
      <c r="J78" s="540"/>
      <c r="K78" s="540"/>
      <c r="L78" s="540"/>
      <c r="M78" s="541"/>
      <c r="N78" s="1146"/>
      <c r="O78" s="1146"/>
      <c r="P78" s="2674"/>
      <c r="Q78" s="500"/>
    </row>
    <row r="79" spans="1:17" ht="15.75" thickTop="1">
      <c r="A79" s="530"/>
      <c r="B79" s="534" t="s">
        <v>2589</v>
      </c>
      <c r="C79" s="574" t="s">
        <v>2584</v>
      </c>
      <c r="D79" s="574" t="s">
        <v>2585</v>
      </c>
      <c r="E79" s="574" t="s">
        <v>2586</v>
      </c>
      <c r="F79" s="574" t="s">
        <v>2587</v>
      </c>
      <c r="G79" s="574" t="s">
        <v>2588</v>
      </c>
      <c r="H79" s="535"/>
      <c r="I79" s="535"/>
      <c r="J79" s="535"/>
      <c r="K79" s="536"/>
      <c r="L79" s="537"/>
      <c r="M79" s="538"/>
      <c r="N79" s="1145"/>
      <c r="O79" s="1145"/>
      <c r="P79" s="2674"/>
      <c r="Q79" s="500"/>
    </row>
    <row r="80" spans="1:17" ht="15.75" thickBot="1">
      <c r="A80" s="530"/>
      <c r="B80" s="539"/>
      <c r="C80" s="540">
        <v>100</v>
      </c>
      <c r="D80" s="540">
        <f>C80-$K17</f>
        <v>95</v>
      </c>
      <c r="E80" s="540">
        <f>D80-$K17</f>
        <v>90</v>
      </c>
      <c r="F80" s="540">
        <f>E80-$K17</f>
        <v>85</v>
      </c>
      <c r="G80" s="540">
        <f>F80-$K17</f>
        <v>80</v>
      </c>
      <c r="H80" s="540"/>
      <c r="I80" s="540"/>
      <c r="J80" s="540"/>
      <c r="K80" s="540"/>
      <c r="L80" s="540"/>
      <c r="M80" s="541"/>
      <c r="N80" s="1146"/>
      <c r="O80" s="1146"/>
      <c r="P80" s="2674"/>
      <c r="Q80" s="500"/>
    </row>
    <row r="81" spans="1:17" ht="15.75" thickTop="1">
      <c r="A81" s="530"/>
      <c r="B81" s="534" t="s">
        <v>2590</v>
      </c>
      <c r="C81" s="574" t="s">
        <v>2584</v>
      </c>
      <c r="D81" s="574" t="s">
        <v>2585</v>
      </c>
      <c r="E81" s="574" t="s">
        <v>2586</v>
      </c>
      <c r="F81" s="574" t="s">
        <v>2587</v>
      </c>
      <c r="G81" s="574" t="s">
        <v>2588</v>
      </c>
      <c r="H81" s="535"/>
      <c r="I81" s="535"/>
      <c r="J81" s="535"/>
      <c r="K81" s="536"/>
      <c r="L81" s="537"/>
      <c r="M81" s="538"/>
      <c r="N81" s="1145"/>
      <c r="O81" s="1145"/>
      <c r="P81" s="2674"/>
      <c r="Q81" s="500"/>
    </row>
    <row r="82" spans="1:17" ht="15.75" thickBot="1">
      <c r="A82" s="530"/>
      <c r="B82" s="539"/>
      <c r="C82" s="540">
        <v>100</v>
      </c>
      <c r="D82" s="540">
        <f>C82-$K19</f>
        <v>95</v>
      </c>
      <c r="E82" s="540">
        <f>D82-$K19</f>
        <v>90</v>
      </c>
      <c r="F82" s="540">
        <f>E82-$K19</f>
        <v>85</v>
      </c>
      <c r="G82" s="540">
        <f>F82-$K19</f>
        <v>80</v>
      </c>
      <c r="H82" s="540"/>
      <c r="I82" s="540"/>
      <c r="J82" s="540"/>
      <c r="K82" s="540"/>
      <c r="L82" s="540"/>
      <c r="M82" s="541"/>
      <c r="N82" s="1146"/>
      <c r="O82" s="1146"/>
      <c r="P82" s="2674"/>
      <c r="Q82" s="500"/>
    </row>
    <row r="83" spans="1:17" ht="15.75" thickTop="1">
      <c r="A83" s="530"/>
      <c r="B83" s="542" t="s">
        <v>2676</v>
      </c>
      <c r="C83" s="656" t="s">
        <v>2662</v>
      </c>
      <c r="D83" s="656" t="s">
        <v>2663</v>
      </c>
      <c r="E83" s="656" t="s">
        <v>2664</v>
      </c>
      <c r="F83" s="656" t="s">
        <v>2665</v>
      </c>
      <c r="G83" s="656" t="s">
        <v>2666</v>
      </c>
      <c r="H83" s="535"/>
      <c r="I83" s="535"/>
      <c r="J83" s="535"/>
      <c r="K83" s="535"/>
      <c r="L83" s="535"/>
      <c r="M83" s="1375"/>
      <c r="N83" s="1146"/>
      <c r="O83" s="1146"/>
      <c r="P83" s="2674"/>
      <c r="Q83" s="500"/>
    </row>
    <row r="84" spans="1:17" ht="15.75" thickBot="1">
      <c r="A84" s="530"/>
      <c r="B84" s="542"/>
      <c r="C84" s="540">
        <v>100</v>
      </c>
      <c r="D84" s="540">
        <f>C84-$K21</f>
        <v>98</v>
      </c>
      <c r="E84" s="540">
        <f>D84-$K21</f>
        <v>96</v>
      </c>
      <c r="F84" s="540">
        <f>E84-$K21</f>
        <v>94</v>
      </c>
      <c r="G84" s="540">
        <f>F84-$K21</f>
        <v>92</v>
      </c>
      <c r="H84" s="656"/>
      <c r="I84" s="656"/>
      <c r="J84" s="656"/>
      <c r="K84" s="656"/>
      <c r="L84" s="656"/>
      <c r="M84" s="446"/>
      <c r="N84" s="1146"/>
      <c r="O84" s="1146"/>
      <c r="P84" s="2674"/>
      <c r="Q84" s="500"/>
    </row>
    <row r="85" spans="1:17" ht="15.75" thickTop="1">
      <c r="A85" s="530"/>
      <c r="B85" s="534" t="s">
        <v>2685</v>
      </c>
      <c r="C85" s="574" t="s">
        <v>2584</v>
      </c>
      <c r="D85" s="574" t="s">
        <v>2585</v>
      </c>
      <c r="E85" s="574" t="s">
        <v>2586</v>
      </c>
      <c r="F85" s="574" t="s">
        <v>2587</v>
      </c>
      <c r="G85" s="574" t="s">
        <v>2588</v>
      </c>
      <c r="H85" s="535"/>
      <c r="I85" s="535"/>
      <c r="J85" s="535"/>
      <c r="K85" s="536"/>
      <c r="L85" s="537"/>
      <c r="M85" s="538"/>
      <c r="N85" s="1145"/>
      <c r="O85" s="1145"/>
      <c r="P85" s="2674"/>
      <c r="Q85" s="500"/>
    </row>
    <row r="86" spans="1:17" ht="15.75" thickBot="1">
      <c r="A86" s="530"/>
      <c r="B86" s="539"/>
      <c r="C86" s="540">
        <v>100</v>
      </c>
      <c r="D86" s="540">
        <f>C86-$K23</f>
        <v>95</v>
      </c>
      <c r="E86" s="540">
        <f>D86-$K23</f>
        <v>90</v>
      </c>
      <c r="F86" s="540">
        <f>E86-$K23</f>
        <v>85</v>
      </c>
      <c r="G86" s="540">
        <f>F86-$K23</f>
        <v>80</v>
      </c>
      <c r="H86" s="540"/>
      <c r="I86" s="540"/>
      <c r="J86" s="540"/>
      <c r="K86" s="540"/>
      <c r="L86" s="540"/>
      <c r="M86" s="541"/>
      <c r="N86" s="1146"/>
      <c r="O86" s="1146"/>
      <c r="P86" s="2674"/>
      <c r="Q86" s="500"/>
    </row>
    <row r="87" spans="1:17" s="116" customFormat="1" ht="27.75" thickTop="1">
      <c r="A87" s="575"/>
      <c r="B87" s="534" t="s">
        <v>2686</v>
      </c>
      <c r="C87" s="2966" t="s">
        <v>4218</v>
      </c>
      <c r="D87" s="2966" t="s">
        <v>4219</v>
      </c>
      <c r="E87" s="2966" t="s">
        <v>4220</v>
      </c>
      <c r="F87" s="2966" t="s">
        <v>4221</v>
      </c>
      <c r="G87" s="550"/>
      <c r="H87" s="550"/>
      <c r="I87" s="550"/>
      <c r="J87" s="550"/>
      <c r="K87" s="550"/>
      <c r="L87" s="576"/>
      <c r="M87" s="577"/>
      <c r="N87" s="1144"/>
      <c r="O87" s="1144"/>
      <c r="P87" s="2674"/>
      <c r="Q87" s="500"/>
    </row>
    <row r="88" spans="1:17" s="116" customFormat="1" ht="15.75" thickBot="1">
      <c r="A88" s="575"/>
      <c r="B88" s="539"/>
      <c r="C88" s="578">
        <v>100</v>
      </c>
      <c r="D88" s="540">
        <f t="shared" ref="D88:M88" si="19">C88-$K25</f>
        <v>98</v>
      </c>
      <c r="E88" s="540">
        <f t="shared" si="19"/>
        <v>96</v>
      </c>
      <c r="F88" s="540">
        <f t="shared" si="19"/>
        <v>94</v>
      </c>
      <c r="G88" s="540">
        <f t="shared" si="19"/>
        <v>92</v>
      </c>
      <c r="H88" s="540">
        <f t="shared" si="19"/>
        <v>90</v>
      </c>
      <c r="I88" s="540">
        <f t="shared" si="19"/>
        <v>88</v>
      </c>
      <c r="J88" s="540">
        <f t="shared" si="19"/>
        <v>86</v>
      </c>
      <c r="K88" s="540">
        <f t="shared" si="19"/>
        <v>84</v>
      </c>
      <c r="L88" s="540">
        <f t="shared" si="19"/>
        <v>82</v>
      </c>
      <c r="M88" s="540">
        <f t="shared" si="19"/>
        <v>80</v>
      </c>
      <c r="N88" s="1146"/>
      <c r="O88" s="1146"/>
      <c r="P88" s="2674"/>
      <c r="Q88" s="500"/>
    </row>
    <row r="89" spans="1:17" s="116" customFormat="1" ht="15.75" thickTop="1">
      <c r="A89" s="575"/>
      <c r="B89" s="534" t="str">
        <f>B27</f>
        <v>楼层</v>
      </c>
      <c r="C89" s="550"/>
      <c r="D89" s="550"/>
      <c r="E89" s="550"/>
      <c r="F89" s="2625"/>
      <c r="G89" s="550"/>
      <c r="H89" s="550"/>
      <c r="I89" s="550"/>
      <c r="J89" s="550"/>
      <c r="K89" s="550"/>
      <c r="L89" s="550"/>
      <c r="M89" s="577"/>
      <c r="N89" s="1144"/>
      <c r="O89" s="1144"/>
      <c r="P89" s="2674"/>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6"/>
      <c r="O90" s="1146"/>
      <c r="P90" s="2674"/>
      <c r="Q90" s="500"/>
    </row>
    <row r="91" spans="1:17" s="467" customFormat="1" ht="15.75" thickTop="1">
      <c r="A91" s="549"/>
      <c r="B91" s="534" t="str">
        <f>B28</f>
        <v>朝向</v>
      </c>
      <c r="C91" s="550"/>
      <c r="D91" s="550"/>
      <c r="E91" s="550"/>
      <c r="F91" s="550"/>
      <c r="G91" s="550"/>
      <c r="H91" s="551"/>
      <c r="I91" s="551"/>
      <c r="J91" s="551"/>
      <c r="K91" s="551"/>
      <c r="L91" s="552"/>
      <c r="M91" s="553"/>
      <c r="N91" s="1147"/>
      <c r="O91" s="1147"/>
      <c r="P91" s="2675"/>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7"/>
      <c r="O92" s="1147"/>
      <c r="P92" s="2675"/>
      <c r="Q92" s="555"/>
    </row>
    <row r="93" spans="1:17" ht="15.75" thickTop="1">
      <c r="A93" s="530"/>
      <c r="B93" s="534">
        <f>B29</f>
        <v>0</v>
      </c>
      <c r="C93" s="550"/>
      <c r="D93" s="550"/>
      <c r="E93" s="550"/>
      <c r="F93" s="550"/>
      <c r="G93" s="550"/>
      <c r="H93" s="550"/>
      <c r="I93" s="550"/>
      <c r="J93" s="550"/>
      <c r="K93" s="550"/>
      <c r="L93" s="576"/>
      <c r="M93" s="577"/>
      <c r="N93" s="1145"/>
      <c r="O93" s="1145"/>
      <c r="P93" s="2674"/>
      <c r="Q93" s="500"/>
    </row>
    <row r="94" spans="1:17" ht="15.75" thickBot="1">
      <c r="A94" s="530"/>
      <c r="B94" s="539"/>
      <c r="C94" s="556"/>
      <c r="D94" s="532"/>
      <c r="E94" s="532"/>
      <c r="F94" s="532"/>
      <c r="G94" s="532"/>
      <c r="H94" s="532"/>
      <c r="I94" s="532"/>
      <c r="J94" s="532"/>
      <c r="K94" s="532"/>
      <c r="L94" s="532"/>
      <c r="M94" s="533"/>
      <c r="N94" s="1146"/>
      <c r="O94" s="1146"/>
      <c r="P94" s="2674"/>
      <c r="Q94" s="500"/>
    </row>
    <row r="95" spans="1:17" ht="15.75" thickTop="1">
      <c r="A95" s="530"/>
      <c r="B95" s="534">
        <f>B30</f>
        <v>0</v>
      </c>
      <c r="C95" s="550"/>
      <c r="D95" s="550"/>
      <c r="E95" s="550"/>
      <c r="F95" s="550"/>
      <c r="G95" s="579"/>
      <c r="H95" s="579"/>
      <c r="I95" s="579"/>
      <c r="J95" s="579"/>
      <c r="K95" s="580"/>
      <c r="L95" s="581"/>
      <c r="M95" s="582"/>
      <c r="N95" s="1145"/>
      <c r="O95" s="1145"/>
      <c r="P95" s="2674"/>
      <c r="Q95" s="500"/>
    </row>
    <row r="96" spans="1:17" ht="15.75" thickBot="1">
      <c r="A96" s="530"/>
      <c r="B96" s="539"/>
      <c r="C96" s="556"/>
      <c r="D96" s="556"/>
      <c r="E96" s="556"/>
      <c r="F96" s="556"/>
      <c r="G96" s="532"/>
      <c r="H96" s="532"/>
      <c r="I96" s="532"/>
      <c r="J96" s="532"/>
      <c r="K96" s="532"/>
      <c r="L96" s="532"/>
      <c r="M96" s="533"/>
      <c r="N96" s="1146"/>
      <c r="O96" s="1146"/>
      <c r="P96" s="2674"/>
      <c r="Q96" s="500"/>
    </row>
    <row r="97" spans="1:17" ht="15.75" thickTop="1">
      <c r="A97" s="530"/>
      <c r="B97" s="534">
        <f>B31</f>
        <v>0</v>
      </c>
      <c r="C97" s="550"/>
      <c r="D97" s="550"/>
      <c r="E97" s="550"/>
      <c r="F97" s="550"/>
      <c r="G97" s="579"/>
      <c r="H97" s="579"/>
      <c r="I97" s="579"/>
      <c r="J97" s="579"/>
      <c r="K97" s="580"/>
      <c r="L97" s="581"/>
      <c r="M97" s="582"/>
      <c r="N97" s="1145"/>
      <c r="O97" s="1145"/>
      <c r="P97" s="2674"/>
      <c r="Q97" s="500"/>
    </row>
    <row r="98" spans="1:17" ht="15.75" thickBot="1">
      <c r="A98" s="530"/>
      <c r="B98" s="539"/>
      <c r="C98" s="556"/>
      <c r="D98" s="532"/>
      <c r="E98" s="532"/>
      <c r="F98" s="532"/>
      <c r="G98" s="532"/>
      <c r="H98" s="532"/>
      <c r="I98" s="532"/>
      <c r="J98" s="532"/>
      <c r="K98" s="532"/>
      <c r="L98" s="532"/>
      <c r="M98" s="533"/>
      <c r="N98" s="1146"/>
      <c r="O98" s="1146"/>
      <c r="P98" s="2674"/>
      <c r="Q98" s="500"/>
    </row>
    <row r="99" spans="1:17" ht="15.75" thickTop="1">
      <c r="A99" s="530"/>
      <c r="B99" s="542">
        <f>B32</f>
        <v>0</v>
      </c>
      <c r="C99" s="519"/>
      <c r="D99" s="519"/>
      <c r="E99" s="519"/>
      <c r="F99" s="519"/>
      <c r="G99" s="583"/>
      <c r="H99" s="583"/>
      <c r="I99" s="583"/>
      <c r="J99" s="583"/>
      <c r="K99" s="584"/>
      <c r="L99" s="585"/>
      <c r="M99" s="586"/>
      <c r="N99" s="1145"/>
      <c r="O99" s="1145"/>
      <c r="P99" s="2674"/>
      <c r="Q99" s="500"/>
    </row>
    <row r="100" spans="1:17" ht="15.75" thickBot="1">
      <c r="A100" s="2626"/>
      <c r="B100" s="565"/>
      <c r="C100" s="566"/>
      <c r="D100" s="566"/>
      <c r="E100" s="566"/>
      <c r="F100" s="566"/>
      <c r="G100" s="587"/>
      <c r="H100" s="587"/>
      <c r="I100" s="587"/>
      <c r="J100" s="587"/>
      <c r="K100" s="587"/>
      <c r="L100" s="587"/>
      <c r="M100" s="588"/>
      <c r="N100" s="1146"/>
      <c r="O100" s="1146"/>
      <c r="P100" s="2674"/>
      <c r="Q100" s="500"/>
    </row>
    <row r="101" spans="1:17">
      <c r="A101" s="523" t="s">
        <v>2550</v>
      </c>
      <c r="B101" s="524" t="s">
        <v>2599</v>
      </c>
      <c r="C101" s="526"/>
      <c r="D101" s="526"/>
      <c r="E101" s="526"/>
      <c r="F101" s="526"/>
      <c r="G101" s="526"/>
      <c r="H101" s="526"/>
      <c r="I101" s="526"/>
      <c r="J101" s="526"/>
      <c r="K101" s="527"/>
      <c r="L101" s="528"/>
      <c r="M101" s="529"/>
      <c r="N101" s="1145"/>
      <c r="O101" s="1145"/>
      <c r="P101" s="2674"/>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6"/>
      <c r="O102" s="1146"/>
      <c r="P102" s="2674"/>
      <c r="Q102" s="500"/>
    </row>
    <row r="103" spans="1:17" ht="15.75" thickTop="1">
      <c r="A103" s="530"/>
      <c r="B103" s="534" t="s">
        <v>2600</v>
      </c>
      <c r="C103" s="574" t="str">
        <f>C104&amp;"(含)"&amp;"-"&amp;D104</f>
        <v>0(含)-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4"/>
      <c r="O103" s="1144"/>
      <c r="P103" s="2674"/>
      <c r="Q103" s="500"/>
    </row>
    <row r="104" spans="1:17" s="467" customFormat="1">
      <c r="A104" s="589"/>
      <c r="B104" s="590"/>
      <c r="C104" s="591">
        <v>0</v>
      </c>
      <c r="D104" s="591"/>
      <c r="E104" s="591"/>
      <c r="F104" s="591"/>
      <c r="G104" s="591"/>
      <c r="H104" s="591"/>
      <c r="I104" s="591"/>
      <c r="J104" s="592"/>
      <c r="K104" s="592"/>
      <c r="L104" s="593"/>
      <c r="M104" s="594"/>
      <c r="N104" s="1147"/>
      <c r="O104" s="1147"/>
      <c r="P104" s="2675"/>
      <c r="Q104" s="555"/>
    </row>
    <row r="105" spans="1:17" s="467" customFormat="1" ht="15.75" thickBot="1">
      <c r="A105" s="549"/>
      <c r="B105" s="539"/>
      <c r="C105" s="556"/>
      <c r="D105" s="532"/>
      <c r="E105" s="532"/>
      <c r="F105" s="532"/>
      <c r="G105" s="532"/>
      <c r="H105" s="532"/>
      <c r="I105" s="532"/>
      <c r="J105" s="532"/>
      <c r="K105" s="532"/>
      <c r="L105" s="532"/>
      <c r="M105" s="533"/>
      <c r="N105" s="1146"/>
      <c r="O105" s="1146"/>
      <c r="P105" s="2675"/>
      <c r="Q105" s="555"/>
    </row>
    <row r="106" spans="1:17" ht="15" thickTop="1">
      <c r="A106" s="595"/>
      <c r="B106" s="534" t="s">
        <v>2601</v>
      </c>
      <c r="C106" s="2966" t="s">
        <v>4222</v>
      </c>
      <c r="D106" s="550"/>
      <c r="E106" s="579"/>
      <c r="F106" s="579"/>
      <c r="G106" s="579"/>
      <c r="H106" s="579"/>
      <c r="I106" s="579"/>
      <c r="J106" s="579"/>
      <c r="K106" s="580"/>
      <c r="L106" s="581"/>
      <c r="M106" s="582"/>
      <c r="N106" s="1145"/>
      <c r="O106" s="1145"/>
      <c r="P106" s="2674"/>
      <c r="Q106" s="500"/>
    </row>
    <row r="107" spans="1:17" ht="15.75" thickBot="1">
      <c r="A107" s="530"/>
      <c r="B107" s="539"/>
      <c r="C107" s="540">
        <v>100</v>
      </c>
      <c r="D107" s="540">
        <f t="shared" ref="D107:M107" si="24">C107-$K35</f>
        <v>98</v>
      </c>
      <c r="E107" s="540">
        <f t="shared" si="24"/>
        <v>96</v>
      </c>
      <c r="F107" s="540">
        <f t="shared" si="24"/>
        <v>94</v>
      </c>
      <c r="G107" s="540">
        <f t="shared" si="24"/>
        <v>92</v>
      </c>
      <c r="H107" s="540">
        <f t="shared" si="24"/>
        <v>90</v>
      </c>
      <c r="I107" s="540">
        <f t="shared" si="24"/>
        <v>88</v>
      </c>
      <c r="J107" s="540">
        <f t="shared" si="24"/>
        <v>86</v>
      </c>
      <c r="K107" s="540">
        <f t="shared" si="24"/>
        <v>84</v>
      </c>
      <c r="L107" s="540">
        <f t="shared" si="24"/>
        <v>82</v>
      </c>
      <c r="M107" s="541">
        <f t="shared" si="24"/>
        <v>80</v>
      </c>
      <c r="N107" s="1146"/>
      <c r="O107" s="1146"/>
      <c r="P107" s="2674"/>
      <c r="Q107" s="500"/>
    </row>
    <row r="108" spans="1:17" ht="15" thickTop="1">
      <c r="A108" s="595"/>
      <c r="B108" s="534" t="s">
        <v>2603</v>
      </c>
      <c r="C108" s="2966" t="s">
        <v>4224</v>
      </c>
      <c r="D108" s="550"/>
      <c r="E108" s="550"/>
      <c r="F108" s="579"/>
      <c r="G108" s="579"/>
      <c r="H108" s="579"/>
      <c r="I108" s="579"/>
      <c r="J108" s="579"/>
      <c r="K108" s="580"/>
      <c r="L108" s="581"/>
      <c r="M108" s="582"/>
      <c r="N108" s="1145"/>
      <c r="O108" s="1145"/>
      <c r="P108" s="2674"/>
      <c r="Q108" s="500"/>
    </row>
    <row r="109" spans="1:17" ht="15.75" thickBot="1">
      <c r="A109" s="530"/>
      <c r="B109" s="539"/>
      <c r="C109" s="540">
        <v>100</v>
      </c>
      <c r="D109" s="540">
        <f t="shared" ref="D109:M109" si="25">C109-$K36</f>
        <v>98</v>
      </c>
      <c r="E109" s="540">
        <f t="shared" si="25"/>
        <v>96</v>
      </c>
      <c r="F109" s="540">
        <f t="shared" si="25"/>
        <v>94</v>
      </c>
      <c r="G109" s="540">
        <f t="shared" si="25"/>
        <v>92</v>
      </c>
      <c r="H109" s="540">
        <f t="shared" si="25"/>
        <v>90</v>
      </c>
      <c r="I109" s="540">
        <f t="shared" si="25"/>
        <v>88</v>
      </c>
      <c r="J109" s="540">
        <f t="shared" si="25"/>
        <v>86</v>
      </c>
      <c r="K109" s="540">
        <f t="shared" si="25"/>
        <v>84</v>
      </c>
      <c r="L109" s="540">
        <f t="shared" si="25"/>
        <v>82</v>
      </c>
      <c r="M109" s="541">
        <f t="shared" si="25"/>
        <v>80</v>
      </c>
      <c r="N109" s="1146"/>
      <c r="O109" s="1146"/>
      <c r="P109" s="2674"/>
      <c r="Q109" s="500"/>
    </row>
    <row r="110" spans="1:17" ht="15" thickTop="1">
      <c r="A110" s="595"/>
      <c r="B110" s="534" t="s">
        <v>1995</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5"/>
      <c r="O110" s="1145"/>
      <c r="P110" s="2674"/>
      <c r="Q110" s="500"/>
    </row>
    <row r="111" spans="1:17">
      <c r="A111" s="595"/>
      <c r="B111" s="542"/>
      <c r="C111" s="599">
        <v>0.5</v>
      </c>
      <c r="D111" s="599">
        <v>0.6</v>
      </c>
      <c r="E111" s="599">
        <v>0.7</v>
      </c>
      <c r="F111" s="599">
        <v>0.8</v>
      </c>
      <c r="G111" s="599">
        <v>0.9</v>
      </c>
      <c r="H111" s="599">
        <v>1.0001</v>
      </c>
      <c r="I111" s="619"/>
      <c r="J111" s="619"/>
      <c r="K111" s="620"/>
      <c r="L111" s="621"/>
      <c r="M111" s="622"/>
      <c r="N111" s="1145"/>
      <c r="O111" s="1145"/>
      <c r="P111" s="2674"/>
      <c r="Q111" s="500"/>
    </row>
    <row r="112" spans="1:17" ht="15.75" thickBot="1">
      <c r="A112" s="530"/>
      <c r="B112" s="539"/>
      <c r="C112" s="578">
        <v>100</v>
      </c>
      <c r="D112" s="540">
        <f>C112+$K37</f>
        <v>102</v>
      </c>
      <c r="E112" s="540">
        <f t="shared" ref="E112:M112" si="26">D112+$K37</f>
        <v>104</v>
      </c>
      <c r="F112" s="540">
        <f t="shared" si="26"/>
        <v>106</v>
      </c>
      <c r="G112" s="540">
        <f t="shared" si="26"/>
        <v>108</v>
      </c>
      <c r="H112" s="540">
        <f t="shared" si="26"/>
        <v>110</v>
      </c>
      <c r="I112" s="540">
        <f t="shared" si="26"/>
        <v>112</v>
      </c>
      <c r="J112" s="540">
        <f t="shared" si="26"/>
        <v>114</v>
      </c>
      <c r="K112" s="540">
        <f t="shared" si="26"/>
        <v>116</v>
      </c>
      <c r="L112" s="540">
        <f t="shared" si="26"/>
        <v>118</v>
      </c>
      <c r="M112" s="540">
        <f t="shared" si="26"/>
        <v>120</v>
      </c>
      <c r="N112" s="1146"/>
      <c r="O112" s="1146"/>
      <c r="P112" s="2674"/>
      <c r="Q112" s="500"/>
    </row>
    <row r="113" spans="1:17" s="467" customFormat="1" ht="15" thickTop="1">
      <c r="A113" s="589"/>
      <c r="B113" s="534" t="s">
        <v>2687</v>
      </c>
      <c r="C113" s="2966" t="s">
        <v>4226</v>
      </c>
      <c r="D113" s="550"/>
      <c r="E113" s="550"/>
      <c r="F113" s="550"/>
      <c r="G113" s="550"/>
      <c r="H113" s="579"/>
      <c r="I113" s="579"/>
      <c r="J113" s="579"/>
      <c r="K113" s="580"/>
      <c r="L113" s="581"/>
      <c r="M113" s="582"/>
      <c r="N113" s="1147"/>
      <c r="O113" s="1147"/>
      <c r="P113" s="2675"/>
      <c r="Q113" s="555"/>
    </row>
    <row r="114" spans="1:17" s="467" customFormat="1" ht="15.75" thickBot="1">
      <c r="A114" s="549"/>
      <c r="B114" s="539"/>
      <c r="C114" s="540">
        <v>100</v>
      </c>
      <c r="D114" s="540">
        <f>C114-$K38</f>
        <v>98</v>
      </c>
      <c r="E114" s="540">
        <f t="shared" ref="E114:M114" si="27">D114-$K38</f>
        <v>96</v>
      </c>
      <c r="F114" s="540">
        <f t="shared" si="27"/>
        <v>94</v>
      </c>
      <c r="G114" s="540">
        <f t="shared" si="27"/>
        <v>92</v>
      </c>
      <c r="H114" s="540">
        <f t="shared" si="27"/>
        <v>90</v>
      </c>
      <c r="I114" s="540">
        <f t="shared" si="27"/>
        <v>88</v>
      </c>
      <c r="J114" s="540">
        <f t="shared" si="27"/>
        <v>86</v>
      </c>
      <c r="K114" s="540">
        <f t="shared" si="27"/>
        <v>84</v>
      </c>
      <c r="L114" s="540">
        <f t="shared" si="27"/>
        <v>82</v>
      </c>
      <c r="M114" s="540">
        <f t="shared" si="27"/>
        <v>80</v>
      </c>
      <c r="N114" s="1147"/>
      <c r="O114" s="1147"/>
      <c r="P114" s="2675"/>
      <c r="Q114" s="555"/>
    </row>
    <row r="115" spans="1:17" ht="15" thickTop="1">
      <c r="A115" s="595"/>
      <c r="B115" s="534" t="s">
        <v>2604</v>
      </c>
      <c r="C115" s="2966" t="s">
        <v>4228</v>
      </c>
      <c r="D115" s="550"/>
      <c r="E115" s="579"/>
      <c r="F115" s="579"/>
      <c r="G115" s="579"/>
      <c r="H115" s="579"/>
      <c r="I115" s="579"/>
      <c r="J115" s="579"/>
      <c r="K115" s="580"/>
      <c r="L115" s="581"/>
      <c r="M115" s="582"/>
      <c r="N115" s="1145"/>
      <c r="O115" s="1145"/>
      <c r="P115" s="2674"/>
      <c r="Q115" s="500"/>
    </row>
    <row r="116" spans="1:17" ht="15.75" thickBot="1">
      <c r="A116" s="530"/>
      <c r="B116" s="539"/>
      <c r="C116" s="540">
        <v>100</v>
      </c>
      <c r="D116" s="540">
        <f t="shared" ref="D116:M116" si="28">C116-$K39</f>
        <v>98</v>
      </c>
      <c r="E116" s="540">
        <f t="shared" si="28"/>
        <v>96</v>
      </c>
      <c r="F116" s="540">
        <f t="shared" si="28"/>
        <v>94</v>
      </c>
      <c r="G116" s="540">
        <f t="shared" si="28"/>
        <v>92</v>
      </c>
      <c r="H116" s="540">
        <f t="shared" si="28"/>
        <v>90</v>
      </c>
      <c r="I116" s="540">
        <f t="shared" si="28"/>
        <v>88</v>
      </c>
      <c r="J116" s="540">
        <f t="shared" si="28"/>
        <v>86</v>
      </c>
      <c r="K116" s="540">
        <f t="shared" si="28"/>
        <v>84</v>
      </c>
      <c r="L116" s="540">
        <f t="shared" si="28"/>
        <v>82</v>
      </c>
      <c r="M116" s="541">
        <f t="shared" si="28"/>
        <v>80</v>
      </c>
      <c r="N116" s="1146"/>
      <c r="O116" s="1146"/>
      <c r="P116" s="2674"/>
      <c r="Q116" s="500"/>
    </row>
    <row r="117" spans="1:17" ht="15" thickTop="1">
      <c r="A117" s="595"/>
      <c r="B117" s="534" t="s">
        <v>2605</v>
      </c>
      <c r="C117" s="2966" t="s">
        <v>4230</v>
      </c>
      <c r="D117" s="550"/>
      <c r="E117" s="550"/>
      <c r="F117" s="550"/>
      <c r="G117" s="550"/>
      <c r="H117" s="579"/>
      <c r="I117" s="579"/>
      <c r="J117" s="579"/>
      <c r="K117" s="580"/>
      <c r="L117" s="581"/>
      <c r="M117" s="582"/>
      <c r="N117" s="1145"/>
      <c r="O117" s="1145"/>
      <c r="P117" s="2674"/>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46"/>
      <c r="O118" s="1146"/>
      <c r="P118" s="2674"/>
      <c r="Q118" s="500"/>
    </row>
    <row r="119" spans="1:17" ht="15" thickTop="1">
      <c r="A119" s="595"/>
      <c r="B119" s="632" t="s">
        <v>2688</v>
      </c>
      <c r="C119" s="2965" t="s">
        <v>4232</v>
      </c>
      <c r="D119" s="579"/>
      <c r="E119" s="579"/>
      <c r="F119" s="579"/>
      <c r="G119" s="579"/>
      <c r="H119" s="579"/>
      <c r="I119" s="579"/>
      <c r="J119" s="579"/>
      <c r="K119" s="579"/>
      <c r="L119" s="2679"/>
      <c r="M119" s="2680"/>
      <c r="N119" s="1146"/>
      <c r="O119" s="1146"/>
      <c r="P119" s="2681"/>
      <c r="Q119" s="634"/>
    </row>
    <row r="120" spans="1:17" ht="15.75" thickBot="1">
      <c r="A120" s="530"/>
      <c r="B120" s="539"/>
      <c r="C120" s="578">
        <v>100</v>
      </c>
      <c r="D120" s="540">
        <f>C120-$K41</f>
        <v>98</v>
      </c>
      <c r="E120" s="540">
        <f t="shared" ref="E120:M120" si="29">D120-$K41</f>
        <v>96</v>
      </c>
      <c r="F120" s="540">
        <f t="shared" si="29"/>
        <v>94</v>
      </c>
      <c r="G120" s="540">
        <f t="shared" si="29"/>
        <v>92</v>
      </c>
      <c r="H120" s="540">
        <f t="shared" si="29"/>
        <v>90</v>
      </c>
      <c r="I120" s="540">
        <f t="shared" si="29"/>
        <v>88</v>
      </c>
      <c r="J120" s="540">
        <f t="shared" si="29"/>
        <v>86</v>
      </c>
      <c r="K120" s="540">
        <f t="shared" si="29"/>
        <v>84</v>
      </c>
      <c r="L120" s="540">
        <f t="shared" si="29"/>
        <v>82</v>
      </c>
      <c r="M120" s="540">
        <f t="shared" si="29"/>
        <v>80</v>
      </c>
      <c r="N120" s="1146"/>
      <c r="O120" s="1146"/>
      <c r="P120" s="2674"/>
      <c r="Q120" s="500"/>
    </row>
    <row r="121" spans="1:17" s="467" customFormat="1" ht="15" thickTop="1">
      <c r="A121" s="589"/>
      <c r="B121" s="534" t="s">
        <v>2671</v>
      </c>
      <c r="C121" s="550"/>
      <c r="D121" s="550"/>
      <c r="E121" s="550"/>
      <c r="F121" s="579"/>
      <c r="G121" s="551"/>
      <c r="H121" s="551"/>
      <c r="I121" s="551"/>
      <c r="J121" s="551"/>
      <c r="K121" s="551"/>
      <c r="L121" s="552"/>
      <c r="M121" s="553"/>
      <c r="N121" s="1147"/>
      <c r="O121" s="1147"/>
      <c r="P121" s="2675"/>
      <c r="Q121" s="555"/>
    </row>
    <row r="122" spans="1:17" s="467" customFormat="1" ht="15.75" thickBot="1">
      <c r="A122" s="549"/>
      <c r="B122" s="531"/>
      <c r="C122" s="556"/>
      <c r="D122" s="556"/>
      <c r="E122" s="556"/>
      <c r="F122" s="556"/>
      <c r="G122" s="556"/>
      <c r="H122" s="556"/>
      <c r="I122" s="556"/>
      <c r="J122" s="556"/>
      <c r="K122" s="556"/>
      <c r="L122" s="556"/>
      <c r="M122" s="556"/>
      <c r="N122" s="1147"/>
      <c r="O122" s="1147"/>
      <c r="P122" s="2675"/>
      <c r="Q122" s="555"/>
    </row>
    <row r="123" spans="1:17" ht="15" thickTop="1">
      <c r="A123" s="595"/>
      <c r="B123" s="534" t="s">
        <v>2607</v>
      </c>
      <c r="C123" s="2966" t="s">
        <v>4234</v>
      </c>
      <c r="D123" s="2966" t="s">
        <v>4236</v>
      </c>
      <c r="E123" s="550"/>
      <c r="F123" s="579"/>
      <c r="G123" s="579"/>
      <c r="H123" s="579"/>
      <c r="I123" s="579"/>
      <c r="J123" s="579"/>
      <c r="K123" s="580"/>
      <c r="L123" s="581"/>
      <c r="M123" s="582"/>
      <c r="N123" s="1145"/>
      <c r="O123" s="1145"/>
      <c r="P123" s="2674"/>
      <c r="Q123" s="500"/>
    </row>
    <row r="124" spans="1:17" ht="15.75" thickBot="1">
      <c r="A124" s="530"/>
      <c r="B124" s="539"/>
      <c r="C124" s="540">
        <v>100</v>
      </c>
      <c r="D124" s="540">
        <f t="shared" ref="D124:M124" si="30">C124-$K43</f>
        <v>97</v>
      </c>
      <c r="E124" s="540">
        <f t="shared" si="30"/>
        <v>94</v>
      </c>
      <c r="F124" s="540">
        <f t="shared" si="30"/>
        <v>91</v>
      </c>
      <c r="G124" s="540">
        <f t="shared" si="30"/>
        <v>88</v>
      </c>
      <c r="H124" s="540">
        <f t="shared" si="30"/>
        <v>85</v>
      </c>
      <c r="I124" s="540">
        <f t="shared" si="30"/>
        <v>82</v>
      </c>
      <c r="J124" s="540">
        <f t="shared" si="30"/>
        <v>79</v>
      </c>
      <c r="K124" s="540">
        <f t="shared" si="30"/>
        <v>76</v>
      </c>
      <c r="L124" s="540">
        <f t="shared" si="30"/>
        <v>73</v>
      </c>
      <c r="M124" s="541">
        <f t="shared" si="30"/>
        <v>70</v>
      </c>
      <c r="N124" s="1146"/>
      <c r="O124" s="1146"/>
      <c r="P124" s="2674"/>
      <c r="Q124" s="500"/>
    </row>
    <row r="125" spans="1:17" ht="15" thickTop="1">
      <c r="A125" s="595"/>
      <c r="B125" s="534" t="s">
        <v>2608</v>
      </c>
      <c r="C125" s="574" t="s">
        <v>2584</v>
      </c>
      <c r="D125" s="574" t="s">
        <v>2585</v>
      </c>
      <c r="E125" s="574" t="s">
        <v>2586</v>
      </c>
      <c r="F125" s="574" t="s">
        <v>2587</v>
      </c>
      <c r="G125" s="574" t="s">
        <v>2588</v>
      </c>
      <c r="H125" s="535"/>
      <c r="I125" s="535"/>
      <c r="J125" s="535"/>
      <c r="K125" s="536"/>
      <c r="L125" s="537"/>
      <c r="M125" s="538"/>
      <c r="N125" s="1145"/>
      <c r="O125" s="1145"/>
      <c r="P125" s="2675"/>
      <c r="Q125" s="500"/>
    </row>
    <row r="126" spans="1:17" ht="15.75" thickBot="1">
      <c r="A126" s="530"/>
      <c r="B126" s="539"/>
      <c r="C126" s="540">
        <v>100</v>
      </c>
      <c r="D126" s="540">
        <f>C126-$K44</f>
        <v>98</v>
      </c>
      <c r="E126" s="540">
        <f>D126-$K44</f>
        <v>96</v>
      </c>
      <c r="F126" s="540">
        <f>E126-$K44</f>
        <v>94</v>
      </c>
      <c r="G126" s="540">
        <f>F126-$K44</f>
        <v>92</v>
      </c>
      <c r="H126" s="540"/>
      <c r="I126" s="540"/>
      <c r="J126" s="540"/>
      <c r="K126" s="540"/>
      <c r="L126" s="540"/>
      <c r="M126" s="541"/>
      <c r="N126" s="1146"/>
      <c r="O126" s="1146"/>
      <c r="P126" s="2674"/>
      <c r="Q126" s="500"/>
    </row>
    <row r="127" spans="1:17" s="467" customFormat="1" ht="15" thickTop="1">
      <c r="A127" s="589"/>
      <c r="B127" s="534">
        <f>B45</f>
        <v>0</v>
      </c>
      <c r="C127" s="550"/>
      <c r="D127" s="550"/>
      <c r="E127" s="550"/>
      <c r="F127" s="550"/>
      <c r="G127" s="550"/>
      <c r="H127" s="551"/>
      <c r="I127" s="551"/>
      <c r="J127" s="551"/>
      <c r="K127" s="551"/>
      <c r="L127" s="552"/>
      <c r="M127" s="553"/>
      <c r="N127" s="1147"/>
      <c r="O127" s="1147"/>
      <c r="P127" s="2675"/>
      <c r="Q127" s="555"/>
    </row>
    <row r="128" spans="1:17" s="467" customFormat="1" ht="15.75" thickBot="1">
      <c r="A128" s="549"/>
      <c r="B128" s="539"/>
      <c r="C128" s="556"/>
      <c r="D128" s="532"/>
      <c r="E128" s="532"/>
      <c r="F128" s="532"/>
      <c r="G128" s="556"/>
      <c r="H128" s="558"/>
      <c r="I128" s="558"/>
      <c r="J128" s="558"/>
      <c r="K128" s="558"/>
      <c r="L128" s="558"/>
      <c r="M128" s="559"/>
      <c r="N128" s="1147"/>
      <c r="O128" s="1147"/>
      <c r="P128" s="2675"/>
      <c r="Q128" s="555"/>
    </row>
    <row r="129" spans="1:17" ht="15" thickTop="1">
      <c r="A129" s="595"/>
      <c r="B129" s="534">
        <f>B46</f>
        <v>0</v>
      </c>
      <c r="C129" s="550"/>
      <c r="D129" s="550"/>
      <c r="E129" s="550"/>
      <c r="F129" s="550"/>
      <c r="G129" s="579"/>
      <c r="H129" s="579"/>
      <c r="I129" s="579"/>
      <c r="J129" s="579"/>
      <c r="K129" s="580"/>
      <c r="L129" s="581"/>
      <c r="M129" s="582"/>
      <c r="N129" s="1145"/>
      <c r="O129" s="1145"/>
      <c r="P129" s="2674"/>
      <c r="Q129" s="500"/>
    </row>
    <row r="130" spans="1:17" ht="15.75" thickBot="1">
      <c r="A130" s="530"/>
      <c r="B130" s="539"/>
      <c r="C130" s="556"/>
      <c r="D130" s="556"/>
      <c r="E130" s="556"/>
      <c r="F130" s="556"/>
      <c r="G130" s="532"/>
      <c r="H130" s="532"/>
      <c r="I130" s="532"/>
      <c r="J130" s="532"/>
      <c r="K130" s="532"/>
      <c r="L130" s="532"/>
      <c r="M130" s="533"/>
      <c r="N130" s="1146"/>
      <c r="O130" s="1146"/>
      <c r="P130" s="2674"/>
      <c r="Q130" s="500"/>
    </row>
    <row r="131" spans="1:17" ht="15" thickTop="1">
      <c r="A131" s="595"/>
      <c r="B131" s="542">
        <f>B47</f>
        <v>0</v>
      </c>
      <c r="C131" s="519"/>
      <c r="D131" s="519"/>
      <c r="E131" s="519"/>
      <c r="F131" s="519"/>
      <c r="G131" s="583"/>
      <c r="H131" s="583"/>
      <c r="I131" s="583"/>
      <c r="J131" s="583"/>
      <c r="K131" s="519"/>
      <c r="L131" s="520"/>
      <c r="M131" s="586"/>
      <c r="N131" s="1145"/>
      <c r="O131" s="1145"/>
      <c r="P131" s="2674"/>
      <c r="Q131" s="500"/>
    </row>
    <row r="132" spans="1:17" ht="15.75" thickBot="1">
      <c r="A132" s="2626"/>
      <c r="B132" s="565"/>
      <c r="C132" s="566"/>
      <c r="D132" s="566"/>
      <c r="E132" s="566"/>
      <c r="F132" s="566"/>
      <c r="G132" s="587"/>
      <c r="H132" s="587"/>
      <c r="I132" s="587"/>
      <c r="J132" s="587"/>
      <c r="K132" s="587"/>
      <c r="L132" s="587"/>
      <c r="M132" s="588"/>
      <c r="N132" s="1146"/>
      <c r="O132" s="1146"/>
      <c r="P132" s="2674"/>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75" zoomScaleNormal="75" zoomScalePageLayoutView="75" workbookViewId="0">
      <selection activeCell="M24" sqref="A20:M24"/>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3045</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f>IF(C2="——",ROUND(C49*D3/10000,0),ROUND(C49*D3/10000,0)-D2)</f>
        <v>209467</v>
      </c>
      <c r="C2" s="2576" t="s">
        <v>70</v>
      </c>
      <c r="D2" s="1358" t="e">
        <f ca="1">SUMIF(INDIRECT("'"&amp;F2&amp;"'"&amp;"!A:A"),"承租人权益价值",INDIRECT("'"&amp;F2&amp;"'"&amp;"!c:c"))</f>
        <v>#REF!</v>
      </c>
      <c r="E2" s="2577" t="s">
        <v>2520</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f>IF(C2="——",C49,ROUND(B2*10000/D3,0))</f>
        <v>24789</v>
      </c>
      <c r="C3" s="396" t="s">
        <v>2521</v>
      </c>
      <c r="D3" s="395">
        <f>IF(D1="",'数据-汇总表'!E3,SUMIF('数据-汇总表'!$C19:$C33,D1,'数据-汇总表'!$E19:$E33))</f>
        <v>84500</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69" t="s">
        <v>2523</v>
      </c>
      <c r="D4" s="3370"/>
      <c r="E4" s="3371" t="s">
        <v>2524</v>
      </c>
      <c r="F4" s="3372"/>
      <c r="G4" s="3369" t="s">
        <v>2525</v>
      </c>
      <c r="H4" s="3370"/>
      <c r="I4" s="3369" t="s">
        <v>2526</v>
      </c>
      <c r="J4" s="3370"/>
      <c r="K4" s="2586" t="s">
        <v>2527</v>
      </c>
      <c r="L4" s="1123"/>
      <c r="M4" s="1124"/>
      <c r="N4" s="1124"/>
      <c r="O4" s="1124"/>
      <c r="P4" s="3373" t="s">
        <v>2528</v>
      </c>
      <c r="Q4" s="3374"/>
      <c r="R4" s="3356" t="s">
        <v>2524</v>
      </c>
      <c r="S4" s="3357"/>
      <c r="T4" s="3356" t="s">
        <v>2525</v>
      </c>
      <c r="U4" s="3357"/>
      <c r="V4" s="3381" t="s">
        <v>2526</v>
      </c>
      <c r="W4" s="3381"/>
      <c r="X4" s="1805"/>
      <c r="Y4" s="3356" t="s">
        <v>2528</v>
      </c>
      <c r="Z4" s="3357"/>
      <c r="AA4" s="3351" t="s">
        <v>2524</v>
      </c>
      <c r="AB4" s="3351" t="s">
        <v>2525</v>
      </c>
      <c r="AC4" s="3351" t="s">
        <v>2526</v>
      </c>
    </row>
    <row r="5" spans="1:29" ht="15">
      <c r="A5" s="400"/>
      <c r="B5" s="401"/>
      <c r="C5" s="3362" t="s">
        <v>2529</v>
      </c>
      <c r="D5" s="3363"/>
      <c r="E5" s="3411" t="s">
        <v>4487</v>
      </c>
      <c r="F5" s="3361"/>
      <c r="G5" s="3412" t="s">
        <v>4488</v>
      </c>
      <c r="H5" s="3363"/>
      <c r="I5" s="3427" t="s">
        <v>4489</v>
      </c>
      <c r="J5" s="3428"/>
      <c r="K5" s="2587"/>
      <c r="L5" s="1123"/>
      <c r="M5" s="1124"/>
      <c r="N5" s="1124"/>
      <c r="O5" s="1124"/>
      <c r="P5" s="3375"/>
      <c r="Q5" s="3376"/>
      <c r="R5" s="3358"/>
      <c r="S5" s="3359"/>
      <c r="T5" s="3358"/>
      <c r="U5" s="3359"/>
      <c r="V5" s="3381"/>
      <c r="W5" s="3381"/>
      <c r="X5" s="1805"/>
      <c r="Y5" s="3358"/>
      <c r="Z5" s="3359"/>
      <c r="AA5" s="3352"/>
      <c r="AB5" s="3352"/>
      <c r="AC5" s="3352"/>
    </row>
    <row r="6" spans="1:29" ht="15.75" thickBot="1">
      <c r="A6" s="402"/>
      <c r="B6" s="403"/>
      <c r="C6" s="3364" t="s">
        <v>2533</v>
      </c>
      <c r="D6" s="3365"/>
      <c r="E6" s="3413" t="s">
        <v>4490</v>
      </c>
      <c r="F6" s="3367"/>
      <c r="G6" s="3414" t="s">
        <v>4485</v>
      </c>
      <c r="H6" s="3365"/>
      <c r="I6" s="3414" t="s">
        <v>4486</v>
      </c>
      <c r="J6" s="3365"/>
      <c r="K6" s="2587" t="s">
        <v>2534</v>
      </c>
      <c r="L6" s="1123"/>
      <c r="M6" s="1124"/>
      <c r="N6" s="1124"/>
      <c r="O6" s="1124"/>
      <c r="P6" s="3377"/>
      <c r="Q6" s="3378"/>
      <c r="R6" s="3358"/>
      <c r="S6" s="3359"/>
      <c r="T6" s="3379"/>
      <c r="U6" s="3380"/>
      <c r="V6" s="3381"/>
      <c r="W6" s="3381"/>
      <c r="X6" s="1805"/>
      <c r="Y6" s="3379"/>
      <c r="Z6" s="3380"/>
      <c r="AA6" s="3353"/>
      <c r="AB6" s="3353"/>
      <c r="AC6" s="3353"/>
    </row>
    <row r="7" spans="1:29" s="116" customFormat="1" ht="15.75" thickBot="1">
      <c r="A7" s="404" t="s">
        <v>2535</v>
      </c>
      <c r="B7" s="405"/>
      <c r="C7" s="406">
        <f>'数据-取费表'!B2</f>
        <v>43332</v>
      </c>
      <c r="D7" s="407">
        <v>100</v>
      </c>
      <c r="E7" s="408">
        <v>43282</v>
      </c>
      <c r="F7" s="409">
        <f>SUMIF(58:58,YEAR(E7)&amp;"-"&amp;MONTH(E7),59:59)</f>
        <v>100</v>
      </c>
      <c r="G7" s="408">
        <f>E7</f>
        <v>43282</v>
      </c>
      <c r="H7" s="407">
        <f>SUMIF(58:58,YEAR(G7)&amp;"-"&amp;MONTH(G7),59:59)</f>
        <v>100</v>
      </c>
      <c r="I7" s="408">
        <f>G7</f>
        <v>43282</v>
      </c>
      <c r="J7" s="407">
        <f>SUMIF(58:58,YEAR(I7)&amp;"-"&amp;MONTH(I7),59:59)</f>
        <v>100</v>
      </c>
      <c r="K7" s="2588"/>
      <c r="L7" s="1125"/>
      <c r="M7" s="1126"/>
      <c r="N7" s="1126"/>
      <c r="O7" s="1126"/>
      <c r="P7" s="3354" t="s">
        <v>2536</v>
      </c>
      <c r="Q7" s="3382"/>
      <c r="R7" s="766" t="s">
        <v>23</v>
      </c>
      <c r="S7" s="767">
        <f t="shared" ref="S7:S15" si="0">F7</f>
        <v>100</v>
      </c>
      <c r="T7" s="766" t="s">
        <v>23</v>
      </c>
      <c r="U7" s="767">
        <f t="shared" ref="U7:U15" si="1">H7</f>
        <v>100</v>
      </c>
      <c r="V7" s="766" t="s">
        <v>23</v>
      </c>
      <c r="W7" s="767">
        <f t="shared" ref="W7:W15" si="2">J7</f>
        <v>100</v>
      </c>
      <c r="X7" s="768"/>
      <c r="Y7" s="3354" t="s">
        <v>2536</v>
      </c>
      <c r="Z7" s="3355"/>
      <c r="AA7" s="769">
        <f>D7/F7</f>
        <v>1</v>
      </c>
      <c r="AB7" s="769">
        <f>D7/H7</f>
        <v>1</v>
      </c>
      <c r="AC7" s="769">
        <f>D7/J7</f>
        <v>1</v>
      </c>
    </row>
    <row r="8" spans="1:29" s="116" customFormat="1" ht="15.75" thickBot="1">
      <c r="A8" s="404" t="s">
        <v>2537</v>
      </c>
      <c r="B8" s="405"/>
      <c r="C8" s="410" t="s">
        <v>2538</v>
      </c>
      <c r="D8" s="407">
        <v>100</v>
      </c>
      <c r="E8" s="2589" t="s">
        <v>3189</v>
      </c>
      <c r="F8" s="409">
        <f>SUMIF(61:61,E8,62:62)-SUMIF(61:61,C8,62:62)+100</f>
        <v>100</v>
      </c>
      <c r="G8" s="410" t="s">
        <v>3189</v>
      </c>
      <c r="H8" s="407">
        <f>SUMIF(61:61,G8,62:62)-SUMIF(61:61,C8,62:62)+100</f>
        <v>100</v>
      </c>
      <c r="I8" s="410" t="s">
        <v>3189</v>
      </c>
      <c r="J8" s="407">
        <f>SUMIF(61:61,I8,62:62)-SUMIF(61:61,C8,62:62)+100</f>
        <v>100</v>
      </c>
      <c r="K8" s="2588"/>
      <c r="L8" s="1125"/>
      <c r="M8" s="1126"/>
      <c r="N8" s="1126"/>
      <c r="O8" s="1126"/>
      <c r="P8" s="3354" t="s">
        <v>2539</v>
      </c>
      <c r="Q8" s="3355"/>
      <c r="R8" s="766" t="s">
        <v>23</v>
      </c>
      <c r="S8" s="767">
        <f t="shared" si="0"/>
        <v>100</v>
      </c>
      <c r="T8" s="766" t="s">
        <v>23</v>
      </c>
      <c r="U8" s="767">
        <f t="shared" si="1"/>
        <v>100</v>
      </c>
      <c r="V8" s="766" t="s">
        <v>23</v>
      </c>
      <c r="W8" s="767">
        <f t="shared" si="2"/>
        <v>100</v>
      </c>
      <c r="X8" s="768"/>
      <c r="Y8" s="3354" t="s">
        <v>2539</v>
      </c>
      <c r="Z8" s="3355"/>
      <c r="AA8" s="769">
        <f t="shared" ref="AA8:AA19" si="3">D8/F8</f>
        <v>1</v>
      </c>
      <c r="AB8" s="769">
        <f t="shared" ref="AB8:AB19" si="4">D8/H8</f>
        <v>1</v>
      </c>
      <c r="AC8" s="769">
        <f t="shared" ref="AC8:AC19" si="5">D8/J8</f>
        <v>1</v>
      </c>
    </row>
    <row r="9" spans="1:29" s="116" customFormat="1">
      <c r="A9" s="411" t="s">
        <v>2540</v>
      </c>
      <c r="B9" s="71" t="s">
        <v>2541</v>
      </c>
      <c r="C9" s="3004" t="s">
        <v>4243</v>
      </c>
      <c r="D9" s="132">
        <v>100</v>
      </c>
      <c r="E9" s="413" t="s">
        <v>3045</v>
      </c>
      <c r="F9" s="414">
        <f>SUMIF(63:63,E9,64:64)-SUMIF(63:63,C9,64:64)+100</f>
        <v>100</v>
      </c>
      <c r="G9" s="415" t="s">
        <v>3045</v>
      </c>
      <c r="H9" s="132">
        <f>SUMIF(63:63,G9,64:64)-SUMIF(63:63,C9,64:64)+100</f>
        <v>100</v>
      </c>
      <c r="I9" s="415" t="s">
        <v>3045</v>
      </c>
      <c r="J9" s="132">
        <f>SUMIF(63:63,I9,64:64)-SUMIF(63:63,C9,64:64)+100</f>
        <v>100</v>
      </c>
      <c r="K9" s="2588"/>
      <c r="L9" s="1125"/>
      <c r="M9" s="1126"/>
      <c r="N9" s="1126"/>
      <c r="O9" s="1126"/>
      <c r="P9" s="3392" t="s">
        <v>2542</v>
      </c>
      <c r="Q9" s="1787" t="str">
        <f t="shared" ref="Q9:Q15" si="6">B9</f>
        <v>用途</v>
      </c>
      <c r="R9" s="766" t="s">
        <v>17</v>
      </c>
      <c r="S9" s="767">
        <f t="shared" si="0"/>
        <v>100</v>
      </c>
      <c r="T9" s="766" t="s">
        <v>17</v>
      </c>
      <c r="U9" s="767">
        <f t="shared" si="1"/>
        <v>100</v>
      </c>
      <c r="V9" s="766" t="s">
        <v>17</v>
      </c>
      <c r="W9" s="767">
        <f t="shared" si="2"/>
        <v>100</v>
      </c>
      <c r="X9" s="768"/>
      <c r="Y9" s="3224" t="s">
        <v>2543</v>
      </c>
      <c r="Z9" s="55" t="str">
        <f t="shared" ref="Z9:Z15" si="7">Q9</f>
        <v>用途</v>
      </c>
      <c r="AA9" s="769">
        <f t="shared" si="3"/>
        <v>1</v>
      </c>
      <c r="AB9" s="769">
        <f t="shared" si="4"/>
        <v>1</v>
      </c>
      <c r="AC9" s="769">
        <f t="shared" si="5"/>
        <v>1</v>
      </c>
    </row>
    <row r="10" spans="1:29" s="423" customFormat="1" ht="27">
      <c r="A10" s="417"/>
      <c r="B10" s="418" t="s">
        <v>2544</v>
      </c>
      <c r="C10" s="419" t="s">
        <v>4217</v>
      </c>
      <c r="D10" s="133">
        <v>100</v>
      </c>
      <c r="E10" s="420" t="s">
        <v>4244</v>
      </c>
      <c r="F10" s="421">
        <f>SUMIF(65:65,E10,66:66)-SUMIF(65:65,C10,66:66)+100</f>
        <v>101</v>
      </c>
      <c r="G10" s="419" t="s">
        <v>4217</v>
      </c>
      <c r="H10" s="133">
        <f>SUMIF(65:65,G10,66:66)-SUMIF(65:65,C10,66:66)+100</f>
        <v>100</v>
      </c>
      <c r="I10" s="419" t="s">
        <v>4244</v>
      </c>
      <c r="J10" s="133">
        <f>SUMIF(65:65,I10,66:66)-SUMIF(65:65,C10,66:66)+100</f>
        <v>101</v>
      </c>
      <c r="K10" s="422">
        <v>1</v>
      </c>
      <c r="L10" s="1128"/>
      <c r="M10" s="1129"/>
      <c r="N10" s="1129"/>
      <c r="O10" s="1129"/>
      <c r="P10" s="3392"/>
      <c r="Q10" s="1787" t="str">
        <f t="shared" si="6"/>
        <v>土地使用年限（年）</v>
      </c>
      <c r="R10" s="766" t="s">
        <v>17</v>
      </c>
      <c r="S10" s="767">
        <f t="shared" si="0"/>
        <v>101</v>
      </c>
      <c r="T10" s="766" t="s">
        <v>17</v>
      </c>
      <c r="U10" s="767">
        <f t="shared" si="1"/>
        <v>100</v>
      </c>
      <c r="V10" s="766" t="s">
        <v>17</v>
      </c>
      <c r="W10" s="767">
        <f t="shared" si="2"/>
        <v>101</v>
      </c>
      <c r="X10" s="768"/>
      <c r="Y10" s="3224"/>
      <c r="Z10" s="55" t="str">
        <f t="shared" si="7"/>
        <v>土地使用年限（年）</v>
      </c>
      <c r="AA10" s="769">
        <f t="shared" si="3"/>
        <v>0.99009900990099009</v>
      </c>
      <c r="AB10" s="769">
        <f t="shared" si="4"/>
        <v>1</v>
      </c>
      <c r="AC10" s="769">
        <f t="shared" si="5"/>
        <v>0.99009900990099009</v>
      </c>
    </row>
    <row r="11" spans="1:29" ht="15">
      <c r="A11" s="424"/>
      <c r="B11" s="418" t="s">
        <v>2545</v>
      </c>
      <c r="C11" s="425">
        <f>'数据-汇总表'!I6</f>
        <v>8.73</v>
      </c>
      <c r="D11" s="133">
        <v>100</v>
      </c>
      <c r="E11" s="426">
        <v>12</v>
      </c>
      <c r="F11" s="421">
        <f>LOOKUP(E11,68:68,69:69)-LOOKUP(C11,68:68,69:69)+100</f>
        <v>99</v>
      </c>
      <c r="G11" s="425">
        <v>5.5</v>
      </c>
      <c r="H11" s="133">
        <f>LOOKUP(G11,68:68,69:69)-LOOKUP(C11,68:68,69:69)+100</f>
        <v>100</v>
      </c>
      <c r="I11" s="3017">
        <v>5.6</v>
      </c>
      <c r="J11" s="133">
        <f>LOOKUP(I11,68:68,69:69)-LOOKUP(C11,68:68,69:69)+100</f>
        <v>100</v>
      </c>
      <c r="K11" s="422">
        <v>1</v>
      </c>
      <c r="L11" s="1131"/>
      <c r="M11" s="1124"/>
      <c r="N11" s="1124"/>
      <c r="O11" s="1124"/>
      <c r="P11" s="3392"/>
      <c r="Q11" s="1787" t="str">
        <f t="shared" si="6"/>
        <v>容积率</v>
      </c>
      <c r="R11" s="766" t="s">
        <v>21</v>
      </c>
      <c r="S11" s="767">
        <f t="shared" si="0"/>
        <v>99</v>
      </c>
      <c r="T11" s="766" t="s">
        <v>21</v>
      </c>
      <c r="U11" s="767">
        <f t="shared" si="1"/>
        <v>100</v>
      </c>
      <c r="V11" s="766" t="s">
        <v>21</v>
      </c>
      <c r="W11" s="767">
        <f t="shared" si="2"/>
        <v>100</v>
      </c>
      <c r="X11" s="768"/>
      <c r="Y11" s="3224"/>
      <c r="Z11" s="55" t="str">
        <f t="shared" si="7"/>
        <v>容积率</v>
      </c>
      <c r="AA11" s="769">
        <f t="shared" si="3"/>
        <v>1.0101010101010102</v>
      </c>
      <c r="AB11" s="769">
        <f t="shared" si="4"/>
        <v>1</v>
      </c>
      <c r="AC11" s="769">
        <f t="shared" si="5"/>
        <v>1</v>
      </c>
    </row>
    <row r="12" spans="1:29" s="116" customFormat="1" ht="15">
      <c r="A12" s="427"/>
      <c r="B12" s="2590" t="s">
        <v>4484</v>
      </c>
      <c r="C12" s="428"/>
      <c r="D12" s="429">
        <v>100</v>
      </c>
      <c r="E12" s="428">
        <v>2016</v>
      </c>
      <c r="F12" s="421">
        <f>SUMIF(70:70,E12,71:71)-SUMIF(70:70,C12,71:71)+100</f>
        <v>100</v>
      </c>
      <c r="G12" s="428">
        <v>2010</v>
      </c>
      <c r="H12" s="133">
        <f>SUMIF(70:70,G12,71:71)-SUMIF(70:70,C12,71:71)+100</f>
        <v>100</v>
      </c>
      <c r="I12" s="428">
        <v>2015</v>
      </c>
      <c r="J12" s="133">
        <f>SUMIF(70:70,I12,71:71)-SUMIF(70:70,C12,71:71)+100</f>
        <v>100</v>
      </c>
      <c r="K12" s="2591"/>
      <c r="L12" s="1125"/>
      <c r="M12" s="1126"/>
      <c r="N12" s="1126"/>
      <c r="O12" s="1126"/>
      <c r="P12" s="3392"/>
      <c r="Q12" s="1787" t="str">
        <f t="shared" si="6"/>
        <v xml:space="preserve"> 建成</v>
      </c>
      <c r="R12" s="766" t="s">
        <v>21</v>
      </c>
      <c r="S12" s="767">
        <f t="shared" si="0"/>
        <v>100</v>
      </c>
      <c r="T12" s="766" t="s">
        <v>21</v>
      </c>
      <c r="U12" s="767">
        <f t="shared" si="1"/>
        <v>100</v>
      </c>
      <c r="V12" s="766" t="s">
        <v>21</v>
      </c>
      <c r="W12" s="767">
        <f t="shared" si="2"/>
        <v>100</v>
      </c>
      <c r="X12" s="768"/>
      <c r="Y12" s="3224"/>
      <c r="Z12" s="55" t="str">
        <f t="shared" si="7"/>
        <v xml:space="preserve"> 建成</v>
      </c>
      <c r="AA12" s="769">
        <f>D12/F12</f>
        <v>1</v>
      </c>
      <c r="AB12" s="769">
        <f>D12/H12</f>
        <v>1</v>
      </c>
      <c r="AC12" s="769">
        <f>D12/J12</f>
        <v>1</v>
      </c>
    </row>
    <row r="13" spans="1:29" ht="15.75" thickBot="1">
      <c r="A13" s="424"/>
      <c r="B13" s="2590"/>
      <c r="C13" s="430"/>
      <c r="D13" s="431">
        <v>100</v>
      </c>
      <c r="E13" s="430">
        <f>ROUND(1-(2018-E12)/60,2)</f>
        <v>0.97</v>
      </c>
      <c r="F13" s="421">
        <f>SUMIF(72:72,E13,73:73)-SUMIF(72:72,C13,73:73)+100</f>
        <v>100</v>
      </c>
      <c r="G13" s="430">
        <f>ROUND(1-(2018-G12)/60,2)</f>
        <v>0.87</v>
      </c>
      <c r="H13" s="431">
        <f>SUMIF(72:72,G13,73:73)-SUMIF(72:72,C13,73:73)+100</f>
        <v>100</v>
      </c>
      <c r="I13" s="430">
        <f>ROUND(1-(2018-I12)/60,2)</f>
        <v>0.95</v>
      </c>
      <c r="J13" s="431">
        <f>SUMIF(72:72,I13,73:73)-SUMIF(72:72,C13,73:73)+100</f>
        <v>100</v>
      </c>
      <c r="K13" s="2591"/>
      <c r="L13" s="1133"/>
      <c r="M13" s="1124"/>
      <c r="N13" s="1124"/>
      <c r="O13" s="1124"/>
      <c r="P13" s="3392"/>
      <c r="Q13" s="1787">
        <f t="shared" si="6"/>
        <v>0</v>
      </c>
      <c r="R13" s="766" t="s">
        <v>21</v>
      </c>
      <c r="S13" s="767">
        <f t="shared" si="0"/>
        <v>100</v>
      </c>
      <c r="T13" s="766" t="s">
        <v>21</v>
      </c>
      <c r="U13" s="767">
        <f t="shared" si="1"/>
        <v>100</v>
      </c>
      <c r="V13" s="766" t="s">
        <v>21</v>
      </c>
      <c r="W13" s="767">
        <f t="shared" si="2"/>
        <v>100</v>
      </c>
      <c r="X13" s="768"/>
      <c r="Y13" s="3224"/>
      <c r="Z13" s="55">
        <f t="shared" si="7"/>
        <v>0</v>
      </c>
      <c r="AA13" s="769">
        <f t="shared" si="3"/>
        <v>1</v>
      </c>
      <c r="AB13" s="769">
        <f t="shared" si="4"/>
        <v>1</v>
      </c>
      <c r="AC13" s="769">
        <f t="shared" si="5"/>
        <v>1</v>
      </c>
    </row>
    <row r="14" spans="1:29" ht="15.75" hidden="1"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92"/>
      <c r="Q14" s="1787">
        <f t="shared" si="6"/>
        <v>0</v>
      </c>
      <c r="R14" s="766" t="s">
        <v>21</v>
      </c>
      <c r="S14" s="767">
        <f t="shared" si="0"/>
        <v>100</v>
      </c>
      <c r="T14" s="766" t="s">
        <v>21</v>
      </c>
      <c r="U14" s="767">
        <f t="shared" si="1"/>
        <v>100</v>
      </c>
      <c r="V14" s="766" t="s">
        <v>21</v>
      </c>
      <c r="W14" s="767">
        <f t="shared" si="2"/>
        <v>100</v>
      </c>
      <c r="X14" s="768"/>
      <c r="Y14" s="3224"/>
      <c r="Z14" s="55">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40"/>
      <c r="H15" s="437">
        <f>SUMIF(76:76,G16,77:77)-SUMIF(76:76,C16,77:77)+100</f>
        <v>100</v>
      </c>
      <c r="I15" s="438"/>
      <c r="J15" s="437">
        <f>SUMIF(76:76,I16,77:77)-SUMIF(76:76,C16,77:77)+100</f>
        <v>100</v>
      </c>
      <c r="K15" s="441">
        <v>5</v>
      </c>
      <c r="L15" s="1133"/>
      <c r="M15" s="1124"/>
      <c r="N15" s="1124"/>
      <c r="O15" s="1124"/>
      <c r="P15" s="3400" t="s">
        <v>2547</v>
      </c>
      <c r="Q15" s="1802" t="str">
        <f t="shared" si="6"/>
        <v>居住社区成熟度</v>
      </c>
      <c r="R15" s="770" t="s">
        <v>21</v>
      </c>
      <c r="S15" s="771">
        <f t="shared" si="0"/>
        <v>100</v>
      </c>
      <c r="T15" s="770" t="s">
        <v>21</v>
      </c>
      <c r="U15" s="771">
        <f t="shared" si="1"/>
        <v>100</v>
      </c>
      <c r="V15" s="770" t="s">
        <v>21</v>
      </c>
      <c r="W15" s="771">
        <f t="shared" si="2"/>
        <v>100</v>
      </c>
      <c r="X15" s="1805"/>
      <c r="Y15" s="3383" t="s">
        <v>2547</v>
      </c>
      <c r="Z15" s="1806" t="str">
        <f t="shared" si="7"/>
        <v>居住社区成熟度</v>
      </c>
      <c r="AA15" s="1803">
        <f t="shared" si="3"/>
        <v>1</v>
      </c>
      <c r="AB15" s="1803">
        <f t="shared" si="4"/>
        <v>1</v>
      </c>
      <c r="AC15" s="1803">
        <f t="shared" si="5"/>
        <v>1</v>
      </c>
    </row>
    <row r="16" spans="1:29" ht="15">
      <c r="A16" s="424"/>
      <c r="B16" s="442"/>
      <c r="C16" s="443" t="s">
        <v>3191</v>
      </c>
      <c r="D16" s="444"/>
      <c r="E16" s="2594" t="s">
        <v>3191</v>
      </c>
      <c r="F16" s="444"/>
      <c r="G16" s="2594" t="s">
        <v>3191</v>
      </c>
      <c r="H16" s="446"/>
      <c r="I16" s="2595" t="s">
        <v>3191</v>
      </c>
      <c r="J16" s="444"/>
      <c r="K16" s="2596"/>
      <c r="L16" s="1133"/>
      <c r="M16" s="1124"/>
      <c r="N16" s="1124"/>
      <c r="O16" s="1124"/>
      <c r="P16" s="3401"/>
      <c r="Q16" s="1802"/>
      <c r="R16" s="770"/>
      <c r="S16" s="771"/>
      <c r="T16" s="770"/>
      <c r="U16" s="771"/>
      <c r="V16" s="770"/>
      <c r="W16" s="771"/>
      <c r="X16" s="1805"/>
      <c r="Y16" s="3384"/>
      <c r="Z16" s="1806"/>
      <c r="AA16" s="1803">
        <v>1</v>
      </c>
      <c r="AB16" s="1803">
        <v>1</v>
      </c>
      <c r="AC16" s="1803">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95</v>
      </c>
      <c r="G17" s="450"/>
      <c r="H17" s="451">
        <f>SUMIF(78:78,G18,79:79)-SUMIF(78:78,C18,79:79)+100</f>
        <v>95</v>
      </c>
      <c r="I17" s="448"/>
      <c r="J17" s="451">
        <f>SUMIF(78:78,I18,79:79)-SUMIF(78:78,C18,79:79)+100</f>
        <v>95</v>
      </c>
      <c r="K17" s="441">
        <v>5</v>
      </c>
      <c r="L17" s="1133"/>
      <c r="M17" s="1124"/>
      <c r="N17" s="1124"/>
      <c r="O17" s="1124"/>
      <c r="P17" s="3401"/>
      <c r="Q17" s="1802" t="str">
        <f>B17</f>
        <v>交通便捷度</v>
      </c>
      <c r="R17" s="770" t="s">
        <v>21</v>
      </c>
      <c r="S17" s="771">
        <f>F17</f>
        <v>95</v>
      </c>
      <c r="T17" s="770" t="s">
        <v>21</v>
      </c>
      <c r="U17" s="771">
        <f>H17</f>
        <v>95</v>
      </c>
      <c r="V17" s="770" t="s">
        <v>21</v>
      </c>
      <c r="W17" s="771">
        <f>J17</f>
        <v>95</v>
      </c>
      <c r="X17" s="1805"/>
      <c r="Y17" s="3384"/>
      <c r="Z17" s="1806" t="str">
        <f>Q17</f>
        <v>交通便捷度</v>
      </c>
      <c r="AA17" s="1803">
        <f t="shared" si="3"/>
        <v>1.0526315789473684</v>
      </c>
      <c r="AB17" s="1803">
        <f t="shared" si="4"/>
        <v>1.0526315789473684</v>
      </c>
      <c r="AC17" s="1803">
        <f t="shared" si="5"/>
        <v>1.0526315789473684</v>
      </c>
    </row>
    <row r="18" spans="1:29" ht="15">
      <c r="A18" s="424"/>
      <c r="B18" s="452"/>
      <c r="C18" s="2666" t="s">
        <v>3191</v>
      </c>
      <c r="D18" s="446"/>
      <c r="E18" s="3015" t="s">
        <v>3174</v>
      </c>
      <c r="F18" s="446"/>
      <c r="G18" s="2599" t="s">
        <v>3174</v>
      </c>
      <c r="H18" s="444"/>
      <c r="I18" s="2600" t="s">
        <v>3174</v>
      </c>
      <c r="J18" s="444"/>
      <c r="K18" s="2596"/>
      <c r="L18" s="1133"/>
      <c r="M18" s="1124"/>
      <c r="N18" s="1124"/>
      <c r="O18" s="1124"/>
      <c r="P18" s="3401"/>
      <c r="Q18" s="1802"/>
      <c r="R18" s="770"/>
      <c r="S18" s="771"/>
      <c r="T18" s="770"/>
      <c r="U18" s="771"/>
      <c r="V18" s="770"/>
      <c r="W18" s="771"/>
      <c r="X18" s="1805"/>
      <c r="Y18" s="3384"/>
      <c r="Z18" s="1806"/>
      <c r="AA18" s="1803">
        <v>1</v>
      </c>
      <c r="AB18" s="1803">
        <v>1</v>
      </c>
      <c r="AC18" s="1803">
        <v>1</v>
      </c>
    </row>
    <row r="19" spans="1:29" ht="15">
      <c r="A19" s="424"/>
      <c r="B19" s="447" t="s">
        <v>2089</v>
      </c>
      <c r="C19" s="2597">
        <f>估价对象房地状况!C7</f>
        <v>0</v>
      </c>
      <c r="D19" s="451">
        <v>100</v>
      </c>
      <c r="E19" s="455"/>
      <c r="F19" s="451">
        <f>SUMIF(80:80,E20,81:81)-SUMIF(80:80,C20,81:81)+100</f>
        <v>100</v>
      </c>
      <c r="G19" s="455"/>
      <c r="H19" s="446">
        <f>SUMIF(80:80,G20,81:81)-SUMIF(80:80,C20,81:81)+100</f>
        <v>100</v>
      </c>
      <c r="I19" s="453"/>
      <c r="J19" s="446">
        <f>SUMIF(80:80,I20,81:81)-SUMIF(80:80,C20,81:81)+100</f>
        <v>100</v>
      </c>
      <c r="K19" s="441">
        <v>5</v>
      </c>
      <c r="L19" s="1133"/>
      <c r="M19" s="1124"/>
      <c r="N19" s="1124"/>
      <c r="O19" s="1124"/>
      <c r="P19" s="3401"/>
      <c r="Q19" s="1802" t="str">
        <f>B19</f>
        <v>公共配套设施</v>
      </c>
      <c r="R19" s="770" t="s">
        <v>21</v>
      </c>
      <c r="S19" s="771">
        <f>F19</f>
        <v>100</v>
      </c>
      <c r="T19" s="770" t="s">
        <v>21</v>
      </c>
      <c r="U19" s="771">
        <f>H19</f>
        <v>100</v>
      </c>
      <c r="V19" s="770" t="s">
        <v>21</v>
      </c>
      <c r="W19" s="771">
        <f>J19</f>
        <v>100</v>
      </c>
      <c r="X19" s="1805"/>
      <c r="Y19" s="3384"/>
      <c r="Z19" s="1806" t="str">
        <f>Q19</f>
        <v>公共配套设施</v>
      </c>
      <c r="AA19" s="1803">
        <f t="shared" si="3"/>
        <v>1</v>
      </c>
      <c r="AB19" s="1803">
        <f t="shared" si="4"/>
        <v>1</v>
      </c>
      <c r="AC19" s="1803">
        <f t="shared" si="5"/>
        <v>1</v>
      </c>
    </row>
    <row r="20" spans="1:29" ht="15">
      <c r="A20" s="424"/>
      <c r="B20" s="452"/>
      <c r="C20" s="443" t="s">
        <v>3174</v>
      </c>
      <c r="D20" s="444"/>
      <c r="E20" s="443" t="s">
        <v>3174</v>
      </c>
      <c r="F20" s="444"/>
      <c r="G20" s="443" t="s">
        <v>3174</v>
      </c>
      <c r="H20" s="444"/>
      <c r="I20" s="443" t="s">
        <v>3174</v>
      </c>
      <c r="J20" s="444"/>
      <c r="K20" s="2596"/>
      <c r="L20" s="1133"/>
      <c r="M20" s="1124"/>
      <c r="N20" s="1124"/>
      <c r="O20" s="1124"/>
      <c r="P20" s="3401"/>
      <c r="Q20" s="1802"/>
      <c r="R20" s="770"/>
      <c r="S20" s="771"/>
      <c r="T20" s="770"/>
      <c r="U20" s="771"/>
      <c r="V20" s="770"/>
      <c r="W20" s="771"/>
      <c r="X20" s="1805"/>
      <c r="Y20" s="3384"/>
      <c r="Z20" s="1806"/>
      <c r="AA20" s="1803">
        <v>1</v>
      </c>
      <c r="AB20" s="1803">
        <v>1</v>
      </c>
      <c r="AC20" s="1803">
        <v>1</v>
      </c>
    </row>
    <row r="21" spans="1:29" ht="15">
      <c r="A21" s="424"/>
      <c r="B21" s="1377" t="s">
        <v>2091</v>
      </c>
      <c r="C21" s="2597">
        <f>估价对象房地状况!C8</f>
        <v>0</v>
      </c>
      <c r="D21" s="446">
        <v>100</v>
      </c>
      <c r="E21" s="455"/>
      <c r="F21" s="451">
        <f>SUMIF(82:82,E22,83:83)-SUMIF(82:82,C22,83:83)+100</f>
        <v>100</v>
      </c>
      <c r="G21" s="455"/>
      <c r="H21" s="446">
        <f>SUMIF(82:82,G22,83:83)-SUMIF(82:82,C22,83:83)+100</f>
        <v>100</v>
      </c>
      <c r="I21" s="453"/>
      <c r="J21" s="446">
        <f>SUMIF(82:82,I22,83:83)-SUMIF(82:82,C22,83:83)+100</f>
        <v>100</v>
      </c>
      <c r="K21" s="441">
        <v>2</v>
      </c>
      <c r="L21" s="1133"/>
      <c r="M21" s="1124"/>
      <c r="N21" s="1124"/>
      <c r="O21" s="1124"/>
      <c r="P21" s="3401"/>
      <c r="Q21" s="1802" t="str">
        <f>B21</f>
        <v>基础设施水平</v>
      </c>
      <c r="R21" s="770" t="s">
        <v>17</v>
      </c>
      <c r="S21" s="771">
        <f>F21</f>
        <v>100</v>
      </c>
      <c r="T21" s="770" t="s">
        <v>17</v>
      </c>
      <c r="U21" s="771">
        <f>H21</f>
        <v>100</v>
      </c>
      <c r="V21" s="770" t="s">
        <v>17</v>
      </c>
      <c r="W21" s="771">
        <f>J21</f>
        <v>100</v>
      </c>
      <c r="X21" s="1805"/>
      <c r="Y21" s="3384"/>
      <c r="Z21" s="1806" t="str">
        <f>Q21</f>
        <v>基础设施水平</v>
      </c>
      <c r="AA21" s="1803">
        <f t="shared" ref="AA21" si="8">D21/F21</f>
        <v>1</v>
      </c>
      <c r="AB21" s="1803">
        <f t="shared" ref="AB21" si="9">D21/H21</f>
        <v>1</v>
      </c>
      <c r="AC21" s="1803">
        <f t="shared" ref="AC21" si="10">D21/J21</f>
        <v>1</v>
      </c>
    </row>
    <row r="22" spans="1:29" ht="15">
      <c r="A22" s="424"/>
      <c r="B22" s="1377"/>
      <c r="C22" s="2598" t="s">
        <v>3363</v>
      </c>
      <c r="D22" s="444"/>
      <c r="E22" s="2598" t="s">
        <v>3363</v>
      </c>
      <c r="F22" s="444"/>
      <c r="G22" s="2598" t="s">
        <v>3363</v>
      </c>
      <c r="H22" s="444"/>
      <c r="I22" s="443" t="s">
        <v>3363</v>
      </c>
      <c r="J22" s="444"/>
      <c r="K22" s="2602"/>
      <c r="L22" s="1133"/>
      <c r="M22" s="1124"/>
      <c r="N22" s="1124"/>
      <c r="O22" s="1124"/>
      <c r="P22" s="3401"/>
      <c r="Q22" s="1802"/>
      <c r="R22" s="770"/>
      <c r="S22" s="771"/>
      <c r="T22" s="770"/>
      <c r="U22" s="771"/>
      <c r="V22" s="770"/>
      <c r="W22" s="771"/>
      <c r="X22" s="1805"/>
      <c r="Y22" s="3384"/>
      <c r="Z22" s="1806"/>
      <c r="AA22" s="1803">
        <v>1</v>
      </c>
      <c r="AB22" s="1803">
        <v>1</v>
      </c>
      <c r="AC22" s="1803">
        <v>1</v>
      </c>
    </row>
    <row r="23" spans="1:29" ht="15">
      <c r="A23" s="424"/>
      <c r="B23" s="447" t="s">
        <v>2093</v>
      </c>
      <c r="C23" s="2597">
        <f>估价对象房地状况!C9</f>
        <v>0</v>
      </c>
      <c r="D23" s="446">
        <v>100</v>
      </c>
      <c r="E23" s="2987"/>
      <c r="F23" s="446">
        <f>SUMIF(84:84,E24,85:85)-SUMIF(84:84,C24,85:85)+100</f>
        <v>100</v>
      </c>
      <c r="G23" s="450"/>
      <c r="H23" s="446">
        <f>SUMIF(84:84,G24,85:85)-SUMIF(84:84,C24,85:85)+100</f>
        <v>100</v>
      </c>
      <c r="I23" s="448"/>
      <c r="J23" s="446">
        <f>SUMIF(84:84,I24,85:85)-SUMIF(84:84,C24,85:85)+100</f>
        <v>100</v>
      </c>
      <c r="K23" s="3014">
        <v>5</v>
      </c>
      <c r="L23" s="1133"/>
      <c r="M23" s="1124"/>
      <c r="N23" s="1124"/>
      <c r="O23" s="1124"/>
      <c r="P23" s="3401"/>
      <c r="Q23" s="1802" t="str">
        <f>B23</f>
        <v>自然及人文环境</v>
      </c>
      <c r="R23" s="770" t="s">
        <v>21</v>
      </c>
      <c r="S23" s="771">
        <f>F23</f>
        <v>100</v>
      </c>
      <c r="T23" s="770" t="s">
        <v>21</v>
      </c>
      <c r="U23" s="771">
        <f>H23</f>
        <v>100</v>
      </c>
      <c r="V23" s="770" t="s">
        <v>21</v>
      </c>
      <c r="W23" s="771">
        <f>J23</f>
        <v>100</v>
      </c>
      <c r="X23" s="1805"/>
      <c r="Y23" s="3384"/>
      <c r="Z23" s="1806" t="str">
        <f>Q23</f>
        <v>自然及人文环境</v>
      </c>
      <c r="AA23" s="1803">
        <f>D23/F23</f>
        <v>1</v>
      </c>
      <c r="AB23" s="1803">
        <f>D23/H23</f>
        <v>1</v>
      </c>
      <c r="AC23" s="1803">
        <f>D23/J23</f>
        <v>1</v>
      </c>
    </row>
    <row r="24" spans="1:29" ht="15.75" thickBot="1">
      <c r="A24" s="424"/>
      <c r="B24" s="452"/>
      <c r="C24" s="443" t="s">
        <v>3174</v>
      </c>
      <c r="D24" s="444"/>
      <c r="E24" s="2594" t="s">
        <v>3174</v>
      </c>
      <c r="F24" s="444"/>
      <c r="G24" s="2594" t="s">
        <v>3174</v>
      </c>
      <c r="H24" s="444"/>
      <c r="I24" s="2595" t="s">
        <v>3174</v>
      </c>
      <c r="J24" s="444"/>
      <c r="K24" s="2596"/>
      <c r="L24" s="1133"/>
      <c r="M24" s="1124"/>
      <c r="N24" s="1124"/>
      <c r="O24" s="1124"/>
      <c r="P24" s="3401"/>
      <c r="Q24" s="1802"/>
      <c r="R24" s="770"/>
      <c r="S24" s="771"/>
      <c r="T24" s="770"/>
      <c r="U24" s="771"/>
      <c r="V24" s="770"/>
      <c r="W24" s="771"/>
      <c r="X24" s="1805"/>
      <c r="Y24" s="3384"/>
      <c r="Z24" s="1806"/>
      <c r="AA24" s="1803">
        <v>1</v>
      </c>
      <c r="AB24" s="1803">
        <v>1</v>
      </c>
      <c r="AC24" s="1803">
        <v>1</v>
      </c>
    </row>
    <row r="25" spans="1:29" ht="15" hidden="1">
      <c r="A25" s="424"/>
      <c r="B25" s="418" t="s">
        <v>2548</v>
      </c>
      <c r="C25" s="456"/>
      <c r="D25" s="431">
        <v>100</v>
      </c>
      <c r="E25" s="2603"/>
      <c r="F25" s="431">
        <f>SUMIF(86:86,E25,87:87)-SUMIF(86:86,C25,87:87)+100</f>
        <v>100</v>
      </c>
      <c r="G25" s="2603"/>
      <c r="H25" s="431">
        <f>SUMIF(86:86,G25,87:87)-SUMIF(86:86,C25,87:87)+100</f>
        <v>100</v>
      </c>
      <c r="I25" s="2604"/>
      <c r="J25" s="431">
        <f>SUMIF(86:86,I25,87:87)-SUMIF(86:86,C25,87:87)+100</f>
        <v>100</v>
      </c>
      <c r="K25" s="422"/>
      <c r="L25" s="1133"/>
      <c r="M25" s="1124"/>
      <c r="N25" s="1124"/>
      <c r="O25" s="1124"/>
      <c r="P25" s="3401"/>
      <c r="Q25" s="1802" t="str">
        <f t="shared" ref="Q25:Q46" si="11">B25</f>
        <v>楼层-1</v>
      </c>
      <c r="R25" s="770" t="s">
        <v>21</v>
      </c>
      <c r="S25" s="771">
        <f t="shared" ref="S25:S46" si="12">F25</f>
        <v>100</v>
      </c>
      <c r="T25" s="770" t="s">
        <v>21</v>
      </c>
      <c r="U25" s="771">
        <f t="shared" ref="U25:U46" si="13">H25</f>
        <v>100</v>
      </c>
      <c r="V25" s="770" t="s">
        <v>21</v>
      </c>
      <c r="W25" s="771">
        <f t="shared" ref="W25:W46" si="14">J25</f>
        <v>100</v>
      </c>
      <c r="X25" s="1805"/>
      <c r="Y25" s="3384"/>
      <c r="Z25" s="1806" t="str">
        <f>Q25</f>
        <v>楼层-1</v>
      </c>
      <c r="AA25" s="1803">
        <f t="shared" ref="AA25:AA46" si="15">D25/F25</f>
        <v>1</v>
      </c>
      <c r="AB25" s="1803">
        <f t="shared" ref="AB25:AB46" si="16">D25/H25</f>
        <v>1</v>
      </c>
      <c r="AC25" s="1803">
        <f t="shared" ref="AC25:AC46" si="17">D25/J25</f>
        <v>1</v>
      </c>
    </row>
    <row r="26" spans="1:29" ht="15" hidden="1">
      <c r="A26" s="424"/>
      <c r="B26" s="418" t="s">
        <v>2549</v>
      </c>
      <c r="C26" s="456"/>
      <c r="D26" s="431">
        <v>100</v>
      </c>
      <c r="E26" s="2603"/>
      <c r="F26" s="431">
        <f>SUMIF(88:88,E26,89:89)-SUMIF(88:88,C26,89:89)+100</f>
        <v>100</v>
      </c>
      <c r="G26" s="2603"/>
      <c r="H26" s="431">
        <f>SUMIF(88:88,G26,89:89)-SUMIF(88:88,C26,89:89)+100</f>
        <v>100</v>
      </c>
      <c r="I26" s="2604"/>
      <c r="J26" s="431">
        <f>SUMIF(88:88,I26,89:89)-SUMIF(88:88,C26,89:89)+100</f>
        <v>100</v>
      </c>
      <c r="K26" s="422"/>
      <c r="L26" s="1133"/>
      <c r="M26" s="1124"/>
      <c r="N26" s="1124"/>
      <c r="O26" s="1124"/>
      <c r="P26" s="3401"/>
      <c r="Q26" s="1802" t="str">
        <f t="shared" si="11"/>
        <v>朝向</v>
      </c>
      <c r="R26" s="770" t="s">
        <v>21</v>
      </c>
      <c r="S26" s="771">
        <f t="shared" si="12"/>
        <v>100</v>
      </c>
      <c r="T26" s="770" t="s">
        <v>21</v>
      </c>
      <c r="U26" s="771">
        <f t="shared" si="13"/>
        <v>100</v>
      </c>
      <c r="V26" s="770" t="s">
        <v>21</v>
      </c>
      <c r="W26" s="771">
        <f t="shared" si="14"/>
        <v>100</v>
      </c>
      <c r="X26" s="1805"/>
      <c r="Y26" s="3384"/>
      <c r="Z26" s="1806" t="str">
        <f>Q26</f>
        <v>朝向</v>
      </c>
      <c r="AA26" s="1803">
        <f t="shared" si="15"/>
        <v>1</v>
      </c>
      <c r="AB26" s="1803">
        <f t="shared" si="16"/>
        <v>1</v>
      </c>
      <c r="AC26" s="1803">
        <f t="shared" si="17"/>
        <v>1</v>
      </c>
    </row>
    <row r="27" spans="1:29" s="116" customFormat="1" ht="15" hidden="1">
      <c r="A27" s="427"/>
      <c r="B27" s="1379"/>
      <c r="C27" s="428"/>
      <c r="D27" s="458">
        <v>100</v>
      </c>
      <c r="E27" s="461"/>
      <c r="F27" s="458">
        <f>SUMIF(90:90,E27,91:91)-SUMIF(90:90,C27,91:91)+100</f>
        <v>100</v>
      </c>
      <c r="G27" s="461"/>
      <c r="H27" s="458">
        <f>SUMIF(90:90,G27,91:91)-SUMIF(90:90,C27,91:91)+100</f>
        <v>100</v>
      </c>
      <c r="I27" s="459"/>
      <c r="J27" s="458">
        <f>SUMIF(90:90,I27,91:91)-SUMIF(90:90,C27,91:91)+100</f>
        <v>100</v>
      </c>
      <c r="K27" s="2591"/>
      <c r="L27" s="1125"/>
      <c r="M27" s="1126"/>
      <c r="N27" s="1126"/>
      <c r="O27" s="1126"/>
      <c r="P27" s="3401"/>
      <c r="Q27" s="1787">
        <f t="shared" si="11"/>
        <v>0</v>
      </c>
      <c r="R27" s="766" t="s">
        <v>21</v>
      </c>
      <c r="S27" s="767">
        <f t="shared" si="12"/>
        <v>100</v>
      </c>
      <c r="T27" s="766" t="s">
        <v>21</v>
      </c>
      <c r="U27" s="767">
        <f t="shared" si="13"/>
        <v>100</v>
      </c>
      <c r="V27" s="766" t="s">
        <v>21</v>
      </c>
      <c r="W27" s="767">
        <f t="shared" si="14"/>
        <v>100</v>
      </c>
      <c r="X27" s="768"/>
      <c r="Y27" s="3384"/>
      <c r="Z27" s="55">
        <f>Q27</f>
        <v>0</v>
      </c>
      <c r="AA27" s="1803">
        <f t="shared" si="15"/>
        <v>1</v>
      </c>
      <c r="AB27" s="1803">
        <f t="shared" si="16"/>
        <v>1</v>
      </c>
      <c r="AC27" s="1803">
        <f t="shared" si="17"/>
        <v>1</v>
      </c>
    </row>
    <row r="28" spans="1:29" ht="15" hidden="1">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01"/>
      <c r="Q28" s="1802">
        <f t="shared" si="11"/>
        <v>0</v>
      </c>
      <c r="R28" s="770" t="s">
        <v>21</v>
      </c>
      <c r="S28" s="771">
        <f t="shared" si="12"/>
        <v>100</v>
      </c>
      <c r="T28" s="770" t="s">
        <v>21</v>
      </c>
      <c r="U28" s="771">
        <f t="shared" si="13"/>
        <v>100</v>
      </c>
      <c r="V28" s="770" t="s">
        <v>21</v>
      </c>
      <c r="W28" s="771">
        <f t="shared" si="14"/>
        <v>100</v>
      </c>
      <c r="X28" s="1805"/>
      <c r="Y28" s="3384"/>
      <c r="Z28" s="1806">
        <f t="shared" ref="Z28:Z46" si="18">Q28</f>
        <v>0</v>
      </c>
      <c r="AA28" s="1803">
        <f t="shared" si="15"/>
        <v>1</v>
      </c>
      <c r="AB28" s="1803">
        <f t="shared" si="16"/>
        <v>1</v>
      </c>
      <c r="AC28" s="1803">
        <f t="shared" si="17"/>
        <v>1</v>
      </c>
    </row>
    <row r="29" spans="1:29" ht="15" hidden="1">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01"/>
      <c r="Q29" s="1802">
        <f t="shared" si="11"/>
        <v>0</v>
      </c>
      <c r="R29" s="770" t="s">
        <v>21</v>
      </c>
      <c r="S29" s="771">
        <f t="shared" si="12"/>
        <v>100</v>
      </c>
      <c r="T29" s="770" t="s">
        <v>21</v>
      </c>
      <c r="U29" s="771">
        <f t="shared" si="13"/>
        <v>100</v>
      </c>
      <c r="V29" s="770" t="s">
        <v>21</v>
      </c>
      <c r="W29" s="771">
        <f t="shared" si="14"/>
        <v>100</v>
      </c>
      <c r="X29" s="1805"/>
      <c r="Y29" s="3384"/>
      <c r="Z29" s="1806">
        <f t="shared" si="18"/>
        <v>0</v>
      </c>
      <c r="AA29" s="1803">
        <f t="shared" si="15"/>
        <v>1</v>
      </c>
      <c r="AB29" s="1803">
        <f t="shared" si="16"/>
        <v>1</v>
      </c>
      <c r="AC29" s="1803">
        <f t="shared" si="17"/>
        <v>1</v>
      </c>
    </row>
    <row r="30" spans="1:29" ht="15" hidden="1">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01"/>
      <c r="Q30" s="1802">
        <f t="shared" si="11"/>
        <v>0</v>
      </c>
      <c r="R30" s="770" t="s">
        <v>21</v>
      </c>
      <c r="S30" s="771">
        <f t="shared" si="12"/>
        <v>100</v>
      </c>
      <c r="T30" s="770" t="s">
        <v>21</v>
      </c>
      <c r="U30" s="771">
        <f t="shared" si="13"/>
        <v>100</v>
      </c>
      <c r="V30" s="770" t="s">
        <v>21</v>
      </c>
      <c r="W30" s="771">
        <f t="shared" si="14"/>
        <v>100</v>
      </c>
      <c r="X30" s="1805"/>
      <c r="Y30" s="3384"/>
      <c r="Z30" s="1806">
        <f t="shared" si="18"/>
        <v>0</v>
      </c>
      <c r="AA30" s="1803">
        <f t="shared" si="15"/>
        <v>1</v>
      </c>
      <c r="AB30" s="1803">
        <f t="shared" si="16"/>
        <v>1</v>
      </c>
      <c r="AC30" s="1803">
        <f t="shared" si="17"/>
        <v>1</v>
      </c>
    </row>
    <row r="31" spans="1:29" ht="15.75" hidden="1"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01"/>
      <c r="Q31" s="1802">
        <f t="shared" si="11"/>
        <v>0</v>
      </c>
      <c r="R31" s="770" t="s">
        <v>21</v>
      </c>
      <c r="S31" s="771">
        <f t="shared" si="12"/>
        <v>100</v>
      </c>
      <c r="T31" s="770" t="s">
        <v>21</v>
      </c>
      <c r="U31" s="771">
        <f t="shared" si="13"/>
        <v>100</v>
      </c>
      <c r="V31" s="770" t="s">
        <v>21</v>
      </c>
      <c r="W31" s="771">
        <f t="shared" si="14"/>
        <v>100</v>
      </c>
      <c r="X31" s="1805"/>
      <c r="Y31" s="3384"/>
      <c r="Z31" s="1806">
        <f t="shared" si="18"/>
        <v>0</v>
      </c>
      <c r="AA31" s="1803">
        <f t="shared" si="15"/>
        <v>1</v>
      </c>
      <c r="AB31" s="1803">
        <f t="shared" si="16"/>
        <v>1</v>
      </c>
      <c r="AC31" s="1803">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02" t="s">
        <v>2552</v>
      </c>
      <c r="Q32" s="1802" t="str">
        <f t="shared" si="11"/>
        <v>建筑类型</v>
      </c>
      <c r="R32" s="770" t="s">
        <v>21</v>
      </c>
      <c r="S32" s="771">
        <f t="shared" si="12"/>
        <v>100</v>
      </c>
      <c r="T32" s="770" t="s">
        <v>21</v>
      </c>
      <c r="U32" s="771">
        <f t="shared" si="13"/>
        <v>100</v>
      </c>
      <c r="V32" s="770" t="s">
        <v>21</v>
      </c>
      <c r="W32" s="771">
        <f t="shared" si="14"/>
        <v>100</v>
      </c>
      <c r="X32" s="1805"/>
      <c r="Y32" s="3386" t="s">
        <v>2552</v>
      </c>
      <c r="Z32" s="1806" t="str">
        <f t="shared" si="18"/>
        <v>建筑类型</v>
      </c>
      <c r="AA32" s="1803">
        <f t="shared" si="15"/>
        <v>1</v>
      </c>
      <c r="AB32" s="1803">
        <f t="shared" si="16"/>
        <v>1</v>
      </c>
      <c r="AC32" s="1803">
        <f t="shared" si="17"/>
        <v>1</v>
      </c>
    </row>
    <row r="33" spans="1:29" s="467" customFormat="1" ht="15">
      <c r="A33" s="464"/>
      <c r="B33" s="418" t="s">
        <v>2553</v>
      </c>
      <c r="C33" s="465"/>
      <c r="D33" s="133">
        <v>100</v>
      </c>
      <c r="E33" s="426"/>
      <c r="F33" s="421">
        <f>LOOKUP(E33,103:103,104:104)-LOOKUP(C33,103:103,104:104)+100</f>
        <v>100</v>
      </c>
      <c r="G33" s="425"/>
      <c r="H33" s="133">
        <f>LOOKUP(G33,103:103,104:104)-LOOKUP(C33,103:103,104:104)+100</f>
        <v>100</v>
      </c>
      <c r="I33" s="426"/>
      <c r="J33" s="133">
        <f>LOOKUP(I33,103:103,104:104)-LOOKUP(C33,103:103,104:104)+100</f>
        <v>100</v>
      </c>
      <c r="K33" s="2591"/>
      <c r="L33" s="1131"/>
      <c r="M33" s="1134"/>
      <c r="N33" s="1134"/>
      <c r="O33" s="1134"/>
      <c r="P33" s="3403"/>
      <c r="Q33" s="772" t="str">
        <f t="shared" si="11"/>
        <v>项目建筑规模</v>
      </c>
      <c r="R33" s="773" t="s">
        <v>21</v>
      </c>
      <c r="S33" s="774">
        <f t="shared" si="12"/>
        <v>100</v>
      </c>
      <c r="T33" s="773" t="s">
        <v>21</v>
      </c>
      <c r="U33" s="774">
        <f t="shared" si="13"/>
        <v>100</v>
      </c>
      <c r="V33" s="773" t="s">
        <v>21</v>
      </c>
      <c r="W33" s="774">
        <f t="shared" si="14"/>
        <v>100</v>
      </c>
      <c r="X33" s="775"/>
      <c r="Y33" s="3386"/>
      <c r="Z33" s="776" t="str">
        <f t="shared" si="18"/>
        <v>项目建筑规模</v>
      </c>
      <c r="AA33" s="1803">
        <f t="shared" si="15"/>
        <v>1</v>
      </c>
      <c r="AB33" s="1803">
        <f t="shared" si="16"/>
        <v>1</v>
      </c>
      <c r="AC33" s="1803">
        <f t="shared" si="17"/>
        <v>1</v>
      </c>
    </row>
    <row r="34" spans="1:29" ht="15">
      <c r="A34" s="468"/>
      <c r="B34" s="418" t="s">
        <v>2554</v>
      </c>
      <c r="C34" s="2609" t="s">
        <v>3075</v>
      </c>
      <c r="D34" s="431">
        <v>100</v>
      </c>
      <c r="E34" s="2609" t="s">
        <v>3075</v>
      </c>
      <c r="F34" s="457">
        <f>SUMIF(105:105,E34,106:106)-SUMIF(105:105,C34,106:106)+100</f>
        <v>100</v>
      </c>
      <c r="G34" s="2609" t="s">
        <v>3075</v>
      </c>
      <c r="H34" s="431">
        <f>SUMIF(105:105,G34,106:106)-SUMIF(105:105,C34,106:106)+100</f>
        <v>100</v>
      </c>
      <c r="I34" s="2609" t="s">
        <v>3075</v>
      </c>
      <c r="J34" s="431">
        <f>SUMIF(105:105,I34,106:106)-SUMIF(105:105,C34,106:106)+100</f>
        <v>100</v>
      </c>
      <c r="K34" s="422"/>
      <c r="L34" s="1133"/>
      <c r="M34" s="1124"/>
      <c r="N34" s="1124"/>
      <c r="O34" s="1124"/>
      <c r="P34" s="3403"/>
      <c r="Q34" s="1802" t="str">
        <f t="shared" si="11"/>
        <v>建筑结构</v>
      </c>
      <c r="R34" s="770" t="s">
        <v>21</v>
      </c>
      <c r="S34" s="771">
        <f t="shared" si="12"/>
        <v>100</v>
      </c>
      <c r="T34" s="770" t="s">
        <v>21</v>
      </c>
      <c r="U34" s="771">
        <f t="shared" si="13"/>
        <v>100</v>
      </c>
      <c r="V34" s="770" t="s">
        <v>21</v>
      </c>
      <c r="W34" s="771">
        <f t="shared" si="14"/>
        <v>100</v>
      </c>
      <c r="X34" s="1805"/>
      <c r="Y34" s="3386"/>
      <c r="Z34" s="1806" t="str">
        <f t="shared" si="18"/>
        <v>建筑结构</v>
      </c>
      <c r="AA34" s="1803">
        <f t="shared" si="15"/>
        <v>1</v>
      </c>
      <c r="AB34" s="1803">
        <f t="shared" si="16"/>
        <v>1</v>
      </c>
      <c r="AC34" s="1803">
        <f t="shared" si="17"/>
        <v>1</v>
      </c>
    </row>
    <row r="35" spans="1:29" ht="15">
      <c r="A35" s="468"/>
      <c r="B35" s="418" t="s">
        <v>2555</v>
      </c>
      <c r="C35" s="3153" t="s">
        <v>4491</v>
      </c>
      <c r="D35" s="431">
        <v>100</v>
      </c>
      <c r="E35" s="2603" t="s">
        <v>4247</v>
      </c>
      <c r="F35" s="457">
        <f>SUMIF(107:107,E35,108:108)-SUMIF(107:107,C35,108:108)+100</f>
        <v>90</v>
      </c>
      <c r="G35" s="2603" t="s">
        <v>4247</v>
      </c>
      <c r="H35" s="431">
        <f>SUMIF(107:107,G35,108:108)-SUMIF(107:107,C35,108:108)+100</f>
        <v>90</v>
      </c>
      <c r="I35" s="2603" t="s">
        <v>4247</v>
      </c>
      <c r="J35" s="431">
        <f>SUMIF(107:107,I35,108:108)-SUMIF(107:107,C35,108:108)+100</f>
        <v>90</v>
      </c>
      <c r="K35" s="3152">
        <v>10</v>
      </c>
      <c r="L35" s="1133"/>
      <c r="M35" s="1124"/>
      <c r="N35" s="1124"/>
      <c r="O35" s="1124"/>
      <c r="P35" s="3403"/>
      <c r="Q35" s="1802" t="str">
        <f t="shared" si="11"/>
        <v>建筑品质</v>
      </c>
      <c r="R35" s="770" t="s">
        <v>21</v>
      </c>
      <c r="S35" s="771">
        <f t="shared" si="12"/>
        <v>90</v>
      </c>
      <c r="T35" s="770" t="s">
        <v>21</v>
      </c>
      <c r="U35" s="771">
        <f t="shared" si="13"/>
        <v>90</v>
      </c>
      <c r="V35" s="770" t="s">
        <v>21</v>
      </c>
      <c r="W35" s="771">
        <f t="shared" si="14"/>
        <v>90</v>
      </c>
      <c r="X35" s="1805"/>
      <c r="Y35" s="3386"/>
      <c r="Z35" s="1806" t="str">
        <f t="shared" si="18"/>
        <v>建筑品质</v>
      </c>
      <c r="AA35" s="1803">
        <f t="shared" si="15"/>
        <v>1.1111111111111112</v>
      </c>
      <c r="AB35" s="1803">
        <f t="shared" si="16"/>
        <v>1.1111111111111112</v>
      </c>
      <c r="AC35" s="1803">
        <f t="shared" si="17"/>
        <v>1.1111111111111112</v>
      </c>
    </row>
    <row r="36" spans="1:29" ht="15">
      <c r="A36" s="468"/>
      <c r="B36" s="418" t="s">
        <v>2556</v>
      </c>
      <c r="C36" s="2603" t="s">
        <v>4223</v>
      </c>
      <c r="D36" s="431">
        <v>100</v>
      </c>
      <c r="E36" s="2603" t="s">
        <v>4223</v>
      </c>
      <c r="F36" s="457">
        <f>SUMIF(109:109,E36,110:110)-SUMIF(109:109,C36,110:110)+100</f>
        <v>100</v>
      </c>
      <c r="G36" s="2603" t="s">
        <v>4223</v>
      </c>
      <c r="H36" s="431">
        <f>SUMIF(109:109,G36,110:110)-SUMIF(109:109,C36,110:110)+100</f>
        <v>100</v>
      </c>
      <c r="I36" s="2603" t="s">
        <v>4223</v>
      </c>
      <c r="J36" s="431">
        <f>SUMIF(109:109,I36,110:110)-SUMIF(109:109,C36,110:110)+100</f>
        <v>100</v>
      </c>
      <c r="K36" s="422"/>
      <c r="L36" s="1133"/>
      <c r="M36" s="1124"/>
      <c r="N36" s="1124"/>
      <c r="O36" s="1124"/>
      <c r="P36" s="3403"/>
      <c r="Q36" s="1802" t="str">
        <f t="shared" si="11"/>
        <v>公共部分装修</v>
      </c>
      <c r="R36" s="770" t="s">
        <v>21</v>
      </c>
      <c r="S36" s="771">
        <f t="shared" si="12"/>
        <v>100</v>
      </c>
      <c r="T36" s="770" t="s">
        <v>21</v>
      </c>
      <c r="U36" s="771">
        <f t="shared" si="13"/>
        <v>100</v>
      </c>
      <c r="V36" s="770" t="s">
        <v>21</v>
      </c>
      <c r="W36" s="771">
        <f t="shared" si="14"/>
        <v>100</v>
      </c>
      <c r="X36" s="1805"/>
      <c r="Y36" s="3386"/>
      <c r="Z36" s="1806" t="str">
        <f t="shared" si="18"/>
        <v>公共部分装修</v>
      </c>
      <c r="AA36" s="1803">
        <f t="shared" si="15"/>
        <v>1</v>
      </c>
      <c r="AB36" s="1803">
        <f t="shared" si="16"/>
        <v>1</v>
      </c>
      <c r="AC36" s="1803">
        <f t="shared" si="17"/>
        <v>1</v>
      </c>
    </row>
    <row r="37" spans="1:29" s="116" customFormat="1" ht="15">
      <c r="A37" s="469"/>
      <c r="B37" s="418" t="s">
        <v>2557</v>
      </c>
      <c r="C37" s="470">
        <v>1</v>
      </c>
      <c r="D37" s="133">
        <v>100</v>
      </c>
      <c r="E37" s="3151">
        <v>0.8</v>
      </c>
      <c r="F37" s="421">
        <f>LOOKUP(E37,112:112,113:113)-LOOKUP(C37,112:112,113:113)+100</f>
        <v>97</v>
      </c>
      <c r="G37" s="3151">
        <v>0.7</v>
      </c>
      <c r="H37" s="133">
        <f>LOOKUP(G37,112:112,113:113)-LOOKUP(C37,112:112,113:113)+100</f>
        <v>94</v>
      </c>
      <c r="I37" s="3151">
        <v>0.8</v>
      </c>
      <c r="J37" s="133">
        <f>LOOKUP(I37,112:112,113:113)-LOOKUP(C37,112:112,113:113)+100</f>
        <v>97</v>
      </c>
      <c r="K37" s="422">
        <v>3</v>
      </c>
      <c r="L37" s="1125"/>
      <c r="M37" s="1126"/>
      <c r="N37" s="1126"/>
      <c r="O37" s="1126"/>
      <c r="P37" s="3403"/>
      <c r="Q37" s="1787" t="str">
        <f t="shared" si="11"/>
        <v>成新度</v>
      </c>
      <c r="R37" s="766" t="s">
        <v>21</v>
      </c>
      <c r="S37" s="767">
        <f t="shared" si="12"/>
        <v>97</v>
      </c>
      <c r="T37" s="766" t="s">
        <v>21</v>
      </c>
      <c r="U37" s="767">
        <f t="shared" si="13"/>
        <v>94</v>
      </c>
      <c r="V37" s="766" t="s">
        <v>21</v>
      </c>
      <c r="W37" s="767">
        <f t="shared" si="14"/>
        <v>97</v>
      </c>
      <c r="X37" s="768"/>
      <c r="Y37" s="3386"/>
      <c r="Z37" s="55" t="str">
        <f t="shared" si="18"/>
        <v>成新度</v>
      </c>
      <c r="AA37" s="769">
        <f t="shared" si="15"/>
        <v>1.0309278350515463</v>
      </c>
      <c r="AB37" s="769">
        <f t="shared" si="16"/>
        <v>1.0638297872340425</v>
      </c>
      <c r="AC37" s="769">
        <f t="shared" si="17"/>
        <v>1.0309278350515463</v>
      </c>
    </row>
    <row r="38" spans="1:29" ht="15">
      <c r="A38" s="468"/>
      <c r="B38" s="418" t="s">
        <v>2558</v>
      </c>
      <c r="C38" s="2603" t="s">
        <v>4227</v>
      </c>
      <c r="D38" s="431">
        <v>100</v>
      </c>
      <c r="E38" s="2603" t="s">
        <v>4227</v>
      </c>
      <c r="F38" s="457">
        <f>SUMIF(114:114,E38,115:115)-SUMIF(114:114,C38,115:115)+100</f>
        <v>100</v>
      </c>
      <c r="G38" s="2603" t="s">
        <v>4227</v>
      </c>
      <c r="H38" s="431">
        <f>SUMIF(114:114,G38,115:115)-SUMIF(114:114,C38,115:115)+100</f>
        <v>100</v>
      </c>
      <c r="I38" s="2603" t="s">
        <v>4227</v>
      </c>
      <c r="J38" s="431">
        <f>SUMIF(114:114,I38,115:115)-SUMIF(114:114,C38,115:115)+100</f>
        <v>100</v>
      </c>
      <c r="K38" s="422"/>
      <c r="L38" s="1133"/>
      <c r="M38" s="1124"/>
      <c r="N38" s="1124"/>
      <c r="O38" s="1124"/>
      <c r="P38" s="3403" t="s">
        <v>2552</v>
      </c>
      <c r="Q38" s="1802" t="str">
        <f t="shared" si="11"/>
        <v>物业管理</v>
      </c>
      <c r="R38" s="770" t="s">
        <v>21</v>
      </c>
      <c r="S38" s="771">
        <f t="shared" si="12"/>
        <v>100</v>
      </c>
      <c r="T38" s="770" t="s">
        <v>21</v>
      </c>
      <c r="U38" s="771">
        <f t="shared" si="13"/>
        <v>100</v>
      </c>
      <c r="V38" s="770" t="s">
        <v>21</v>
      </c>
      <c r="W38" s="771">
        <f t="shared" si="14"/>
        <v>100</v>
      </c>
      <c r="X38" s="1805"/>
      <c r="Y38" s="3386" t="s">
        <v>2552</v>
      </c>
      <c r="Z38" s="1806" t="str">
        <f t="shared" si="18"/>
        <v>物业管理</v>
      </c>
      <c r="AA38" s="1803">
        <f t="shared" si="15"/>
        <v>1</v>
      </c>
      <c r="AB38" s="1803">
        <f t="shared" si="16"/>
        <v>1</v>
      </c>
      <c r="AC38" s="1803">
        <f t="shared" si="17"/>
        <v>1</v>
      </c>
    </row>
    <row r="39" spans="1:29" ht="15">
      <c r="A39" s="468"/>
      <c r="B39" s="418" t="s">
        <v>2559</v>
      </c>
      <c r="C39" s="2603" t="s">
        <v>3363</v>
      </c>
      <c r="D39" s="431">
        <v>100</v>
      </c>
      <c r="E39" s="2603" t="s">
        <v>3363</v>
      </c>
      <c r="F39" s="457">
        <f>SUMIF(116:116,E39,117:117)-SUMIF(116:116,C39,117:117)+100</f>
        <v>100</v>
      </c>
      <c r="G39" s="2603" t="s">
        <v>3363</v>
      </c>
      <c r="H39" s="431">
        <f>SUMIF(116:116,G39,117:117)-SUMIF(116:116,C39,117:117)+100</f>
        <v>100</v>
      </c>
      <c r="I39" s="2603" t="s">
        <v>3363</v>
      </c>
      <c r="J39" s="431">
        <f>SUMIF(116:116,I39,117:117)-SUMIF(116:116,C39,117:117)+100</f>
        <v>100</v>
      </c>
      <c r="K39" s="422"/>
      <c r="L39" s="1133"/>
      <c r="M39" s="1124"/>
      <c r="N39" s="1124"/>
      <c r="O39" s="1124"/>
      <c r="P39" s="3403"/>
      <c r="Q39" s="1802" t="str">
        <f t="shared" si="11"/>
        <v>市政基础设施</v>
      </c>
      <c r="R39" s="770" t="s">
        <v>21</v>
      </c>
      <c r="S39" s="771">
        <f t="shared" si="12"/>
        <v>100</v>
      </c>
      <c r="T39" s="770" t="s">
        <v>21</v>
      </c>
      <c r="U39" s="771">
        <f t="shared" si="13"/>
        <v>100</v>
      </c>
      <c r="V39" s="770" t="s">
        <v>21</v>
      </c>
      <c r="W39" s="771">
        <f t="shared" si="14"/>
        <v>100</v>
      </c>
      <c r="X39" s="1805"/>
      <c r="Y39" s="3386"/>
      <c r="Z39" s="1806" t="str">
        <f t="shared" si="18"/>
        <v>市政基础设施</v>
      </c>
      <c r="AA39" s="1803">
        <f t="shared" si="15"/>
        <v>1</v>
      </c>
      <c r="AB39" s="1803">
        <f t="shared" si="16"/>
        <v>1</v>
      </c>
      <c r="AC39" s="1803">
        <f t="shared" si="17"/>
        <v>1</v>
      </c>
    </row>
    <row r="40" spans="1:29" ht="15">
      <c r="A40" s="468"/>
      <c r="B40" s="418" t="s">
        <v>2560</v>
      </c>
      <c r="C40" s="2603" t="s">
        <v>4251</v>
      </c>
      <c r="D40" s="431">
        <v>100</v>
      </c>
      <c r="E40" s="2603" t="s">
        <v>4251</v>
      </c>
      <c r="F40" s="457">
        <f>SUMIF(118:118,E40,119:119)-SUMIF(118:118,C40,119:119)+100</f>
        <v>100</v>
      </c>
      <c r="G40" s="2603" t="s">
        <v>4251</v>
      </c>
      <c r="H40" s="431">
        <f>SUMIF(118:118,G40,119:119)-SUMIF(118:118,C40,119:119)+100</f>
        <v>100</v>
      </c>
      <c r="I40" s="2603" t="s">
        <v>4251</v>
      </c>
      <c r="J40" s="431">
        <f>SUMIF(118:118,I40,119:119)-SUMIF(118:118,C40,119:119)+100</f>
        <v>100</v>
      </c>
      <c r="K40" s="422"/>
      <c r="L40" s="1133"/>
      <c r="M40" s="1124"/>
      <c r="N40" s="1124"/>
      <c r="O40" s="1124"/>
      <c r="P40" s="3403"/>
      <c r="Q40" s="1802" t="str">
        <f t="shared" si="11"/>
        <v>房型</v>
      </c>
      <c r="R40" s="770" t="s">
        <v>21</v>
      </c>
      <c r="S40" s="771">
        <f t="shared" si="12"/>
        <v>100</v>
      </c>
      <c r="T40" s="770" t="s">
        <v>21</v>
      </c>
      <c r="U40" s="771">
        <f t="shared" si="13"/>
        <v>100</v>
      </c>
      <c r="V40" s="770" t="s">
        <v>21</v>
      </c>
      <c r="W40" s="771">
        <f t="shared" si="14"/>
        <v>100</v>
      </c>
      <c r="X40" s="1805"/>
      <c r="Y40" s="3386"/>
      <c r="Z40" s="1806" t="str">
        <f t="shared" si="18"/>
        <v>房型</v>
      </c>
      <c r="AA40" s="1803">
        <f t="shared" si="15"/>
        <v>1</v>
      </c>
      <c r="AB40" s="1803">
        <f t="shared" si="16"/>
        <v>1</v>
      </c>
      <c r="AC40" s="1803">
        <f t="shared" si="17"/>
        <v>1</v>
      </c>
    </row>
    <row r="41" spans="1:29" s="467" customFormat="1" ht="28.5">
      <c r="A41" s="464"/>
      <c r="B41" s="418" t="s">
        <v>2561</v>
      </c>
      <c r="C41" s="465"/>
      <c r="D41" s="133">
        <v>100</v>
      </c>
      <c r="E41" s="465"/>
      <c r="F41" s="421">
        <f>SUMIF(120:120,E41,121:121)-SUMIF(120:120,C41,121:121)+100</f>
        <v>100</v>
      </c>
      <c r="G41" s="465"/>
      <c r="H41" s="133">
        <f>SUMIF(120:120,G41,121:121)-SUMIF(120:120,C41,121:121)+100</f>
        <v>100</v>
      </c>
      <c r="I41" s="465"/>
      <c r="J41" s="431">
        <f>SUMIF(120:120,I41,121:121)-SUMIF(120:120,C41,121:121)+100</f>
        <v>100</v>
      </c>
      <c r="K41" s="2591"/>
      <c r="L41" s="1131"/>
      <c r="M41" s="1134"/>
      <c r="N41" s="1134"/>
      <c r="O41" s="1134"/>
      <c r="P41" s="3403"/>
      <c r="Q41" s="772" t="str">
        <f t="shared" si="11"/>
        <v>单套/主力户型建筑面积</v>
      </c>
      <c r="R41" s="773" t="s">
        <v>21</v>
      </c>
      <c r="S41" s="774">
        <f t="shared" si="12"/>
        <v>100</v>
      </c>
      <c r="T41" s="773" t="s">
        <v>21</v>
      </c>
      <c r="U41" s="774">
        <f t="shared" si="13"/>
        <v>100</v>
      </c>
      <c r="V41" s="773" t="s">
        <v>21</v>
      </c>
      <c r="W41" s="774">
        <f t="shared" si="14"/>
        <v>100</v>
      </c>
      <c r="X41" s="775"/>
      <c r="Y41" s="3386"/>
      <c r="Z41" s="776" t="str">
        <f t="shared" si="18"/>
        <v>单套/主力户型建筑面积</v>
      </c>
      <c r="AA41" s="1803">
        <f t="shared" si="15"/>
        <v>1</v>
      </c>
      <c r="AB41" s="1803">
        <f t="shared" si="16"/>
        <v>1</v>
      </c>
      <c r="AC41" s="1803">
        <f t="shared" si="17"/>
        <v>1</v>
      </c>
    </row>
    <row r="42" spans="1:29" ht="15">
      <c r="A42" s="468"/>
      <c r="B42" s="418" t="s">
        <v>2562</v>
      </c>
      <c r="C42" s="2603" t="s">
        <v>4233</v>
      </c>
      <c r="D42" s="431">
        <v>100</v>
      </c>
      <c r="E42" s="2603" t="s">
        <v>4233</v>
      </c>
      <c r="F42" s="457">
        <f>SUMIF(122:122,E42,123:123)-SUMIF(122:122,C42,123:123)+100</f>
        <v>100</v>
      </c>
      <c r="G42" s="2603" t="s">
        <v>4233</v>
      </c>
      <c r="H42" s="431">
        <f>SUMIF(122:122,G42,123:123)-SUMIF(122:122,C42,123:123)+100</f>
        <v>100</v>
      </c>
      <c r="I42" s="2603" t="s">
        <v>4233</v>
      </c>
      <c r="J42" s="431">
        <f>SUMIF(122:122,I42,123:123)-SUMIF(122:122,C42,123:123)+100</f>
        <v>100</v>
      </c>
      <c r="K42" s="422">
        <v>3</v>
      </c>
      <c r="L42" s="1133"/>
      <c r="M42" s="1124"/>
      <c r="N42" s="1124"/>
      <c r="O42" s="1124"/>
      <c r="P42" s="3403"/>
      <c r="Q42" s="1802" t="str">
        <f t="shared" si="11"/>
        <v>内部装修</v>
      </c>
      <c r="R42" s="770" t="s">
        <v>21</v>
      </c>
      <c r="S42" s="771">
        <f t="shared" si="12"/>
        <v>100</v>
      </c>
      <c r="T42" s="770" t="s">
        <v>21</v>
      </c>
      <c r="U42" s="771">
        <f t="shared" si="13"/>
        <v>100</v>
      </c>
      <c r="V42" s="770" t="s">
        <v>21</v>
      </c>
      <c r="W42" s="771">
        <f t="shared" si="14"/>
        <v>100</v>
      </c>
      <c r="X42" s="1805"/>
      <c r="Y42" s="3386"/>
      <c r="Z42" s="1806" t="str">
        <f t="shared" si="18"/>
        <v>内部装修</v>
      </c>
      <c r="AA42" s="1803">
        <f t="shared" si="15"/>
        <v>1</v>
      </c>
      <c r="AB42" s="1803">
        <f t="shared" si="16"/>
        <v>1</v>
      </c>
      <c r="AC42" s="1803">
        <f t="shared" si="17"/>
        <v>1</v>
      </c>
    </row>
    <row r="43" spans="1:29" ht="15.75" thickBot="1">
      <c r="A43" s="468"/>
      <c r="B43" s="418" t="s">
        <v>2563</v>
      </c>
      <c r="C43" s="2603" t="s">
        <v>3174</v>
      </c>
      <c r="D43" s="431">
        <v>100</v>
      </c>
      <c r="E43" s="2603" t="s">
        <v>3174</v>
      </c>
      <c r="F43" s="457">
        <f>SUMIF(124:124,E43,125:125)-SUMIF(124:124,C43,125:125)+100</f>
        <v>100</v>
      </c>
      <c r="G43" s="2603" t="s">
        <v>3174</v>
      </c>
      <c r="H43" s="431">
        <f>SUMIF(124:124,G43,125:125)-SUMIF(124:124,C43,125:125)+100</f>
        <v>100</v>
      </c>
      <c r="I43" s="2603" t="s">
        <v>3174</v>
      </c>
      <c r="J43" s="431">
        <f>SUMIF(124:124,I43,125:125)-SUMIF(124:124,C43,125:125)+100</f>
        <v>100</v>
      </c>
      <c r="K43" s="422"/>
      <c r="L43" s="1133"/>
      <c r="M43" s="1124"/>
      <c r="N43" s="1124"/>
      <c r="O43" s="1124"/>
      <c r="P43" s="3403"/>
      <c r="Q43" s="1802" t="str">
        <f t="shared" si="11"/>
        <v>内部装修维护情况</v>
      </c>
      <c r="R43" s="770" t="s">
        <v>21</v>
      </c>
      <c r="S43" s="771">
        <f t="shared" si="12"/>
        <v>100</v>
      </c>
      <c r="T43" s="770" t="s">
        <v>21</v>
      </c>
      <c r="U43" s="771">
        <f t="shared" si="13"/>
        <v>100</v>
      </c>
      <c r="V43" s="770" t="s">
        <v>21</v>
      </c>
      <c r="W43" s="771">
        <f t="shared" si="14"/>
        <v>100</v>
      </c>
      <c r="X43" s="1805"/>
      <c r="Y43" s="3386"/>
      <c r="Z43" s="1806" t="str">
        <f t="shared" si="18"/>
        <v>内部装修维护情况</v>
      </c>
      <c r="AA43" s="1803">
        <f t="shared" si="15"/>
        <v>1</v>
      </c>
      <c r="AB43" s="1803">
        <f t="shared" si="16"/>
        <v>1</v>
      </c>
      <c r="AC43" s="1803">
        <f t="shared" si="17"/>
        <v>1</v>
      </c>
    </row>
    <row r="44" spans="1:29" s="116" customFormat="1" ht="15" hidden="1">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03"/>
      <c r="Q44" s="1787">
        <f t="shared" si="11"/>
        <v>0</v>
      </c>
      <c r="R44" s="766" t="s">
        <v>21</v>
      </c>
      <c r="S44" s="767">
        <f t="shared" si="12"/>
        <v>100</v>
      </c>
      <c r="T44" s="766" t="s">
        <v>21</v>
      </c>
      <c r="U44" s="767">
        <f t="shared" si="13"/>
        <v>100</v>
      </c>
      <c r="V44" s="766" t="s">
        <v>21</v>
      </c>
      <c r="W44" s="767">
        <f t="shared" si="14"/>
        <v>100</v>
      </c>
      <c r="X44" s="768"/>
      <c r="Y44" s="3386"/>
      <c r="Z44" s="55">
        <f t="shared" si="18"/>
        <v>0</v>
      </c>
      <c r="AA44" s="769">
        <f t="shared" si="15"/>
        <v>1</v>
      </c>
      <c r="AB44" s="769">
        <f t="shared" si="16"/>
        <v>1</v>
      </c>
      <c r="AC44" s="769">
        <f t="shared" si="17"/>
        <v>1</v>
      </c>
    </row>
    <row r="45" spans="1:29" ht="15" hidden="1">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03"/>
      <c r="Q45" s="1802">
        <f t="shared" si="11"/>
        <v>0</v>
      </c>
      <c r="R45" s="770" t="s">
        <v>21</v>
      </c>
      <c r="S45" s="771">
        <f t="shared" si="12"/>
        <v>100</v>
      </c>
      <c r="T45" s="770" t="s">
        <v>21</v>
      </c>
      <c r="U45" s="771">
        <f t="shared" si="13"/>
        <v>100</v>
      </c>
      <c r="V45" s="770" t="s">
        <v>21</v>
      </c>
      <c r="W45" s="771">
        <f t="shared" si="14"/>
        <v>100</v>
      </c>
      <c r="X45" s="1805"/>
      <c r="Y45" s="3386"/>
      <c r="Z45" s="1806">
        <f t="shared" si="18"/>
        <v>0</v>
      </c>
      <c r="AA45" s="1803">
        <f t="shared" si="15"/>
        <v>1</v>
      </c>
      <c r="AB45" s="1803">
        <f t="shared" si="16"/>
        <v>1</v>
      </c>
      <c r="AC45" s="1803">
        <f t="shared" si="17"/>
        <v>1</v>
      </c>
    </row>
    <row r="46" spans="1:29" ht="15.75" hidden="1"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04"/>
      <c r="Q46" s="1802">
        <f t="shared" si="11"/>
        <v>0</v>
      </c>
      <c r="R46" s="770" t="s">
        <v>20</v>
      </c>
      <c r="S46" s="771">
        <f t="shared" si="12"/>
        <v>100</v>
      </c>
      <c r="T46" s="770" t="s">
        <v>20</v>
      </c>
      <c r="U46" s="771">
        <f t="shared" si="13"/>
        <v>100</v>
      </c>
      <c r="V46" s="770" t="s">
        <v>20</v>
      </c>
      <c r="W46" s="771">
        <f t="shared" si="14"/>
        <v>100</v>
      </c>
      <c r="X46" s="1805"/>
      <c r="Y46" s="3405"/>
      <c r="Z46" s="1806">
        <f t="shared" si="18"/>
        <v>0</v>
      </c>
      <c r="AA46" s="1803">
        <f t="shared" si="15"/>
        <v>1</v>
      </c>
      <c r="AB46" s="1803">
        <f t="shared" si="16"/>
        <v>1</v>
      </c>
      <c r="AC46" s="1803">
        <f t="shared" si="17"/>
        <v>1</v>
      </c>
    </row>
    <row r="47" spans="1:29" ht="15">
      <c r="A47" s="475" t="s">
        <v>2564</v>
      </c>
      <c r="B47" s="476"/>
      <c r="C47" s="1400" t="s">
        <v>19</v>
      </c>
      <c r="D47" s="1401"/>
      <c r="E47" s="1402">
        <v>19670</v>
      </c>
      <c r="F47" s="1403"/>
      <c r="G47" s="1404">
        <v>21324</v>
      </c>
      <c r="H47" s="1405"/>
      <c r="I47" s="1404">
        <v>20200</v>
      </c>
      <c r="J47" s="1405"/>
      <c r="K47" s="2611"/>
      <c r="L47" s="1136"/>
      <c r="M47" s="1137"/>
      <c r="N47" s="1124"/>
      <c r="O47" s="1137"/>
      <c r="P47" s="3368" t="str">
        <f>A47</f>
        <v>成交单价（元/平方米）</v>
      </c>
      <c r="Q47" s="3368"/>
      <c r="R47" s="3406">
        <f>E47</f>
        <v>19670</v>
      </c>
      <c r="S47" s="3406"/>
      <c r="T47" s="3406">
        <f>G47</f>
        <v>21324</v>
      </c>
      <c r="U47" s="3406"/>
      <c r="V47" s="3406">
        <f>I47</f>
        <v>20200</v>
      </c>
      <c r="W47" s="3406"/>
      <c r="X47" s="755"/>
      <c r="Y47" s="777"/>
      <c r="Z47" s="755"/>
      <c r="AA47" s="755"/>
      <c r="AB47" s="755"/>
      <c r="AC47" s="755"/>
    </row>
    <row r="48" spans="1:29" ht="15.75" thickBot="1">
      <c r="A48" s="482" t="s">
        <v>2565</v>
      </c>
      <c r="B48" s="483"/>
      <c r="C48" s="1406">
        <f>R49</f>
        <v>24789</v>
      </c>
      <c r="D48" s="1407"/>
      <c r="E48" s="1408">
        <f>R48</f>
        <v>23720</v>
      </c>
      <c r="F48" s="1408"/>
      <c r="G48" s="1406">
        <f>T48</f>
        <v>26532</v>
      </c>
      <c r="H48" s="1407"/>
      <c r="I48" s="1408">
        <f>V48</f>
        <v>24115</v>
      </c>
      <c r="J48" s="1407"/>
      <c r="K48" s="2612"/>
      <c r="L48" s="1136"/>
      <c r="M48" s="1137"/>
      <c r="N48" s="1137"/>
      <c r="O48" s="1137"/>
      <c r="P48" s="3368" t="str">
        <f>A48</f>
        <v>比较价值（元/平方米）</v>
      </c>
      <c r="Q48" s="3368"/>
      <c r="R48" s="3406">
        <f>IF(F1="售价",ROUND(PRODUCT(R47,AA7:AA46),0),ROUND(PRODUCT(R47,AA7:AA46),1))</f>
        <v>23720</v>
      </c>
      <c r="S48" s="3406"/>
      <c r="T48" s="3406">
        <f>IF(F1="售价",ROUND(PRODUCT(T47,AB7:AB46),0),ROUND(PRODUCT(T47,AB7:AB46),1))</f>
        <v>26532</v>
      </c>
      <c r="U48" s="3406"/>
      <c r="V48" s="3406">
        <f>IF(F1="售价",ROUND(PRODUCT(V47,AC7:AC46),0),ROUND(PRODUCT(V47,AC7:AC46),1))</f>
        <v>24115</v>
      </c>
      <c r="W48" s="3406"/>
      <c r="X48" s="755"/>
      <c r="Y48" s="755"/>
      <c r="Z48" s="755"/>
      <c r="AA48" s="755"/>
      <c r="AB48" s="755"/>
      <c r="AC48" s="755"/>
    </row>
    <row r="49" spans="1:29" ht="15.75" thickBot="1">
      <c r="A49" s="488" t="s">
        <v>2566</v>
      </c>
      <c r="B49" s="489"/>
      <c r="C49" s="1409">
        <f>R49</f>
        <v>24789</v>
      </c>
      <c r="D49" s="1410"/>
      <c r="E49" s="1410"/>
      <c r="F49" s="1410"/>
      <c r="G49" s="1410"/>
      <c r="H49" s="1410"/>
      <c r="I49" s="1410"/>
      <c r="J49" s="1410"/>
      <c r="K49" s="2613"/>
      <c r="L49" s="1136"/>
      <c r="M49" s="1137"/>
      <c r="N49" s="1137"/>
      <c r="O49" s="1137"/>
      <c r="P49" s="3388" t="str">
        <f>A49</f>
        <v>估价对象XX用房的比较价值（楼面单价，元/平方米）</v>
      </c>
      <c r="Q49" s="3389"/>
      <c r="R49" s="3407">
        <f>IF(F1="售价",ROUND(AVERAGE(R48:V48),0),ROUND(AVERAGE(R48:V48),1))</f>
        <v>24789</v>
      </c>
      <c r="S49" s="3407"/>
      <c r="T49" s="3407"/>
      <c r="U49" s="3407"/>
      <c r="V49" s="3407"/>
      <c r="W49" s="340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f>IF(E47&lt;E48,E48/E47-1,E47/E48-1)</f>
        <v>0.20589730554143371</v>
      </c>
      <c r="F52" s="496" t="str">
        <f>IF(OR(E52&gt;=0.3,E52&lt;=-0.3),"超过30%","")</f>
        <v/>
      </c>
      <c r="G52" s="495">
        <f>IF(G47&lt;G48,G48/G47-1,G47/G48-1)</f>
        <v>0.24423185143500281</v>
      </c>
      <c r="H52" s="496" t="str">
        <f>IF(OR(G52&gt;=0.3,G52&lt;=-0.3),"超过30%","")</f>
        <v/>
      </c>
      <c r="I52" s="495">
        <f>IF(I47&lt;I48,I48/I47-1,I47/I48-1)</f>
        <v>0.19381188118811887</v>
      </c>
      <c r="J52" s="496" t="str">
        <f>IF(OR(I52&gt;=0.3,I52&lt;=-0.3),"超过30%","")</f>
        <v/>
      </c>
      <c r="K52" s="1098"/>
      <c r="L52" s="1099"/>
      <c r="M52" s="1137"/>
      <c r="N52" s="1137"/>
      <c r="O52" s="1137"/>
    </row>
    <row r="53" spans="1:29" ht="13.5" customHeight="1">
      <c r="A53" s="1137"/>
      <c r="B53" s="1137"/>
      <c r="C53" s="493" t="s">
        <v>2568</v>
      </c>
      <c r="D53" s="497"/>
      <c r="E53" s="495">
        <f>IF(E48&lt;G48,G48/E48-1,E48/G48-1)</f>
        <v>0.11854974704890386</v>
      </c>
      <c r="F53" s="496" t="str">
        <f>IF(OR(E53&gt;=0.2,E53&lt;=-0.2),"超过20%","")</f>
        <v/>
      </c>
      <c r="G53" s="495">
        <f>IF(G48&lt;I48,I48/G48-1,G48/I48-1)</f>
        <v>0.10022807381297949</v>
      </c>
      <c r="H53" s="496" t="str">
        <f>IF(OR(G53&gt;=0.2,G53&lt;=-0.2),"超过20%","")</f>
        <v/>
      </c>
      <c r="I53" s="495">
        <f>IF(I48&lt;E48,E48/I48-1,I48/E48-1)</f>
        <v>1.6652613827993212E-2</v>
      </c>
      <c r="J53" s="496" t="str">
        <f>IF(OR(I53&gt;=0.2,I53&lt;=-0.2),"超过20%","")</f>
        <v/>
      </c>
      <c r="K53" s="1098"/>
      <c r="L53" s="1099"/>
      <c r="M53" s="1137"/>
      <c r="N53" s="1137"/>
      <c r="O53" s="1137"/>
    </row>
    <row r="54" spans="1:29" s="498" customFormat="1" ht="13.5" customHeight="1">
      <c r="A54" s="1138"/>
      <c r="B54" s="1138"/>
      <c r="C54" s="493" t="s">
        <v>2569</v>
      </c>
      <c r="D54" s="497"/>
      <c r="E54" s="495">
        <f>IF(E47&lt;G47,G47/E47-1,E47/G47-1)</f>
        <v>8.4087442806304091E-2</v>
      </c>
      <c r="F54" s="496" t="str">
        <f>IF(OR(E54&gt;=0.3,E54&lt;=-0.3),"超过30%","")</f>
        <v/>
      </c>
      <c r="G54" s="495">
        <f>IF(G47&lt;I47,I47/G47-1,G47/I47-1)</f>
        <v>5.5643564356435693E-2</v>
      </c>
      <c r="H54" s="496" t="str">
        <f>IF(OR(G54&gt;=0.3,G54&lt;=-0.3),"超过30%","")</f>
        <v/>
      </c>
      <c r="I54" s="495">
        <f>IF(I47&lt;E47,E47/I47-1,I47/E47-1)</f>
        <v>2.6944585663446929E-2</v>
      </c>
      <c r="J54" s="496" t="str">
        <f>IF(OR(I54&gt;=0.3,I54&lt;=-0.3),"超过30%","")</f>
        <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2571</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v>100</v>
      </c>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2573</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t="str">
        <f>C9</f>
        <v>住宅</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6"/>
      <c r="O66" s="1146"/>
      <c r="P66" s="2620"/>
      <c r="Q66" s="500"/>
    </row>
    <row r="67" spans="1:17" ht="15.75" thickTop="1">
      <c r="A67" s="530"/>
      <c r="B67" s="542" t="s">
        <v>2545</v>
      </c>
      <c r="C67" s="543" t="str">
        <f>C68&amp;"（含）"&amp;"-"&amp;D68</f>
        <v>0（含）-5</v>
      </c>
      <c r="D67" s="543" t="str">
        <f t="shared" ref="D67:L67" si="21">D68&amp;"（含）"&amp;"-"&amp;E68</f>
        <v>5（含）-10</v>
      </c>
      <c r="E67" s="543" t="str">
        <f t="shared" si="21"/>
        <v>10（含）-15</v>
      </c>
      <c r="F67" s="543" t="str">
        <f t="shared" si="21"/>
        <v>15（含）-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v>0</v>
      </c>
      <c r="D68" s="545">
        <v>5</v>
      </c>
      <c r="E68" s="545">
        <v>10</v>
      </c>
      <c r="F68" s="545">
        <v>15</v>
      </c>
      <c r="G68" s="545"/>
      <c r="H68" s="545"/>
      <c r="I68" s="545"/>
      <c r="J68" s="545"/>
      <c r="K68" s="546"/>
      <c r="L68" s="547"/>
      <c r="M68" s="548"/>
      <c r="N68" s="1145"/>
      <c r="O68" s="1145"/>
      <c r="P68" s="2620"/>
      <c r="Q68" s="500"/>
    </row>
    <row r="69" spans="1:17" ht="15.75"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46"/>
      <c r="O69" s="1146"/>
      <c r="P69" s="2620"/>
      <c r="Q69" s="500"/>
    </row>
    <row r="70" spans="1:17" s="467" customFormat="1" ht="15.75" thickTop="1">
      <c r="A70" s="549"/>
      <c r="B70" s="534" t="str">
        <f>B12</f>
        <v xml:space="preserve"> 建成</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95</v>
      </c>
      <c r="E77" s="540">
        <f>D77-$K15</f>
        <v>90</v>
      </c>
      <c r="F77" s="540">
        <f>E77-$K15</f>
        <v>85</v>
      </c>
      <c r="G77" s="540">
        <f>F77-$K15</f>
        <v>80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95</v>
      </c>
      <c r="E79" s="540">
        <f>D79-$K17</f>
        <v>90</v>
      </c>
      <c r="F79" s="540">
        <f>E79-$K17</f>
        <v>85</v>
      </c>
      <c r="G79" s="540">
        <f>F79-$K17</f>
        <v>80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95</v>
      </c>
      <c r="E81" s="540">
        <f>D81-$K19</f>
        <v>90</v>
      </c>
      <c r="F81" s="540">
        <f>E81-$K19</f>
        <v>85</v>
      </c>
      <c r="G81" s="540">
        <f>F81-$K19</f>
        <v>80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98</v>
      </c>
      <c r="E83" s="656">
        <f t="shared" ref="E83:G83" si="23">D83-$K21</f>
        <v>96</v>
      </c>
      <c r="F83" s="656">
        <f t="shared" si="23"/>
        <v>94</v>
      </c>
      <c r="G83" s="656">
        <f t="shared" si="23"/>
        <v>92</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95</v>
      </c>
      <c r="E85" s="540">
        <f>D85-$K23</f>
        <v>90</v>
      </c>
      <c r="F85" s="540">
        <f>E85-$K23</f>
        <v>85</v>
      </c>
      <c r="G85" s="540">
        <f>F85-$K23</f>
        <v>80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2982" t="s">
        <v>4245</v>
      </c>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0(含)-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v>0</v>
      </c>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2966" t="s">
        <v>4246</v>
      </c>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2965" t="s">
        <v>4492</v>
      </c>
      <c r="D107" s="2965" t="s">
        <v>4493</v>
      </c>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90</v>
      </c>
      <c r="E108" s="540">
        <f t="shared" si="29"/>
        <v>80</v>
      </c>
      <c r="F108" s="540">
        <f t="shared" si="29"/>
        <v>70</v>
      </c>
      <c r="G108" s="540">
        <f t="shared" si="29"/>
        <v>60</v>
      </c>
      <c r="H108" s="540">
        <f t="shared" si="29"/>
        <v>50</v>
      </c>
      <c r="I108" s="540">
        <f t="shared" si="29"/>
        <v>40</v>
      </c>
      <c r="J108" s="540">
        <f t="shared" si="29"/>
        <v>30</v>
      </c>
      <c r="K108" s="540">
        <f t="shared" si="29"/>
        <v>20</v>
      </c>
      <c r="L108" s="540">
        <f t="shared" si="29"/>
        <v>10</v>
      </c>
      <c r="M108" s="540">
        <f t="shared" si="29"/>
        <v>0</v>
      </c>
      <c r="N108" s="1146"/>
      <c r="O108" s="1146"/>
      <c r="P108" s="2620"/>
      <c r="Q108" s="500"/>
    </row>
    <row r="109" spans="1:17" ht="15" thickTop="1">
      <c r="A109" s="595"/>
      <c r="B109" s="534" t="s">
        <v>2603</v>
      </c>
      <c r="C109" s="2966" t="s">
        <v>4248</v>
      </c>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103</v>
      </c>
      <c r="E113" s="540">
        <f>D113+$K37</f>
        <v>106</v>
      </c>
      <c r="F113" s="540">
        <f>E113+$K37</f>
        <v>109</v>
      </c>
      <c r="G113" s="540">
        <f>F113+$K37</f>
        <v>112</v>
      </c>
      <c r="H113" s="540">
        <f>G113+$K37</f>
        <v>115</v>
      </c>
      <c r="I113" s="578"/>
      <c r="J113" s="603"/>
      <c r="K113" s="603"/>
      <c r="L113" s="603"/>
      <c r="M113" s="604"/>
      <c r="N113" s="1147"/>
      <c r="O113" s="1147"/>
      <c r="P113" s="2621"/>
      <c r="Q113" s="555"/>
    </row>
    <row r="114" spans="1:17" ht="15" thickTop="1">
      <c r="A114" s="595"/>
      <c r="B114" s="534" t="s">
        <v>2604</v>
      </c>
      <c r="C114" s="2966" t="s">
        <v>4249</v>
      </c>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2966" t="s">
        <v>4250</v>
      </c>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2965" t="s">
        <v>4252</v>
      </c>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2966" t="s">
        <v>4253</v>
      </c>
      <c r="D122" s="2966" t="s">
        <v>4254</v>
      </c>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97</v>
      </c>
      <c r="E123" s="540">
        <f t="shared" si="33"/>
        <v>94</v>
      </c>
      <c r="F123" s="540">
        <f t="shared" si="33"/>
        <v>91</v>
      </c>
      <c r="G123" s="540">
        <f t="shared" si="33"/>
        <v>88</v>
      </c>
      <c r="H123" s="540">
        <f t="shared" si="33"/>
        <v>85</v>
      </c>
      <c r="I123" s="540">
        <f t="shared" si="33"/>
        <v>82</v>
      </c>
      <c r="J123" s="540">
        <f t="shared" si="33"/>
        <v>79</v>
      </c>
      <c r="K123" s="540">
        <f t="shared" si="33"/>
        <v>76</v>
      </c>
      <c r="L123" s="540">
        <f t="shared" si="33"/>
        <v>73</v>
      </c>
      <c r="M123" s="540">
        <f t="shared" si="33"/>
        <v>70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9"/>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0.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c r="D1" s="1812"/>
      <c r="E1" s="1813" t="s">
        <v>1387</v>
      </c>
      <c r="F1" s="1276" t="b">
        <f>J53</f>
        <v>0</v>
      </c>
      <c r="G1" s="1828">
        <f>MATCH(C1,'数据-取费表'!A6:A16,0)+5</f>
        <v>11</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1590</v>
      </c>
      <c r="B2" s="1836" t="e">
        <f ca="1">ROUND(D2/10000,0)</f>
        <v>#DIV/0!</v>
      </c>
      <c r="C2" s="1837" t="s">
        <v>1591</v>
      </c>
      <c r="D2" s="1930" t="e">
        <f ca="1">C40+J29+L46</f>
        <v>#DIV/0!</v>
      </c>
      <c r="E2" s="1838" t="s">
        <v>1592</v>
      </c>
      <c r="F2" s="1839"/>
      <c r="G2" s="1840"/>
      <c r="H2" s="1832"/>
      <c r="I2" s="1832"/>
      <c r="J2" s="1832"/>
      <c r="K2" s="1833"/>
      <c r="L2" s="1832"/>
      <c r="M2" s="1832"/>
    </row>
    <row r="3" spans="1:37" ht="18" customHeight="1" thickBot="1">
      <c r="A3" s="1841" t="s">
        <v>1593</v>
      </c>
      <c r="B3" s="1842">
        <f ca="1">IF(ISERROR(D2/F43),0,ROUND(D2/F43,0))</f>
        <v>0</v>
      </c>
      <c r="C3" s="1837" t="s">
        <v>1594</v>
      </c>
      <c r="D3" s="1837"/>
      <c r="E3" s="1838"/>
      <c r="F3" s="1839"/>
      <c r="G3" s="1840"/>
      <c r="H3" s="740" t="s">
        <v>1588</v>
      </c>
      <c r="I3" s="1832"/>
      <c r="J3" s="1832"/>
      <c r="K3" s="1833"/>
      <c r="L3" s="1832"/>
      <c r="M3" s="1832"/>
    </row>
    <row r="4" spans="1:37" ht="18" customHeight="1">
      <c r="A4" s="336" t="s">
        <v>1595</v>
      </c>
      <c r="B4" s="337" t="s">
        <v>1596</v>
      </c>
      <c r="C4" s="337" t="s">
        <v>1597</v>
      </c>
      <c r="D4" s="337" t="s">
        <v>1598</v>
      </c>
      <c r="E4" s="338" t="s">
        <v>1599</v>
      </c>
      <c r="F4" s="339"/>
      <c r="G4" s="1843"/>
      <c r="H4" s="336" t="s">
        <v>1595</v>
      </c>
      <c r="I4" s="337" t="s">
        <v>1596</v>
      </c>
      <c r="J4" s="337" t="s">
        <v>1597</v>
      </c>
      <c r="K4" s="337" t="s">
        <v>1598</v>
      </c>
      <c r="L4" s="338" t="s">
        <v>1599</v>
      </c>
      <c r="M4" s="339"/>
    </row>
    <row r="5" spans="1:37" ht="18" customHeight="1">
      <c r="A5" s="340">
        <v>1</v>
      </c>
      <c r="B5" s="341" t="s">
        <v>1600</v>
      </c>
      <c r="C5" s="1285">
        <f ca="1">C6+C10+C12</f>
        <v>0</v>
      </c>
      <c r="D5" s="1814" t="s">
        <v>1601</v>
      </c>
      <c r="E5" s="1286"/>
      <c r="F5" s="1287"/>
      <c r="G5" s="1843"/>
      <c r="H5" s="340">
        <v>1</v>
      </c>
      <c r="I5" s="341" t="s">
        <v>1600</v>
      </c>
      <c r="J5" s="1285">
        <f ca="1">J6+J10+J12</f>
        <v>0</v>
      </c>
      <c r="K5" s="1814" t="s">
        <v>1601</v>
      </c>
      <c r="L5" s="1286"/>
      <c r="M5" s="1287"/>
    </row>
    <row r="6" spans="1:37" ht="18" customHeight="1">
      <c r="A6" s="1284" t="s">
        <v>1035</v>
      </c>
      <c r="B6" s="3397" t="s">
        <v>1403</v>
      </c>
      <c r="C6" s="1289">
        <f ca="1">ROUND(F6*F8*F7*(1-F9),0)</f>
        <v>0</v>
      </c>
      <c r="D6" s="161" t="s">
        <v>3016</v>
      </c>
      <c r="E6" s="343" t="s">
        <v>1405</v>
      </c>
      <c r="F6" s="344">
        <f ca="1">INDIRECT("'数据-取费表'!u"&amp;$G$1)</f>
        <v>0</v>
      </c>
      <c r="G6" s="1843"/>
      <c r="H6" s="1284" t="s">
        <v>1035</v>
      </c>
      <c r="I6" s="3397" t="s">
        <v>1403</v>
      </c>
      <c r="J6" s="342">
        <f ca="1">ROUND(M6*M8*M7*(1-M9),0)</f>
        <v>0</v>
      </c>
      <c r="K6" s="1826" t="s">
        <v>3017</v>
      </c>
      <c r="L6" s="343" t="s">
        <v>1405</v>
      </c>
      <c r="M6" s="344">
        <f ca="1">INDIRECT("'数据-取费表'!z"&amp;$G$1)</f>
        <v>0</v>
      </c>
    </row>
    <row r="7" spans="1:37" ht="18" customHeight="1">
      <c r="A7" s="1288"/>
      <c r="B7" s="3398"/>
      <c r="C7" s="1290"/>
      <c r="D7" s="348"/>
      <c r="E7" s="1291" t="s">
        <v>1406</v>
      </c>
      <c r="F7" s="344">
        <f ca="1">IF(INDIRECT("'数据-取费表'!ah"&amp;$G$1)="",INDIRECT("'数据-取费表'!k"&amp;$G$1),INDIRECT("'数据-取费表'!ah"&amp;$G$1))</f>
        <v>0</v>
      </c>
      <c r="G7" s="1843"/>
      <c r="H7" s="345"/>
      <c r="I7" s="3398"/>
      <c r="J7" s="347"/>
      <c r="K7" s="348"/>
      <c r="L7" s="343" t="s">
        <v>1406</v>
      </c>
      <c r="M7" s="344">
        <f ca="1">F7</f>
        <v>0</v>
      </c>
    </row>
    <row r="8" spans="1:37" ht="18" customHeight="1">
      <c r="A8" s="345"/>
      <c r="B8" s="3398"/>
      <c r="C8" s="347"/>
      <c r="D8" s="348"/>
      <c r="E8" s="343" t="s">
        <v>1407</v>
      </c>
      <c r="F8" s="344">
        <f ca="1">INDIRECT("'数据-取费表'!ai"&amp;$G$1)</f>
        <v>0</v>
      </c>
      <c r="G8" s="1843"/>
      <c r="H8" s="345"/>
      <c r="I8" s="3398"/>
      <c r="J8" s="347"/>
      <c r="K8" s="348"/>
      <c r="L8" s="343" t="s">
        <v>1407</v>
      </c>
      <c r="M8" s="344">
        <f ca="1">INDIRECT("'数据-取费表'!ai"&amp;$G$1)</f>
        <v>0</v>
      </c>
    </row>
    <row r="9" spans="1:37" ht="18" customHeight="1">
      <c r="A9" s="345"/>
      <c r="B9" s="3399"/>
      <c r="C9" s="347"/>
      <c r="D9" s="348"/>
      <c r="E9" s="343" t="s">
        <v>1408</v>
      </c>
      <c r="F9" s="353">
        <f ca="1">INDIRECT("'数据-取费表'!w"&amp;$G$1)</f>
        <v>0</v>
      </c>
      <c r="G9" s="1843"/>
      <c r="H9" s="345"/>
      <c r="I9" s="3399"/>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27" t="s">
        <v>3029</v>
      </c>
      <c r="L10" s="354" t="s">
        <v>1410</v>
      </c>
      <c r="M10" s="1359"/>
    </row>
    <row r="11" spans="1:37" ht="18" customHeight="1">
      <c r="A11" s="349"/>
      <c r="B11" s="1817" t="s">
        <v>1602</v>
      </c>
      <c r="C11" s="1171"/>
      <c r="D11" s="348"/>
      <c r="E11" s="354" t="s">
        <v>1412</v>
      </c>
      <c r="F11" s="355">
        <f ca="1">'数据-取费表'!B39</f>
        <v>1.4999999999999999E-2</v>
      </c>
      <c r="G11" s="1843"/>
      <c r="H11" s="1292"/>
      <c r="I11" s="1817" t="s">
        <v>1603</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0</v>
      </c>
      <c r="D13" s="1324" t="s">
        <v>1415</v>
      </c>
      <c r="E13" s="1324" t="s">
        <v>1416</v>
      </c>
      <c r="F13" s="1325">
        <f ca="1">INDIRECT("'数据-取费表'!y"&amp;$G$1)</f>
        <v>0</v>
      </c>
      <c r="G13" s="1843"/>
      <c r="H13" s="1322">
        <v>2</v>
      </c>
      <c r="I13" s="1323" t="s">
        <v>1414</v>
      </c>
      <c r="J13" s="1283">
        <f ca="1">ROUND(J14*J15,0)</f>
        <v>0</v>
      </c>
      <c r="K13" s="1330" t="s">
        <v>1415</v>
      </c>
      <c r="L13" s="1844"/>
      <c r="M13" s="1845"/>
    </row>
    <row r="14" spans="1:37" ht="18" customHeight="1">
      <c r="A14" s="1194" t="s">
        <v>1034</v>
      </c>
      <c r="B14" s="343" t="s">
        <v>1417</v>
      </c>
      <c r="C14" s="359">
        <f ca="1">ROUND(INDIRECT("'数据-取费表'!l"&amp;$G$1)*F43+'数据-取费表'!L14*INDIRECT("'数据-取费表'!S"&amp;$G$1),0)</f>
        <v>0</v>
      </c>
      <c r="D14" s="1792" t="s">
        <v>1418</v>
      </c>
      <c r="E14" s="1786"/>
      <c r="F14" s="360"/>
      <c r="G14" s="1843"/>
      <c r="H14" s="1194" t="s">
        <v>1035</v>
      </c>
      <c r="I14" s="343" t="s">
        <v>1419</v>
      </c>
      <c r="J14" s="24">
        <f ca="1">C29</f>
        <v>0</v>
      </c>
      <c r="K14" s="15"/>
      <c r="L14" s="972"/>
      <c r="M14" s="973"/>
    </row>
    <row r="15" spans="1:37" s="1850" customFormat="1" ht="18" customHeight="1" thickBot="1">
      <c r="A15" s="1194" t="s">
        <v>1036</v>
      </c>
      <c r="B15" s="343" t="s">
        <v>1420</v>
      </c>
      <c r="C15" s="24">
        <f ca="1">ROUND(C14*F15,0)</f>
        <v>0</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ROUND(INDIRECT("'数据-取费表'!l"&amp;$G$1)*F43*F16,0)</f>
        <v>0</v>
      </c>
      <c r="D16" s="343" t="s">
        <v>1421</v>
      </c>
      <c r="E16" s="343" t="s">
        <v>1422</v>
      </c>
      <c r="F16" s="363">
        <f ca="1">IF(INDIRECT("'数据-取费表'!c"&amp;$G$1)="住宅",'数据-取费表'!B34,0)</f>
        <v>0</v>
      </c>
      <c r="G16" s="1843"/>
      <c r="H16" s="1322" t="s">
        <v>1030</v>
      </c>
      <c r="I16" s="1323" t="s">
        <v>1424</v>
      </c>
      <c r="J16" s="351">
        <f ca="1">ROUND(J17+J22+J23+J24,0)</f>
        <v>0</v>
      </c>
      <c r="K16" s="1330" t="s">
        <v>1425</v>
      </c>
      <c r="L16" s="1331"/>
      <c r="M16" s="1287"/>
    </row>
    <row r="17" spans="1:37" s="1850" customFormat="1" ht="18" customHeight="1">
      <c r="A17" s="1194" t="s">
        <v>1390</v>
      </c>
      <c r="B17" s="343" t="s">
        <v>1426</v>
      </c>
      <c r="C17" s="24">
        <f ca="1">ROUND(F17*(F43+INDIRECT("'数据-取费表'!S"&amp;$G$1)),0)</f>
        <v>0</v>
      </c>
      <c r="D17" s="343" t="s">
        <v>1427</v>
      </c>
      <c r="E17" s="343" t="s">
        <v>1428</v>
      </c>
      <c r="F17" s="26">
        <f>'数据-取费表'!B35</f>
        <v>200</v>
      </c>
      <c r="G17" s="1846"/>
      <c r="H17" s="1194" t="s">
        <v>1035</v>
      </c>
      <c r="I17" s="343" t="s">
        <v>1429</v>
      </c>
      <c r="J17" s="24">
        <f ca="1">ROUND(IF(项目基本情况!B11="自然人",J5*M17,J18+J19+J20),0)</f>
        <v>0</v>
      </c>
      <c r="K17" s="1792" t="s">
        <v>1430</v>
      </c>
      <c r="L17" s="1790"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0</v>
      </c>
      <c r="D18" s="343" t="s">
        <v>1421</v>
      </c>
      <c r="E18" s="343" t="s">
        <v>1422</v>
      </c>
      <c r="F18" s="363">
        <f>'数据-取费表'!B36</f>
        <v>1.4999999999999999E-2</v>
      </c>
      <c r="G18" s="1846"/>
      <c r="H18" s="1194" t="s">
        <v>1034</v>
      </c>
      <c r="I18" s="343" t="s">
        <v>1433</v>
      </c>
      <c r="J18" s="24">
        <f ca="1">ROUND(J5*M18/(1+'数据-取费表'!C42),0)</f>
        <v>0</v>
      </c>
      <c r="K18" s="1790"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0</v>
      </c>
      <c r="D19" s="137" t="s">
        <v>1436</v>
      </c>
      <c r="E19" s="1810"/>
      <c r="F19" s="26"/>
      <c r="G19" s="1843"/>
      <c r="H19" s="1194" t="s">
        <v>1036</v>
      </c>
      <c r="I19" s="343" t="s">
        <v>1437</v>
      </c>
      <c r="J19" s="24">
        <f ca="1">IF(K19="按租金收入计税",ROUND(J5*M19,0),ROUND(C29*M19*0.7,0))</f>
        <v>0</v>
      </c>
      <c r="K19" s="1820" t="s">
        <v>1438</v>
      </c>
      <c r="L19" s="343" t="s">
        <v>1422</v>
      </c>
      <c r="M19" s="363">
        <f>IF(K19="按租金收入计税",'数据-取费表'!B51,'数据-取费表'!B50)</f>
        <v>1.2E-2</v>
      </c>
    </row>
    <row r="20" spans="1:37" s="1850" customFormat="1" ht="18" customHeight="1">
      <c r="A20" s="1194" t="s">
        <v>1039</v>
      </c>
      <c r="B20" s="343" t="s">
        <v>1439</v>
      </c>
      <c r="C20" s="24">
        <f ca="1">ROUND(C19*F20,0)</f>
        <v>0</v>
      </c>
      <c r="D20" s="365" t="s">
        <v>1440</v>
      </c>
      <c r="E20" s="343" t="s">
        <v>1422</v>
      </c>
      <c r="F20" s="363">
        <f>'数据-取费表'!B37</f>
        <v>0.03</v>
      </c>
      <c r="G20" s="1846"/>
      <c r="H20" s="1194" t="s">
        <v>1389</v>
      </c>
      <c r="I20" s="161" t="s">
        <v>1441</v>
      </c>
      <c r="J20" s="25">
        <f ca="1">ROUND(M20*M21,0)</f>
        <v>0</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v>
      </c>
      <c r="D21" s="365" t="s">
        <v>1445</v>
      </c>
      <c r="E21" s="343" t="s">
        <v>1446</v>
      </c>
      <c r="F21" s="363">
        <f>'数据-取费表'!B38</f>
        <v>0.03</v>
      </c>
      <c r="G21" s="1846"/>
      <c r="H21" s="368"/>
      <c r="I21" s="352"/>
      <c r="J21" s="29"/>
      <c r="K21" s="369"/>
      <c r="L21" s="343" t="s">
        <v>1447</v>
      </c>
      <c r="M21" s="344">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1810"/>
      <c r="F22" s="26"/>
      <c r="G22" s="1843"/>
      <c r="H22" s="1194" t="s">
        <v>1039</v>
      </c>
      <c r="I22" s="343" t="s">
        <v>1449</v>
      </c>
      <c r="J22" s="24">
        <f ca="1">ROUND(J14*M22,0)</f>
        <v>0</v>
      </c>
      <c r="K22" s="1790" t="s">
        <v>1450</v>
      </c>
      <c r="L22" s="343" t="s">
        <v>1422</v>
      </c>
      <c r="M22" s="370">
        <f ca="1">INDIRECT("'数据-取费表'!Ak"&amp;$G$1)</f>
        <v>0</v>
      </c>
    </row>
    <row r="23" spans="1:37" s="1850" customFormat="1" ht="18" customHeight="1">
      <c r="A23" s="1194"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ROUND(J13*M23,0)</f>
        <v>0</v>
      </c>
      <c r="K23" s="1790" t="s">
        <v>1454</v>
      </c>
      <c r="L23" s="343" t="s">
        <v>1455</v>
      </c>
      <c r="M23" s="372">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1393</v>
      </c>
      <c r="I24" s="1333" t="s">
        <v>1439</v>
      </c>
      <c r="J24" s="1334">
        <f ca="1">ROUND(J5*M24,0)</f>
        <v>0</v>
      </c>
      <c r="K24" s="1335" t="s">
        <v>1459</v>
      </c>
      <c r="L24" s="1333" t="s">
        <v>1455</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1460</v>
      </c>
      <c r="B25" s="343" t="s">
        <v>1461</v>
      </c>
      <c r="C25" s="24"/>
      <c r="D25" s="137" t="s">
        <v>1462</v>
      </c>
      <c r="E25" s="1810"/>
      <c r="F25" s="26"/>
      <c r="G25" s="1843"/>
      <c r="H25" s="1322" t="s">
        <v>1031</v>
      </c>
      <c r="I25" s="1337" t="s">
        <v>1463</v>
      </c>
      <c r="J25" s="351">
        <f ca="1">J5-J16</f>
        <v>0</v>
      </c>
      <c r="K25" s="1338" t="s">
        <v>1464</v>
      </c>
      <c r="L25" s="1339"/>
      <c r="M25" s="1340"/>
    </row>
    <row r="26" spans="1:37" ht="18" customHeight="1">
      <c r="A26" s="1194" t="s">
        <v>1034</v>
      </c>
      <c r="B26" s="343" t="s">
        <v>1465</v>
      </c>
      <c r="C26" s="24">
        <f ca="1">ROUND((C19+C20)*F26,0)</f>
        <v>0</v>
      </c>
      <c r="D26" s="365" t="s">
        <v>1466</v>
      </c>
      <c r="E26" s="354" t="s">
        <v>1467</v>
      </c>
      <c r="F26" s="353">
        <f ca="1">INDIRECT("'数据-取费表'!q"&amp;$G$1)</f>
        <v>0</v>
      </c>
      <c r="G26" s="1843"/>
      <c r="H26" s="340" t="s">
        <v>1032</v>
      </c>
      <c r="I26" s="341" t="s">
        <v>1468</v>
      </c>
      <c r="J26" s="342">
        <f ca="1">IF(J5&lt;&gt;0,ROUND(J25*(1-((1+M28)/(1+M26))^M27)/(M26-M28),0),0)</f>
        <v>0</v>
      </c>
      <c r="K26" s="366" t="s">
        <v>1469</v>
      </c>
      <c r="L26" s="343" t="s">
        <v>1470</v>
      </c>
      <c r="M26" s="353">
        <f ca="1">INDIRECT("'数据-取费表'!I"&amp;$G$1)</f>
        <v>0</v>
      </c>
    </row>
    <row r="27" spans="1:37" ht="18" customHeight="1">
      <c r="A27" s="1194" t="s">
        <v>1036</v>
      </c>
      <c r="B27" s="343" t="s">
        <v>1471</v>
      </c>
      <c r="C27" s="24">
        <f ca="1">ROUND(F21*F26,4)</f>
        <v>0</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0</v>
      </c>
      <c r="D29" s="1335"/>
      <c r="E29" s="1333"/>
      <c r="F29" s="1336"/>
      <c r="G29" s="1846"/>
      <c r="H29" s="376" t="s">
        <v>1033</v>
      </c>
      <c r="I29" s="377" t="s">
        <v>1479</v>
      </c>
      <c r="J29" s="378">
        <f ca="1">ROUND(J26/(1+F40)^F41,0)</f>
        <v>0</v>
      </c>
      <c r="K29" s="379" t="s">
        <v>1480</v>
      </c>
      <c r="L29" s="380"/>
      <c r="M29" s="381">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0</v>
      </c>
      <c r="D30" s="1330" t="s">
        <v>1425</v>
      </c>
      <c r="E30" s="1331"/>
      <c r="F30" s="1287"/>
      <c r="G30" s="1843"/>
      <c r="H30" s="741"/>
      <c r="I30" s="742"/>
      <c r="J30" s="743"/>
      <c r="K30" s="744"/>
      <c r="L30" s="745"/>
      <c r="M30" s="746"/>
    </row>
    <row r="31" spans="1:37" ht="18" customHeight="1">
      <c r="A31" s="1194" t="s">
        <v>1035</v>
      </c>
      <c r="B31" s="343" t="s">
        <v>1429</v>
      </c>
      <c r="C31" s="24">
        <f ca="1">ROUND(IF(项目基本情况!B11="自然人",C5*F31,C32+C33+C34),0)</f>
        <v>0</v>
      </c>
      <c r="D31" s="1792" t="s">
        <v>1430</v>
      </c>
      <c r="E31" s="1790"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IF(项目基本情况!B11="自然人","——",ROUND(C5*F32/(1+'数据-取费表'!C42),0))</f>
        <v>0</v>
      </c>
      <c r="D32" s="1790"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IF(项目基本情况!B11="自然人","——",IF(D33="按租金收入计税",ROUND(C5*F33,0),IF(D33="按房产原值计税",ROUND(C29*F33*0.7,0),INDIRECT("'数据-取费表'!Aj"&amp;$G$1))))</f>
        <v>0</v>
      </c>
      <c r="D33" s="1820" t="s">
        <v>1438</v>
      </c>
      <c r="E33" s="343" t="s">
        <v>1422</v>
      </c>
      <c r="F33" s="363">
        <f>IF(D33="按票据","——",IF(D33="按租金收入计税",'数据-取费表'!B51,'数据-取费表'!B50))</f>
        <v>1.2E-2</v>
      </c>
      <c r="G33" s="1843"/>
      <c r="H33" s="1851"/>
      <c r="I33" s="1852"/>
      <c r="J33" s="1853"/>
      <c r="K33" s="1854"/>
      <c r="L33" s="1851"/>
      <c r="M33" s="1851"/>
    </row>
    <row r="34" spans="1:18" ht="18" customHeight="1">
      <c r="A34" s="1284" t="s">
        <v>1389</v>
      </c>
      <c r="B34" s="161" t="s">
        <v>1441</v>
      </c>
      <c r="C34" s="25">
        <f ca="1">IF(项目基本情况!B11="自然人","——",ROUND(F34*F35,))</f>
        <v>0</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0</v>
      </c>
      <c r="G35" s="1843"/>
      <c r="H35" s="741"/>
      <c r="I35" s="1852"/>
      <c r="J35" s="1853"/>
      <c r="K35" s="1854"/>
      <c r="L35" s="1851"/>
      <c r="M35" s="1851"/>
    </row>
    <row r="36" spans="1:18" ht="18" customHeight="1">
      <c r="A36" s="1345" t="s">
        <v>1039</v>
      </c>
      <c r="B36" s="343" t="s">
        <v>1449</v>
      </c>
      <c r="C36" s="24">
        <f ca="1">ROUND(C29*F36,0)</f>
        <v>0</v>
      </c>
      <c r="D36" s="1790" t="s">
        <v>1482</v>
      </c>
      <c r="E36" s="343" t="s">
        <v>1422</v>
      </c>
      <c r="F36" s="370">
        <f ca="1">INDIRECT("'数据-取费表'!Ak"&amp;$G$1)</f>
        <v>0</v>
      </c>
      <c r="G36" s="1843"/>
      <c r="H36" s="1851"/>
      <c r="I36" s="1852"/>
      <c r="J36" s="1853"/>
      <c r="K36" s="747"/>
      <c r="L36" s="1851"/>
      <c r="M36" s="1851"/>
    </row>
    <row r="37" spans="1:18" ht="18" customHeight="1">
      <c r="A37" s="1194" t="s">
        <v>1075</v>
      </c>
      <c r="B37" s="343" t="s">
        <v>1453</v>
      </c>
      <c r="C37" s="24">
        <f ca="1">ROUND(C13*F37,0)</f>
        <v>0</v>
      </c>
      <c r="D37" s="1790" t="s">
        <v>1454</v>
      </c>
      <c r="E37" s="343" t="s">
        <v>1455</v>
      </c>
      <c r="F37" s="372">
        <f ca="1">INDIRECT("'数据-取费表'!Al"&amp;$G$1)</f>
        <v>0</v>
      </c>
      <c r="G37" s="1843"/>
      <c r="H37" s="1851"/>
      <c r="I37" s="1852"/>
      <c r="J37" s="1853"/>
      <c r="K37" s="747"/>
      <c r="L37" s="1851"/>
      <c r="M37" s="1851"/>
    </row>
    <row r="38" spans="1:18" ht="18" customHeight="1" thickBot="1">
      <c r="A38" s="1332" t="s">
        <v>1393</v>
      </c>
      <c r="B38" s="1333" t="s">
        <v>1439</v>
      </c>
      <c r="C38" s="1334">
        <f ca="1">ROUND(C5*F38,1)</f>
        <v>0</v>
      </c>
      <c r="D38" s="1335" t="s">
        <v>1459</v>
      </c>
      <c r="E38" s="1333" t="s">
        <v>1455</v>
      </c>
      <c r="F38" s="1329">
        <f ca="1">INDIRECT("'数据-取费表'!Am"&amp;$G$1)</f>
        <v>0</v>
      </c>
      <c r="G38" s="1843"/>
      <c r="H38" s="1851"/>
      <c r="I38" s="1852"/>
      <c r="J38" s="1853"/>
      <c r="K38" s="1857"/>
      <c r="L38" s="1851"/>
      <c r="M38" s="1851"/>
    </row>
    <row r="39" spans="1:18" ht="24.6" customHeight="1" thickTop="1">
      <c r="A39" s="1322" t="s">
        <v>1031</v>
      </c>
      <c r="B39" s="1337" t="s">
        <v>1483</v>
      </c>
      <c r="C39" s="351">
        <f ca="1">C5-C30</f>
        <v>0</v>
      </c>
      <c r="D39" s="1338" t="s">
        <v>1484</v>
      </c>
      <c r="E39" s="1339"/>
      <c r="F39" s="1340"/>
      <c r="G39" s="1843"/>
      <c r="H39" s="1851"/>
      <c r="I39" s="1852"/>
      <c r="J39" s="1853"/>
      <c r="K39" s="1857"/>
      <c r="L39" s="1851"/>
      <c r="M39" s="1851"/>
    </row>
    <row r="40" spans="1:18" ht="18" customHeight="1">
      <c r="A40" s="340" t="s">
        <v>1032</v>
      </c>
      <c r="B40" s="341" t="s">
        <v>1485</v>
      </c>
      <c r="C40" s="342" t="e">
        <f ca="1">ROUND(C39*(1-((1+F42)/(1+F40))^F41)/(F40-F42),0)</f>
        <v>#DIV/0!</v>
      </c>
      <c r="D40" s="366" t="s">
        <v>1469</v>
      </c>
      <c r="E40" s="343" t="s">
        <v>1470</v>
      </c>
      <c r="F40" s="353">
        <f ca="1">INDIRECT("'数据-取费表'!I"&amp;$G$1)</f>
        <v>0</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0</v>
      </c>
      <c r="G41" s="1843"/>
      <c r="H41" s="728"/>
      <c r="I41" s="1852"/>
      <c r="J41" s="1853"/>
      <c r="K41" s="747"/>
      <c r="L41" s="728"/>
      <c r="M41" s="728"/>
    </row>
    <row r="42" spans="1:18" ht="18" customHeight="1">
      <c r="A42" s="349"/>
      <c r="B42" s="350"/>
      <c r="C42" s="351"/>
      <c r="D42" s="369"/>
      <c r="E42" s="343" t="s">
        <v>1477</v>
      </c>
      <c r="F42" s="353">
        <f ca="1">INDIRECT("'数据-取费表'!v"&amp;$G$1)</f>
        <v>0</v>
      </c>
      <c r="G42" s="1843"/>
      <c r="H42" s="728"/>
      <c r="I42" s="1852"/>
      <c r="J42" s="1853"/>
      <c r="K42" s="747"/>
      <c r="L42" s="728"/>
      <c r="M42" s="728"/>
    </row>
    <row r="43" spans="1:18" ht="18" customHeight="1" thickBot="1">
      <c r="A43" s="376" t="s">
        <v>1033</v>
      </c>
      <c r="B43" s="377" t="s">
        <v>1487</v>
      </c>
      <c r="C43" s="378" t="e">
        <f ca="1">ROUND(C40/F43,0)</f>
        <v>#DIV/0!</v>
      </c>
      <c r="D43" s="379" t="s">
        <v>1488</v>
      </c>
      <c r="E43" s="380" t="s">
        <v>1489</v>
      </c>
      <c r="F43" s="381">
        <f ca="1">INDIRECT("'数据-取费表'!k"&amp;$G$1)</f>
        <v>0</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1604</v>
      </c>
      <c r="E45" s="1858"/>
      <c r="F45" s="1858"/>
      <c r="O45" s="1861" t="s">
        <v>1519</v>
      </c>
      <c r="P45" s="1831"/>
      <c r="Q45" s="1831"/>
      <c r="R45" s="1831"/>
    </row>
    <row r="46" spans="1:18" s="1834" customFormat="1" ht="13.5" thickBot="1">
      <c r="A46" s="1862" t="s">
        <v>1520</v>
      </c>
      <c r="C46" s="1863" t="e">
        <f ca="1">ROUND(C45/10000,0)</f>
        <v>#DIV/0!</v>
      </c>
      <c r="D46" s="1864" t="str">
        <f>C2</f>
        <v>万元</v>
      </c>
      <c r="I46" s="1865" t="s">
        <v>1521</v>
      </c>
      <c r="J46" s="1866"/>
      <c r="K46" s="1867"/>
      <c r="L46" s="1868" t="e">
        <f ca="1">IF(M47="住宅",0,IF(L48&gt;J51,L60,J60))</f>
        <v>#DIV/0!</v>
      </c>
      <c r="O46" s="1869" t="s">
        <v>1522</v>
      </c>
      <c r="P46" s="1870" t="s">
        <v>1523</v>
      </c>
      <c r="Q46" s="1871" t="s">
        <v>1524</v>
      </c>
      <c r="R46" s="1871" t="s">
        <v>1525</v>
      </c>
    </row>
    <row r="47" spans="1:18" s="1834" customFormat="1" ht="13.5" thickBot="1">
      <c r="A47" s="1158" t="s">
        <v>1396</v>
      </c>
      <c r="B47" s="1190" t="s">
        <v>1397</v>
      </c>
      <c r="C47" s="1190" t="s">
        <v>1398</v>
      </c>
      <c r="D47" s="1190" t="s">
        <v>1399</v>
      </c>
      <c r="E47" s="1272" t="s">
        <v>1400</v>
      </c>
      <c r="F47" s="1273"/>
      <c r="G47" s="788"/>
      <c r="I47" s="1872" t="s">
        <v>1526</v>
      </c>
      <c r="J47" s="1873"/>
      <c r="K47" s="1874" t="s">
        <v>1527</v>
      </c>
      <c r="L47" s="1875">
        <f ca="1">INDIRECT("'数据-取费表'!d"&amp;$G$1)</f>
        <v>0</v>
      </c>
      <c r="M47" s="1830" t="str">
        <f>IF(ISNUMBER(FIND("住宅",C1)),"住宅","非住宅")</f>
        <v>非住宅</v>
      </c>
      <c r="O47" s="1876" t="s">
        <v>1040</v>
      </c>
      <c r="P47" s="1877" t="s">
        <v>1528</v>
      </c>
      <c r="Q47" s="1878" t="e">
        <f ca="1">C40+J29</f>
        <v>#DIV/0!</v>
      </c>
      <c r="R47" s="1878" t="s">
        <v>1529</v>
      </c>
    </row>
    <row r="48" spans="1:18" s="1834" customFormat="1" ht="28.5" thickBot="1">
      <c r="A48" s="1353" t="s">
        <v>1135</v>
      </c>
      <c r="B48" s="341" t="s">
        <v>1401</v>
      </c>
      <c r="C48" s="1809">
        <f ca="1">C49+C53+C55</f>
        <v>0</v>
      </c>
      <c r="D48" s="1355"/>
      <c r="E48" s="1356"/>
      <c r="F48" s="1174"/>
      <c r="G48" s="788"/>
      <c r="H48" s="789"/>
      <c r="I48" s="1879" t="s">
        <v>1530</v>
      </c>
      <c r="J48" s="1880"/>
      <c r="K48" s="1881" t="s">
        <v>1531</v>
      </c>
      <c r="L48" s="1882">
        <f ca="1">INDIRECT("'数据-取费表'!f"&amp;$G$1)</f>
        <v>0</v>
      </c>
      <c r="O48" s="1876" t="s">
        <v>1041</v>
      </c>
      <c r="P48" s="1877" t="s">
        <v>1532</v>
      </c>
      <c r="Q48" s="1878" t="e">
        <f ca="1">J60</f>
        <v>#DIV/0!</v>
      </c>
      <c r="R48" s="1878" t="s">
        <v>1533</v>
      </c>
    </row>
    <row r="49" spans="1:18" s="1834" customFormat="1" ht="13.5" thickBot="1">
      <c r="A49" s="1187" t="s">
        <v>1136</v>
      </c>
      <c r="B49" s="1821" t="s">
        <v>1490</v>
      </c>
      <c r="C49" s="1357">
        <f ca="1">ROUND(F49*F51*F50*(1-F52),0)</f>
        <v>0</v>
      </c>
      <c r="D49" s="1269" t="s">
        <v>1404</v>
      </c>
      <c r="E49" s="1822" t="s">
        <v>1491</v>
      </c>
      <c r="F49" s="1274"/>
      <c r="G49" s="1883"/>
      <c r="H49" s="789"/>
      <c r="I49" s="1879" t="s">
        <v>1534</v>
      </c>
      <c r="J49" s="1884"/>
      <c r="K49" s="1881" t="s">
        <v>1535</v>
      </c>
      <c r="L49" s="1885"/>
      <c r="O49" s="1886" t="s">
        <v>1042</v>
      </c>
      <c r="P49" s="1877" t="s">
        <v>1536</v>
      </c>
      <c r="Q49" s="1878">
        <f ca="1">C29</f>
        <v>0</v>
      </c>
      <c r="R49" s="1878" t="s">
        <v>1529</v>
      </c>
    </row>
    <row r="50" spans="1:18" s="1834" customFormat="1" ht="13.5" thickBot="1">
      <c r="A50" s="1188"/>
      <c r="B50" s="1191"/>
      <c r="C50" s="1192"/>
      <c r="D50" s="1165"/>
      <c r="E50" s="1270" t="s">
        <v>1406</v>
      </c>
      <c r="F50" s="1271">
        <f ca="1">F7</f>
        <v>0</v>
      </c>
      <c r="H50" s="789"/>
      <c r="I50" s="1879" t="s">
        <v>1537</v>
      </c>
      <c r="J50" s="1887">
        <f>SUMPRODUCT((I63:I65=J47)*(J62:L62=J48)*(J63:L65))</f>
        <v>0</v>
      </c>
      <c r="K50" s="1881" t="s">
        <v>1538</v>
      </c>
      <c r="L50" s="1885"/>
      <c r="M50" s="1888"/>
      <c r="O50" s="1886" t="s">
        <v>1043</v>
      </c>
      <c r="P50" s="1877" t="s">
        <v>1539</v>
      </c>
      <c r="Q50" s="1889" t="e">
        <f ca="1">J58</f>
        <v>#DIV/0!</v>
      </c>
      <c r="R50" s="1878"/>
    </row>
    <row r="51" spans="1:18" s="1834" customFormat="1" ht="13.5" thickBot="1">
      <c r="A51" s="1189"/>
      <c r="B51" s="1191"/>
      <c r="C51" s="1192"/>
      <c r="D51" s="1165"/>
      <c r="E51" s="1193" t="s">
        <v>1407</v>
      </c>
      <c r="F51" s="344">
        <f ca="1">F8</f>
        <v>0</v>
      </c>
      <c r="I51" s="1890" t="s">
        <v>1540</v>
      </c>
      <c r="J51" s="1891">
        <f>IF(J49="",J50,J49+J50-YEAR('数据-取费表'!B2))</f>
        <v>0</v>
      </c>
      <c r="K51" s="1892" t="s">
        <v>1541</v>
      </c>
      <c r="L51" s="1893">
        <f ca="1">ROUND(-PV(INDIRECT("'数据-取费表'!h"&amp;$G$1),L48,(C39-C13*C76),0),0)</f>
        <v>0</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t="b">
        <f>J53</f>
        <v>0</v>
      </c>
      <c r="R52" s="1878" t="s">
        <v>1546</v>
      </c>
    </row>
    <row r="53" spans="1:18" s="1834" customFormat="1" ht="30.75" customHeight="1" thickBot="1">
      <c r="A53" s="1354" t="s">
        <v>1137</v>
      </c>
      <c r="B53" s="365" t="s">
        <v>1409</v>
      </c>
      <c r="C53" s="357">
        <f ca="1">ROUND(IF(F53="押一",C49/12*F11,IF(F53="押二",C49/12*2*F11,IF(F53="押三",C49/12*3*F11,C54*F11))),0)</f>
        <v>0</v>
      </c>
      <c r="D53" s="1816" t="s">
        <v>3030</v>
      </c>
      <c r="E53" s="354" t="s">
        <v>1410</v>
      </c>
      <c r="F53" s="1359"/>
      <c r="I53" s="1897" t="s">
        <v>1547</v>
      </c>
      <c r="J53" s="1898" t="b">
        <f>IF(M47="住宅",IF(D1="——",MAX(J51,L48),IF(D1="在建（套用方法）",MAX(J51,L48-'数据-取费表'!B24),MAX(J51,L48-'数据-取费表'!B20))),IF(D1="——",MIN(J51,L48),IF(D1="在建（套用方法）",MIN(J51,L48-'数据-取费表'!B24),IF(D1="土地（套用方法）",MIN(J51,L48-'数据-取费表'!B20)))))</f>
        <v>0</v>
      </c>
      <c r="K53" s="3395" t="s">
        <v>1548</v>
      </c>
      <c r="L53" s="3396"/>
      <c r="O53" s="1876" t="s">
        <v>1046</v>
      </c>
      <c r="P53" s="1877" t="s">
        <v>1549</v>
      </c>
      <c r="Q53" s="1878" t="e">
        <f ca="1">Q47+Q48</f>
        <v>#DIV/0!</v>
      </c>
      <c r="R53" s="1878" t="s">
        <v>1047</v>
      </c>
    </row>
    <row r="54" spans="1:18" s="1834" customFormat="1" ht="13.5" thickBot="1">
      <c r="A54" s="1187"/>
      <c r="B54" s="1933" t="s">
        <v>1603</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1550</v>
      </c>
      <c r="P54" s="1831"/>
      <c r="Q54" s="1831"/>
      <c r="R54" s="1831"/>
    </row>
    <row r="55" spans="1:18" s="1834" customFormat="1" ht="13.5" thickBot="1">
      <c r="A55" s="1326" t="s">
        <v>1075</v>
      </c>
      <c r="B55" s="1819" t="s">
        <v>1413</v>
      </c>
      <c r="C55" s="1327"/>
      <c r="D55" s="1816"/>
      <c r="E55" s="1824"/>
      <c r="F55" s="1899"/>
      <c r="I55" s="1902" t="s">
        <v>1551</v>
      </c>
      <c r="J55" s="1903" t="e">
        <f ca="1">ROUND(IF(J47="钢混",J57/J50,1-(1-2%)*(J50-J57)/J50),3)</f>
        <v>#DIV/0!</v>
      </c>
      <c r="K55" s="1904" t="s">
        <v>1552</v>
      </c>
      <c r="L55" s="1905"/>
      <c r="O55" s="1869" t="s">
        <v>1522</v>
      </c>
      <c r="P55" s="1870" t="s">
        <v>1523</v>
      </c>
      <c r="Q55" s="1871" t="s">
        <v>1524</v>
      </c>
      <c r="R55" s="1871" t="s">
        <v>1525</v>
      </c>
    </row>
    <row r="56" spans="1:18" s="1834" customFormat="1" ht="36" customHeight="1" thickTop="1" thickBot="1">
      <c r="A56" s="1169">
        <v>2</v>
      </c>
      <c r="B56" s="1170" t="s">
        <v>1414</v>
      </c>
      <c r="C56" s="272">
        <f ca="1">C13</f>
        <v>0</v>
      </c>
      <c r="D56" s="1906"/>
      <c r="E56" s="1907"/>
      <c r="F56" s="1899"/>
      <c r="I56" s="1908" t="s">
        <v>1554</v>
      </c>
      <c r="J56" s="1909"/>
      <c r="K56" s="1879" t="s">
        <v>1555</v>
      </c>
      <c r="L56" s="1882">
        <f ca="1">IF(L48&lt;J51,"——",L48-J51)</f>
        <v>0</v>
      </c>
      <c r="O56" s="1876" t="s">
        <v>1040</v>
      </c>
      <c r="P56" s="1877" t="s">
        <v>1528</v>
      </c>
      <c r="Q56" s="1878" t="e">
        <f ca="1">C40+J29</f>
        <v>#DIV/0!</v>
      </c>
      <c r="R56" s="1878" t="s">
        <v>1529</v>
      </c>
    </row>
    <row r="57" spans="1:18" s="1834" customFormat="1" ht="24.75" thickBot="1">
      <c r="A57" s="1910"/>
      <c r="B57" s="1162" t="s">
        <v>1478</v>
      </c>
      <c r="C57" s="278">
        <f ca="1">C29</f>
        <v>0</v>
      </c>
      <c r="D57" s="1911"/>
      <c r="E57" s="1912"/>
      <c r="F57" s="1913"/>
      <c r="I57" s="1914" t="s">
        <v>1556</v>
      </c>
      <c r="J57" s="1915">
        <f ca="1">IF(OR(M47="住宅",J51&lt;L48,J56="是"),"——",J51-L48)</f>
        <v>0</v>
      </c>
      <c r="K57" s="1879" t="s">
        <v>1605</v>
      </c>
      <c r="L57" s="1882">
        <f ca="1">IF(L48&lt;J51,"——",IF(L55="比较法",L49,IF(L55="基准地价",L50,L51)))</f>
        <v>0</v>
      </c>
      <c r="O57" s="1876" t="s">
        <v>1041</v>
      </c>
      <c r="P57" s="1877" t="s">
        <v>1606</v>
      </c>
      <c r="Q57" s="1878" t="e">
        <f ca="1">L60</f>
        <v>#DIV/0!</v>
      </c>
      <c r="R57" s="1878" t="s">
        <v>1607</v>
      </c>
    </row>
    <row r="58" spans="1:18" s="1834" customFormat="1" ht="24.75" thickBot="1">
      <c r="A58" s="356" t="s">
        <v>1030</v>
      </c>
      <c r="B58" s="1170" t="s">
        <v>1424</v>
      </c>
      <c r="C58" s="357">
        <f ca="1">ROUND(C59+C64+C65+C66,0)</f>
        <v>0</v>
      </c>
      <c r="D58" s="1172" t="s">
        <v>1425</v>
      </c>
      <c r="E58" s="1173"/>
      <c r="F58" s="1174"/>
      <c r="I58" s="1914" t="s">
        <v>1560</v>
      </c>
      <c r="J58" s="1916" t="e">
        <f ca="1">IF(J55&lt;0.4,0.4,J55)</f>
        <v>#DIV/0!</v>
      </c>
      <c r="K58" s="1892" t="s">
        <v>1608</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ROUND(IF(项目基本情况!B11="自然人",C48*F59,C60+C61+C62),0)</f>
        <v>0</v>
      </c>
      <c r="D59" s="1175" t="s">
        <v>1430</v>
      </c>
      <c r="E59" s="1176" t="s">
        <v>1431</v>
      </c>
      <c r="F59" s="364" t="str">
        <f ca="1">IF(项目基本情况!B11="企业","",IF(INDIRECT("'数据-取费表'!c"&amp;$G$1)="住宅",5%,IF(F49*F50*F51/12/(1+'数据-取费表'!C42)&gt;20000,12%,7%)))</f>
        <v/>
      </c>
      <c r="I59" s="1914" t="s">
        <v>1563</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IF(项目基本情况!B11="自然人","——",ROUND(C48*F60/(1+'数据-取费表'!C42),0))</f>
        <v>0</v>
      </c>
      <c r="D60" s="1176" t="s">
        <v>1434</v>
      </c>
      <c r="E60" s="1162" t="s">
        <v>1422</v>
      </c>
      <c r="F60" s="373">
        <f t="shared" ref="F60:F66" si="0">F32</f>
        <v>5.6000000000000001E-2</v>
      </c>
      <c r="I60" s="1917" t="s">
        <v>1565</v>
      </c>
      <c r="J60" s="1918" t="e">
        <f ca="1">IF(OR(M47="住宅",J51&lt;L48,J56="是"),"0",ROUND(J59/(1+J52)^J53,0))</f>
        <v>#DIV/0!</v>
      </c>
      <c r="K60" s="1919" t="s">
        <v>1566</v>
      </c>
      <c r="L60" s="1918" t="e">
        <f ca="1">IF(OR(M47="住宅",L48&lt;J51),0,ROUND(L57*(L58/L59-1),0))</f>
        <v>#DIV/0!</v>
      </c>
      <c r="O60" s="1886" t="s">
        <v>1044</v>
      </c>
      <c r="P60" s="1877" t="s">
        <v>1567</v>
      </c>
      <c r="Q60" s="1878" t="e">
        <f ca="1">L58</f>
        <v>#DIV/0!</v>
      </c>
      <c r="R60" s="1878" t="s">
        <v>1568</v>
      </c>
    </row>
    <row r="61" spans="1:18" s="1834" customFormat="1" ht="13.5" thickBot="1">
      <c r="A61" s="1194" t="s">
        <v>1492</v>
      </c>
      <c r="B61" s="1162" t="s">
        <v>1493</v>
      </c>
      <c r="C61" s="24">
        <f ca="1">IF(项目基本情况!B11="自然人","——",IF(D61="按租金收入计税",ROUND(C48*F61,0),IF(D61="按房产原值计税",ROUND(C57*F61*0.7,0),INDIRECT("'数据-取费表'!Aj"&amp;$G$1))))</f>
        <v>0</v>
      </c>
      <c r="D61" s="1820" t="s">
        <v>1438</v>
      </c>
      <c r="E61" s="1162" t="s">
        <v>1494</v>
      </c>
      <c r="F61" s="363">
        <f t="shared" si="0"/>
        <v>1.2E-2</v>
      </c>
      <c r="I61" s="1920"/>
      <c r="J61" s="1920"/>
      <c r="K61" s="1920"/>
      <c r="L61" s="1920"/>
      <c r="O61" s="1886" t="s">
        <v>1045</v>
      </c>
      <c r="P61" s="1877" t="str">
        <f>K59</f>
        <v>建设期及建筑物耐用年限下的土地年期修正系数Kn</v>
      </c>
      <c r="Q61" s="1878" t="e">
        <f ca="1">L59</f>
        <v>#DIV/0!</v>
      </c>
      <c r="R61" s="1878" t="s">
        <v>1569</v>
      </c>
    </row>
    <row r="62" spans="1:18" s="1834" customFormat="1" ht="13.5" thickBot="1">
      <c r="A62" s="1194" t="s">
        <v>1495</v>
      </c>
      <c r="B62" s="1161" t="s">
        <v>1496</v>
      </c>
      <c r="C62" s="25">
        <f ca="1">IF(项目基本情况!B11="自然人","——",ROUND(F62*F63,0))</f>
        <v>0</v>
      </c>
      <c r="D62" s="1177" t="s">
        <v>1497</v>
      </c>
      <c r="E62" s="1162" t="s">
        <v>1498</v>
      </c>
      <c r="F62" s="367">
        <f t="shared" si="0"/>
        <v>20</v>
      </c>
      <c r="I62" s="1921" t="s">
        <v>1570</v>
      </c>
      <c r="J62" s="1922" t="s">
        <v>1571</v>
      </c>
      <c r="K62" s="1922" t="s">
        <v>1572</v>
      </c>
      <c r="L62" s="1922" t="s">
        <v>1573</v>
      </c>
      <c r="M62" s="1923" t="s">
        <v>1574</v>
      </c>
      <c r="O62" s="1876" t="s">
        <v>1046</v>
      </c>
      <c r="P62" s="1877" t="s">
        <v>1575</v>
      </c>
      <c r="Q62" s="1878" t="e">
        <f ca="1">Q56+Q57</f>
        <v>#DIV/0!</v>
      </c>
      <c r="R62" s="1878" t="s">
        <v>1047</v>
      </c>
    </row>
    <row r="63" spans="1:18" s="1834" customFormat="1" ht="13.5" thickBot="1">
      <c r="A63" s="368"/>
      <c r="B63" s="1168"/>
      <c r="C63" s="29"/>
      <c r="D63" s="1178"/>
      <c r="E63" s="1162" t="s">
        <v>1499</v>
      </c>
      <c r="F63" s="344">
        <f t="shared" ca="1" si="0"/>
        <v>0</v>
      </c>
      <c r="I63" s="1921" t="s">
        <v>1576</v>
      </c>
      <c r="J63" s="1922">
        <v>70</v>
      </c>
      <c r="K63" s="1922">
        <v>50</v>
      </c>
      <c r="L63" s="1922">
        <v>80</v>
      </c>
      <c r="M63" s="1924">
        <v>0.02</v>
      </c>
      <c r="O63" s="1861" t="s">
        <v>1577</v>
      </c>
      <c r="P63" s="1831"/>
      <c r="Q63" s="1831"/>
      <c r="R63" s="1831"/>
    </row>
    <row r="64" spans="1:18" s="1834" customFormat="1" ht="13.5" thickBot="1">
      <c r="A64" s="1194" t="s">
        <v>1500</v>
      </c>
      <c r="B64" s="1162" t="s">
        <v>1501</v>
      </c>
      <c r="C64" s="24">
        <f ca="1">ROUND(C57*F64,0)</f>
        <v>0</v>
      </c>
      <c r="D64" s="1176" t="s">
        <v>1502</v>
      </c>
      <c r="E64" s="1162" t="s">
        <v>1494</v>
      </c>
      <c r="F64" s="370">
        <f t="shared" ca="1" si="0"/>
        <v>0</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ROUND(C56*F65,0)</f>
        <v>0</v>
      </c>
      <c r="D65" s="1176" t="s">
        <v>1454</v>
      </c>
      <c r="E65" s="1162" t="s">
        <v>1455</v>
      </c>
      <c r="F65" s="372">
        <f t="shared" ca="1" si="0"/>
        <v>0</v>
      </c>
      <c r="I65" s="1921" t="s">
        <v>1579</v>
      </c>
      <c r="J65" s="1922">
        <v>40</v>
      </c>
      <c r="K65" s="1922">
        <v>30</v>
      </c>
      <c r="L65" s="1922">
        <v>50</v>
      </c>
      <c r="M65" s="1924">
        <v>0.02</v>
      </c>
      <c r="O65" s="1876" t="s">
        <v>1040</v>
      </c>
      <c r="P65" s="1877" t="s">
        <v>1580</v>
      </c>
      <c r="Q65" s="1878" t="e">
        <f ca="1">C40+J29</f>
        <v>#DIV/0!</v>
      </c>
      <c r="R65" s="1878" t="s">
        <v>1529</v>
      </c>
    </row>
    <row r="66" spans="1:18" s="1834" customFormat="1" ht="16.5" thickBot="1">
      <c r="A66" s="1194" t="s">
        <v>1504</v>
      </c>
      <c r="B66" s="1162" t="s">
        <v>1439</v>
      </c>
      <c r="C66" s="24">
        <f ca="1">ROUND(C48*F66,0)</f>
        <v>0</v>
      </c>
      <c r="D66" s="1176" t="s">
        <v>1505</v>
      </c>
      <c r="E66" s="1162" t="s">
        <v>1422</v>
      </c>
      <c r="F66" s="353">
        <f t="shared" ca="1" si="0"/>
        <v>0</v>
      </c>
      <c r="O66" s="1876" t="s">
        <v>1041</v>
      </c>
      <c r="P66" s="1877" t="s">
        <v>1558</v>
      </c>
      <c r="Q66" s="1878" t="e">
        <f ca="1">L60</f>
        <v>#DIV/0!</v>
      </c>
      <c r="R66" s="1878" t="s">
        <v>1581</v>
      </c>
    </row>
    <row r="67" spans="1:18" s="1834" customFormat="1" ht="16.5" thickBot="1">
      <c r="A67" s="1169" t="s">
        <v>1031</v>
      </c>
      <c r="B67" s="1179" t="s">
        <v>1463</v>
      </c>
      <c r="C67" s="357">
        <f ca="1">C48-C58</f>
        <v>0</v>
      </c>
      <c r="D67" s="1175" t="s">
        <v>1464</v>
      </c>
      <c r="E67" s="1180"/>
      <c r="F67" s="1181"/>
      <c r="O67" s="1886" t="s">
        <v>1042</v>
      </c>
      <c r="P67" s="1877" t="s">
        <v>1562</v>
      </c>
      <c r="Q67" s="1925">
        <f ca="1">L51</f>
        <v>0</v>
      </c>
      <c r="R67" s="1878" t="s">
        <v>1582</v>
      </c>
    </row>
    <row r="68" spans="1:18" s="1834" customFormat="1" ht="16.5" thickBot="1">
      <c r="A68" s="1159" t="s">
        <v>1032</v>
      </c>
      <c r="B68" s="1160" t="s">
        <v>1485</v>
      </c>
      <c r="C68" s="342" t="e">
        <f ca="1">ROUND(C67*(1-((1+F70)/(1+F68))^F69)/(F68-F70),0)</f>
        <v>#DIV/0!</v>
      </c>
      <c r="D68" s="1177" t="s">
        <v>1469</v>
      </c>
      <c r="E68" s="1162" t="s">
        <v>1470</v>
      </c>
      <c r="F68" s="353">
        <f ca="1">F40</f>
        <v>0</v>
      </c>
      <c r="O68" s="1886" t="s">
        <v>1043</v>
      </c>
      <c r="P68" s="1926" t="s">
        <v>1583</v>
      </c>
      <c r="Q68" s="1878">
        <f ca="1">ROUND(Q69-Q70*Q71,0)</f>
        <v>0</v>
      </c>
      <c r="R68" s="1878" t="s">
        <v>1051</v>
      </c>
    </row>
    <row r="69" spans="1:18" s="1834" customFormat="1" ht="13.5" thickBot="1">
      <c r="A69" s="1163"/>
      <c r="B69" s="1164"/>
      <c r="C69" s="347"/>
      <c r="D69" s="1182" t="s">
        <v>1473</v>
      </c>
      <c r="E69" s="1162" t="s">
        <v>1474</v>
      </c>
      <c r="F69" s="375">
        <f ca="1">F41</f>
        <v>0</v>
      </c>
      <c r="O69" s="1886" t="s">
        <v>1048</v>
      </c>
      <c r="P69" s="1926" t="s">
        <v>1584</v>
      </c>
      <c r="Q69" s="1878">
        <f ca="1">C39</f>
        <v>0</v>
      </c>
      <c r="R69" s="1878" t="s">
        <v>1529</v>
      </c>
    </row>
    <row r="70" spans="1:18" s="1834" customFormat="1" ht="13.5" thickBot="1">
      <c r="A70" s="1166"/>
      <c r="B70" s="1167"/>
      <c r="C70" s="351"/>
      <c r="D70" s="1178"/>
      <c r="E70" s="1162" t="s">
        <v>1477</v>
      </c>
      <c r="F70" s="1268">
        <f ca="1">F42</f>
        <v>0</v>
      </c>
      <c r="O70" s="1886" t="s">
        <v>1049</v>
      </c>
      <c r="P70" s="1926" t="s">
        <v>1585</v>
      </c>
      <c r="Q70" s="1878">
        <f ca="1">C13</f>
        <v>0</v>
      </c>
      <c r="R70" s="1878" t="s">
        <v>1529</v>
      </c>
    </row>
    <row r="71" spans="1:18" s="1834" customFormat="1" ht="13.5" thickBot="1">
      <c r="A71" s="1183" t="s">
        <v>1033</v>
      </c>
      <c r="B71" s="1184" t="s">
        <v>1487</v>
      </c>
      <c r="C71" s="378" t="e">
        <f ca="1">ROUND(C68/F71,0)</f>
        <v>#DIV/0!</v>
      </c>
      <c r="D71" s="1185" t="s">
        <v>1488</v>
      </c>
      <c r="E71" s="1186" t="s">
        <v>1489</v>
      </c>
      <c r="F71" s="381">
        <f ca="1">F43</f>
        <v>0</v>
      </c>
      <c r="O71" s="1886" t="s">
        <v>1050</v>
      </c>
      <c r="P71" s="1926" t="s">
        <v>1586</v>
      </c>
      <c r="Q71" s="1889">
        <f ca="1">C76</f>
        <v>0</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建设期及建筑物耐用年限下的土地年期修正系数Kn</v>
      </c>
      <c r="Q74" s="1878" t="e">
        <f ca="1">L59</f>
        <v>#DIV/0!</v>
      </c>
      <c r="R74" s="1878" t="s">
        <v>1569</v>
      </c>
    </row>
    <row r="75" spans="1:18" ht="13.5" thickBot="1">
      <c r="A75" s="1834"/>
      <c r="B75" s="382" t="s">
        <v>1506</v>
      </c>
      <c r="C75" s="383">
        <f ca="1">ROUND(C13*C76,0)</f>
        <v>0</v>
      </c>
      <c r="D75" s="1834"/>
      <c r="E75" s="1834"/>
      <c r="F75" s="1834"/>
      <c r="K75" s="1860"/>
      <c r="L75" s="1834"/>
      <c r="O75" s="1876" t="s">
        <v>1046</v>
      </c>
      <c r="P75" s="1877" t="s">
        <v>1549</v>
      </c>
      <c r="Q75" s="1878" t="e">
        <f ca="1">Q65+Q66</f>
        <v>#DIV/0!</v>
      </c>
      <c r="R75" s="1878" t="s">
        <v>1047</v>
      </c>
    </row>
    <row r="76" spans="1:18">
      <c r="B76" s="384" t="s">
        <v>1507</v>
      </c>
      <c r="C76" s="385">
        <f ca="1">INDIRECT("'数据-取费表'!j"&amp;$G$1)</f>
        <v>0</v>
      </c>
      <c r="I76" s="1834"/>
      <c r="J76" s="1834"/>
      <c r="K76" s="1860"/>
      <c r="L76" s="1834"/>
    </row>
    <row r="77" spans="1:18">
      <c r="B77" s="386" t="s">
        <v>1508</v>
      </c>
      <c r="C77" s="387"/>
      <c r="I77" s="1834"/>
      <c r="J77" s="1834"/>
      <c r="K77" s="1860"/>
      <c r="L77" s="1834"/>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9"/>
    </sheetView>
  </sheetViews>
  <sheetFormatPr defaultColWidth="8.875" defaultRowHeight="14.25"/>
  <cols>
    <col min="1" max="1" width="23.625" style="1937" customWidth="1"/>
    <col min="2" max="2" width="12" style="1937" customWidth="1"/>
    <col min="3" max="3" width="8.875" style="1937"/>
    <col min="4" max="4" width="14.125" style="1937" customWidth="1"/>
    <col min="5" max="5" width="8.875" style="1937"/>
    <col min="6" max="6" width="12.875" style="1937" customWidth="1"/>
    <col min="7" max="16384" width="8.875" style="1937"/>
  </cols>
  <sheetData>
    <row r="1" spans="1:6" ht="21">
      <c r="A1" s="2551" t="s">
        <v>2513</v>
      </c>
      <c r="B1" s="2552"/>
      <c r="C1" s="2552"/>
      <c r="D1" s="2552"/>
      <c r="E1" s="2553"/>
    </row>
    <row r="2" spans="1:6" ht="15.75">
      <c r="A2" s="2554" t="s">
        <v>2317</v>
      </c>
      <c r="B2" s="2555">
        <f ca="1">SUMIF(B6:B13,"&lt;&gt;#ref!",B6:B13)</f>
        <v>454153</v>
      </c>
      <c r="C2" s="2556" t="s">
        <v>2506</v>
      </c>
      <c r="D2" s="2557" t="s">
        <v>2507</v>
      </c>
      <c r="E2" s="2558">
        <f>SUM(E6:E13)</f>
        <v>286936.32999999996</v>
      </c>
    </row>
    <row r="3" spans="1:6" ht="15.75">
      <c r="A3" s="2554" t="s">
        <v>1395</v>
      </c>
      <c r="B3" s="2555">
        <f ca="1">ROUND(B2*10000/E2,0)</f>
        <v>15828</v>
      </c>
      <c r="C3" s="2556" t="s">
        <v>2514</v>
      </c>
      <c r="D3" s="2559"/>
      <c r="E3" s="2560"/>
    </row>
    <row r="4" spans="1:6" ht="15.75">
      <c r="A4" s="2561"/>
      <c r="B4" s="2559"/>
      <c r="C4" s="2559"/>
      <c r="D4" s="2559"/>
      <c r="E4" s="2560"/>
    </row>
    <row r="5" spans="1:6" ht="15">
      <c r="A5" s="2562" t="s">
        <v>2508</v>
      </c>
      <c r="B5" s="3429" t="s">
        <v>2509</v>
      </c>
      <c r="C5" s="3429"/>
      <c r="D5" s="2563"/>
      <c r="E5" s="2564" t="s">
        <v>2510</v>
      </c>
      <c r="F5" s="2565" t="s">
        <v>2511</v>
      </c>
    </row>
    <row r="6" spans="1:6">
      <c r="A6" s="2566" t="str">
        <f>'数据-取费表'!AN6</f>
        <v>收益法（地上商业）</v>
      </c>
      <c r="B6" s="2565">
        <f ca="1">IF(F6="是",'数据-取费表'!AO6,0)</f>
        <v>134442</v>
      </c>
      <c r="C6" s="2556" t="s">
        <v>2506</v>
      </c>
      <c r="D6" s="2559"/>
      <c r="E6" s="2567">
        <f>IF(OR(A6=0,F6="否"),0,'数据-取费表'!K6+'数据-取费表'!S6)</f>
        <v>46546.200000000004</v>
      </c>
      <c r="F6" s="2568" t="s">
        <v>2512</v>
      </c>
    </row>
    <row r="7" spans="1:6">
      <c r="A7" s="2566" t="str">
        <f>'数据-取费表'!AN7</f>
        <v>收益法（地下商业）</v>
      </c>
      <c r="B7" s="2565">
        <f ca="1">IF(F7="是",'数据-取费表'!AO7,0)</f>
        <v>80673</v>
      </c>
      <c r="C7" s="2556" t="s">
        <v>2506</v>
      </c>
      <c r="D7" s="2559"/>
      <c r="E7" s="2567">
        <f>IF(OR(A7=0,F7="否"),0,'数据-取费表'!K7+'数据-取费表'!S7)</f>
        <v>33945.74</v>
      </c>
      <c r="F7" s="2568" t="s">
        <v>2512</v>
      </c>
    </row>
    <row r="8" spans="1:6">
      <c r="A8" s="2566" t="str">
        <f>'数据-取费表'!AN8</f>
        <v>收益法（办公）</v>
      </c>
      <c r="B8" s="2565">
        <f ca="1">IF(F8="是",'数据-取费表'!AO8,0)</f>
        <v>186057</v>
      </c>
      <c r="C8" s="2556" t="s">
        <v>2506</v>
      </c>
      <c r="D8" s="2559"/>
      <c r="E8" s="2567">
        <f>IF(OR(A8=0,F8="否"),0,'数据-取费表'!K8+'数据-取费表'!S8)</f>
        <v>86362.65</v>
      </c>
      <c r="F8" s="2568" t="s">
        <v>2512</v>
      </c>
    </row>
    <row r="9" spans="1:6">
      <c r="A9" s="2566">
        <f>'数据-取费表'!AN9</f>
        <v>0</v>
      </c>
      <c r="B9" s="2565" t="e">
        <f ca="1">IF(F9="是",'数据-取费表'!AO9,0)</f>
        <v>#REF!</v>
      </c>
      <c r="C9" s="2556" t="s">
        <v>2506</v>
      </c>
      <c r="D9" s="2559"/>
      <c r="E9" s="2567">
        <f>IF(OR(A9=0,F9="否"),0,'数据-取费表'!K9+'数据-取费表'!S9)</f>
        <v>0</v>
      </c>
      <c r="F9" s="2568" t="s">
        <v>2512</v>
      </c>
    </row>
    <row r="10" spans="1:6">
      <c r="A10" s="2566" t="str">
        <f>'数据-取费表'!AN10</f>
        <v>收益法（地下车位）</v>
      </c>
      <c r="B10" s="2565">
        <f ca="1">IF(F10="是",'数据-取费表'!AO10,0)</f>
        <v>52981</v>
      </c>
      <c r="C10" s="2556" t="s">
        <v>2506</v>
      </c>
      <c r="D10" s="2559"/>
      <c r="E10" s="2567">
        <f>IF(OR(A10=0,F10="否"),0,'数据-取费表'!K10+'数据-取费表'!S10)</f>
        <v>120081.73999999999</v>
      </c>
      <c r="F10" s="2568" t="s">
        <v>2512</v>
      </c>
    </row>
    <row r="11" spans="1:6">
      <c r="A11" s="2566">
        <f>'数据-取费表'!AN11</f>
        <v>0</v>
      </c>
      <c r="B11" s="2565" t="e">
        <f ca="1">IF(F11="是",'数据-取费表'!AO11,0)</f>
        <v>#REF!</v>
      </c>
      <c r="C11" s="2556" t="s">
        <v>2506</v>
      </c>
      <c r="D11" s="2559"/>
      <c r="E11" s="2567">
        <f>IF(OR(A11=0,F11="否"),0,'数据-取费表'!K11+'数据-取费表'!S11)</f>
        <v>0</v>
      </c>
      <c r="F11" s="2568" t="s">
        <v>2512</v>
      </c>
    </row>
    <row r="12" spans="1:6">
      <c r="A12" s="2566">
        <f>'数据-取费表'!AN12</f>
        <v>0</v>
      </c>
      <c r="B12" s="2565" t="e">
        <f ca="1">IF(F12="是",'数据-取费表'!AO12,0)</f>
        <v>#REF!</v>
      </c>
      <c r="C12" s="2556" t="s">
        <v>2506</v>
      </c>
      <c r="D12" s="2559"/>
      <c r="E12" s="2567">
        <f>IF(OR(A12=0,F12="否"),0,'数据-取费表'!K12+'数据-取费表'!S12)</f>
        <v>0</v>
      </c>
      <c r="F12" s="2568" t="s">
        <v>2512</v>
      </c>
    </row>
    <row r="13" spans="1:6" ht="15" thickBot="1">
      <c r="A13" s="2569">
        <f>'数据-取费表'!AN13</f>
        <v>0</v>
      </c>
      <c r="B13" s="2565" t="e">
        <f ca="1">IF(F13="是",'数据-取费表'!AO13,0)</f>
        <v>#REF!</v>
      </c>
      <c r="C13" s="2570" t="s">
        <v>2506</v>
      </c>
      <c r="D13" s="2571"/>
      <c r="E13" s="2567">
        <f>IF(OR(A13=0,F13="否"),0,'数据-取费表'!K13+'数据-取费表'!S13)</f>
        <v>0</v>
      </c>
      <c r="F13" s="2568"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2" customWidth="1"/>
    <col min="2" max="2" width="37.125" style="1952" customWidth="1"/>
    <col min="3" max="3" width="11.375" style="1952" customWidth="1"/>
    <col min="4" max="4" width="31.625" style="1952" customWidth="1"/>
    <col min="5" max="5" width="0.5" style="1952" customWidth="1"/>
    <col min="6" max="7" width="13" style="1952" customWidth="1"/>
    <col min="8" max="16384" width="8.875" style="1952"/>
  </cols>
  <sheetData>
    <row r="1" spans="1:5" ht="18.75">
      <c r="A1" s="1950" t="s">
        <v>1621</v>
      </c>
      <c r="B1" s="1951"/>
      <c r="C1" s="1951"/>
      <c r="D1" s="1951"/>
      <c r="E1" s="1951"/>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953"/>
      <c r="B4" s="3162" t="s">
        <v>1630</v>
      </c>
      <c r="C4" s="3162"/>
      <c r="D4" s="3162"/>
      <c r="E4" s="1953"/>
    </row>
    <row r="5" spans="1:5" ht="16.5" thickTop="1">
      <c r="A5" s="1951"/>
      <c r="B5" s="3160" t="s">
        <v>1622</v>
      </c>
      <c r="C5" s="1954" t="s">
        <v>1623</v>
      </c>
      <c r="D5" s="1033">
        <f ca="1">结果表!H101</f>
        <v>405914</v>
      </c>
      <c r="E5" s="1951"/>
    </row>
    <row r="6" spans="1:5" ht="15.75">
      <c r="A6" s="1951"/>
      <c r="B6" s="3160"/>
      <c r="C6" s="1954" t="s">
        <v>1624</v>
      </c>
      <c r="D6" s="1033" t="str">
        <f ca="1">NUMBERSTRING(INT(D5*10000),2)&amp;"元整"</f>
        <v>肆拾亿伍仟玖佰壹拾肆万元整</v>
      </c>
      <c r="E6" s="1951"/>
    </row>
    <row r="7" spans="1:5" ht="15.75">
      <c r="A7" s="1951"/>
      <c r="B7" s="3165"/>
      <c r="C7" s="1955" t="s">
        <v>1625</v>
      </c>
      <c r="D7" s="1034">
        <f ca="1">结果表!H102</f>
        <v>10828</v>
      </c>
      <c r="E7" s="1951"/>
    </row>
    <row r="8" spans="1:5" ht="15.75">
      <c r="A8" s="1951"/>
      <c r="B8" s="3166" t="str">
        <f>结果表!E103</f>
        <v>2.估价师知悉的除抵押担保权以外的法定优先受偿款</v>
      </c>
      <c r="C8" s="1956" t="s">
        <v>1626</v>
      </c>
      <c r="D8" s="1034">
        <f>结果表!H103</f>
        <v>5816</v>
      </c>
      <c r="E8" s="1951"/>
    </row>
    <row r="9" spans="1:5" ht="15.75">
      <c r="A9" s="1951"/>
      <c r="B9" s="3168"/>
      <c r="C9" s="1954" t="s">
        <v>1624</v>
      </c>
      <c r="D9" s="1033" t="str">
        <f>NUMBERSTRING(INT(D8*10000),2)&amp;"元整"</f>
        <v>伍仟捌佰壹拾陆万元整</v>
      </c>
      <c r="E9" s="1951"/>
    </row>
    <row r="10" spans="1:5" ht="15">
      <c r="A10" s="1951"/>
      <c r="B10" s="1957" t="s">
        <v>1629</v>
      </c>
      <c r="C10" s="1958" t="s">
        <v>1627</v>
      </c>
      <c r="D10" s="1035">
        <f>结果表!H104</f>
        <v>0</v>
      </c>
      <c r="E10" s="1951"/>
    </row>
    <row r="11" spans="1:5" ht="15">
      <c r="A11" s="1951"/>
      <c r="B11" s="1957" t="s">
        <v>1631</v>
      </c>
      <c r="C11" s="1958" t="s">
        <v>1632</v>
      </c>
      <c r="D11" s="1035">
        <f>结果表!H105</f>
        <v>896</v>
      </c>
      <c r="E11" s="1951"/>
    </row>
    <row r="12" spans="1:5" ht="15">
      <c r="A12" s="1951"/>
      <c r="B12" s="1957" t="s">
        <v>1633</v>
      </c>
      <c r="C12" s="1958" t="s">
        <v>1632</v>
      </c>
      <c r="D12" s="1035">
        <f>结果表!H106</f>
        <v>4920</v>
      </c>
      <c r="E12" s="1951"/>
    </row>
    <row r="13" spans="1:5" ht="15.75">
      <c r="A13" s="1951"/>
      <c r="B13" s="3159" t="str">
        <f>结果表!E107</f>
        <v>——</v>
      </c>
      <c r="C13" s="1959" t="s">
        <v>1623</v>
      </c>
      <c r="D13" s="1036" t="str">
        <f>结果表!H107</f>
        <v>——</v>
      </c>
      <c r="E13" s="1951"/>
    </row>
    <row r="14" spans="1:5" ht="15.75">
      <c r="A14" s="1951"/>
      <c r="B14" s="3160"/>
      <c r="C14" s="1954" t="s">
        <v>1624</v>
      </c>
      <c r="D14" s="1033" t="e">
        <f>NUMBERSTRING(INT(D13*10000),2)&amp;"元整"</f>
        <v>#VALUE!</v>
      </c>
      <c r="E14" s="1951"/>
    </row>
    <row r="15" spans="1:5" ht="15">
      <c r="A15" s="1951"/>
      <c r="B15" s="3165"/>
      <c r="C15" s="1955" t="s">
        <v>1634</v>
      </c>
      <c r="D15" s="1045" t="e">
        <f>结果表!H108</f>
        <v>#VALUE!</v>
      </c>
      <c r="E15" s="1951"/>
    </row>
    <row r="16" spans="1:5" ht="15">
      <c r="A16" s="1951"/>
      <c r="B16" s="3166" t="str">
        <f>结果表!E109</f>
        <v>3.抵押担保权已注销时的房地产抵押价值</v>
      </c>
      <c r="C16" s="1959" t="s">
        <v>1635</v>
      </c>
      <c r="D16" s="1960">
        <f ca="1">结果表!H109</f>
        <v>400098</v>
      </c>
      <c r="E16" s="1951"/>
    </row>
    <row r="17" spans="1:5" ht="15.75">
      <c r="A17" s="1951"/>
      <c r="B17" s="3167"/>
      <c r="C17" s="1954" t="s">
        <v>1636</v>
      </c>
      <c r="D17" s="1033" t="str">
        <f ca="1">NUMBERSTRING(INT(D16*10000),2)&amp;"元整"</f>
        <v>肆拾亿零玖拾捌万元整</v>
      </c>
      <c r="E17" s="1951"/>
    </row>
    <row r="18" spans="1:5" ht="15">
      <c r="A18" s="1951"/>
      <c r="B18" s="3168"/>
      <c r="C18" s="1955" t="s">
        <v>1625</v>
      </c>
      <c r="D18" s="1045">
        <f ca="1">结果表!H110</f>
        <v>10673</v>
      </c>
      <c r="E18" s="1951"/>
    </row>
    <row r="19" spans="1:5" ht="15.75">
      <c r="A19" s="1951"/>
      <c r="B19" s="3159" t="str">
        <f>结果表!E111</f>
        <v>——</v>
      </c>
      <c r="C19" s="1959" t="s">
        <v>1623</v>
      </c>
      <c r="D19" s="1034" t="str">
        <f>结果表!H111</f>
        <v>——</v>
      </c>
      <c r="E19" s="1951"/>
    </row>
    <row r="20" spans="1:5" ht="15.75">
      <c r="A20" s="1951"/>
      <c r="B20" s="3160"/>
      <c r="C20" s="1954" t="s">
        <v>1636</v>
      </c>
      <c r="D20" s="1033" t="e">
        <f>NUMBERSTRING(INT(D19*10000),2)&amp;"元整"</f>
        <v>#VALUE!</v>
      </c>
      <c r="E20" s="1951"/>
    </row>
    <row r="21" spans="1:5" ht="15.75" thickBot="1">
      <c r="A21" s="1951"/>
      <c r="B21" s="3161"/>
      <c r="C21" s="1961" t="s">
        <v>1634</v>
      </c>
      <c r="D21" s="1046" t="str">
        <f>结果表!H112</f>
        <v>——</v>
      </c>
      <c r="E21" s="1951"/>
    </row>
    <row r="22" spans="1:5" ht="15" thickTop="1">
      <c r="A22" s="1951"/>
      <c r="B22" s="1962" t="s">
        <v>1637</v>
      </c>
      <c r="C22" s="1951"/>
      <c r="D22" s="1951"/>
      <c r="E22" s="1951"/>
    </row>
    <row r="23" spans="1:5">
      <c r="A23" s="1951"/>
      <c r="B23" s="1951"/>
      <c r="C23" s="1951"/>
      <c r="D23" s="1951"/>
      <c r="E23" s="1951"/>
    </row>
    <row r="24" spans="1:5" ht="18.75">
      <c r="A24" s="1963"/>
      <c r="B24" s="1964" t="s">
        <v>1628</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9"/>
    </sheetView>
  </sheetViews>
  <sheetFormatPr defaultColWidth="8.875" defaultRowHeight="13.5"/>
  <cols>
    <col min="1" max="1" width="10.5" customWidth="1"/>
    <col min="2" max="2" width="12.875" customWidth="1"/>
    <col min="3" max="3" width="8.625" customWidth="1"/>
  </cols>
  <sheetData>
    <row r="1" spans="1:9" ht="14.25">
      <c r="A1" s="3430" t="s">
        <v>1076</v>
      </c>
      <c r="B1" s="3431"/>
      <c r="C1" s="3432"/>
      <c r="D1" s="3433">
        <f>SUM(I10,I15,I20,I21,I23)</f>
        <v>0</v>
      </c>
      <c r="E1" s="3433"/>
      <c r="F1" s="3433"/>
      <c r="G1" s="3433"/>
      <c r="H1" s="3433"/>
      <c r="I1" s="3434"/>
    </row>
    <row r="2" spans="1:9">
      <c r="A2" s="3435" t="s">
        <v>1077</v>
      </c>
      <c r="B2" s="3436" t="s">
        <v>1078</v>
      </c>
      <c r="C2" s="3436"/>
      <c r="D2" s="1294" t="s">
        <v>1079</v>
      </c>
      <c r="E2" s="1294" t="s">
        <v>1080</v>
      </c>
      <c r="F2" s="1294" t="s">
        <v>1081</v>
      </c>
      <c r="G2" s="1294" t="s">
        <v>1082</v>
      </c>
      <c r="H2" s="1294" t="s">
        <v>1083</v>
      </c>
      <c r="I2" s="1295" t="s">
        <v>1084</v>
      </c>
    </row>
    <row r="3" spans="1:9">
      <c r="A3" s="3435"/>
      <c r="B3" s="3436" t="s">
        <v>1085</v>
      </c>
      <c r="C3" s="3436"/>
      <c r="D3" s="1296"/>
      <c r="E3" s="1294"/>
      <c r="F3" s="1297"/>
      <c r="G3" s="1297"/>
      <c r="H3" s="1298"/>
      <c r="I3" s="1299">
        <f>ROUND(D3*E3*F3*G3*H3/10000,0)</f>
        <v>0</v>
      </c>
    </row>
    <row r="4" spans="1:9">
      <c r="A4" s="3435"/>
      <c r="B4" s="3436" t="s">
        <v>1086</v>
      </c>
      <c r="C4" s="3436"/>
      <c r="D4" s="1296"/>
      <c r="E4" s="1294"/>
      <c r="F4" s="1297"/>
      <c r="G4" s="1297"/>
      <c r="H4" s="1298"/>
      <c r="I4" s="1299">
        <f t="shared" ref="I4:I9" si="0">ROUND(D4*E4*F4*G4*H4/10000,0)</f>
        <v>0</v>
      </c>
    </row>
    <row r="5" spans="1:9">
      <c r="A5" s="3435"/>
      <c r="B5" s="3436" t="s">
        <v>1087</v>
      </c>
      <c r="C5" s="3436"/>
      <c r="D5" s="1296"/>
      <c r="E5" s="1294"/>
      <c r="F5" s="1297"/>
      <c r="G5" s="1297"/>
      <c r="H5" s="1298"/>
      <c r="I5" s="1299">
        <f t="shared" si="0"/>
        <v>0</v>
      </c>
    </row>
    <row r="6" spans="1:9">
      <c r="A6" s="3435"/>
      <c r="B6" s="3436" t="s">
        <v>1088</v>
      </c>
      <c r="C6" s="3436"/>
      <c r="D6" s="1296"/>
      <c r="E6" s="1294"/>
      <c r="F6" s="1297"/>
      <c r="G6" s="1297"/>
      <c r="H6" s="1298"/>
      <c r="I6" s="1299">
        <f t="shared" si="0"/>
        <v>0</v>
      </c>
    </row>
    <row r="7" spans="1:9">
      <c r="A7" s="3435"/>
      <c r="B7" s="3436" t="s">
        <v>1089</v>
      </c>
      <c r="C7" s="3436"/>
      <c r="D7" s="1296"/>
      <c r="E7" s="1294"/>
      <c r="F7" s="1297"/>
      <c r="G7" s="1297"/>
      <c r="H7" s="1298"/>
      <c r="I7" s="1299">
        <f t="shared" si="0"/>
        <v>0</v>
      </c>
    </row>
    <row r="8" spans="1:9">
      <c r="A8" s="3435"/>
      <c r="B8" s="3436" t="s">
        <v>1090</v>
      </c>
      <c r="C8" s="3436"/>
      <c r="D8" s="1296"/>
      <c r="E8" s="1294"/>
      <c r="F8" s="1297"/>
      <c r="G8" s="1297"/>
      <c r="H8" s="1298"/>
      <c r="I8" s="1299">
        <f t="shared" si="0"/>
        <v>0</v>
      </c>
    </row>
    <row r="9" spans="1:9">
      <c r="A9" s="3435"/>
      <c r="B9" s="3436" t="s">
        <v>1091</v>
      </c>
      <c r="C9" s="3436"/>
      <c r="D9" s="1296"/>
      <c r="E9" s="1294"/>
      <c r="F9" s="1297"/>
      <c r="G9" s="1297"/>
      <c r="H9" s="1298"/>
      <c r="I9" s="1299">
        <f t="shared" si="0"/>
        <v>0</v>
      </c>
    </row>
    <row r="10" spans="1:9">
      <c r="A10" s="3435"/>
      <c r="B10" s="3437" t="s">
        <v>1092</v>
      </c>
      <c r="C10" s="3437"/>
      <c r="D10" s="1300"/>
      <c r="E10" s="1300" t="e">
        <f>ROUND(D1*10000/D10/H9,0)</f>
        <v>#DIV/0!</v>
      </c>
      <c r="F10" s="1301"/>
      <c r="G10" s="1301"/>
      <c r="H10" s="1302"/>
      <c r="I10" s="1303">
        <f>SUM(I3:I9)</f>
        <v>0</v>
      </c>
    </row>
    <row r="11" spans="1:9" ht="14.25">
      <c r="A11" s="3435" t="s">
        <v>1093</v>
      </c>
      <c r="B11" s="3436" t="s">
        <v>1094</v>
      </c>
      <c r="C11" s="3436"/>
      <c r="D11" s="1296" t="s">
        <v>1095</v>
      </c>
      <c r="E11" s="1296" t="s">
        <v>1096</v>
      </c>
      <c r="F11" s="1297" t="s">
        <v>1097</v>
      </c>
      <c r="G11" s="1297" t="s">
        <v>1083</v>
      </c>
      <c r="H11" s="1304" t="s">
        <v>1098</v>
      </c>
      <c r="I11" s="1295" t="s">
        <v>1084</v>
      </c>
    </row>
    <row r="12" spans="1:9">
      <c r="A12" s="3435"/>
      <c r="B12" s="3436" t="s">
        <v>1099</v>
      </c>
      <c r="C12" s="3436"/>
      <c r="D12" s="1296"/>
      <c r="E12" s="1296"/>
      <c r="F12" s="1297"/>
      <c r="G12" s="1298"/>
      <c r="H12" s="1305"/>
      <c r="I12" s="1295">
        <f>ROUND(D12*E12*F12*G12/10000,0)</f>
        <v>0</v>
      </c>
    </row>
    <row r="13" spans="1:9">
      <c r="A13" s="3435"/>
      <c r="B13" s="3436" t="s">
        <v>1100</v>
      </c>
      <c r="C13" s="3436"/>
      <c r="D13" s="1296"/>
      <c r="E13" s="1296"/>
      <c r="F13" s="1297"/>
      <c r="G13" s="1298"/>
      <c r="H13" s="1305"/>
      <c r="I13" s="1295">
        <f>ROUND(D13*E13*F13*G13/10000,0)</f>
        <v>0</v>
      </c>
    </row>
    <row r="14" spans="1:9">
      <c r="A14" s="3435"/>
      <c r="B14" s="3436" t="s">
        <v>1101</v>
      </c>
      <c r="C14" s="3436"/>
      <c r="D14" s="1296"/>
      <c r="E14" s="1296"/>
      <c r="F14" s="1297"/>
      <c r="G14" s="1298"/>
      <c r="H14" s="1305"/>
      <c r="I14" s="1295">
        <f>ROUND(D14*E14*F14*G14/10000,0)</f>
        <v>0</v>
      </c>
    </row>
    <row r="15" spans="1:9">
      <c r="A15" s="3435"/>
      <c r="B15" s="3437" t="s">
        <v>1092</v>
      </c>
      <c r="C15" s="3437"/>
      <c r="D15" s="1300"/>
      <c r="E15" s="1300">
        <f>SUM(E12:E14)</f>
        <v>0</v>
      </c>
      <c r="F15" s="1301"/>
      <c r="G15" s="1298"/>
      <c r="H15" s="1305"/>
      <c r="I15" s="1306">
        <f>SUM(I12:I14)</f>
        <v>0</v>
      </c>
    </row>
    <row r="16" spans="1:9" ht="24">
      <c r="A16" s="3435" t="s">
        <v>1102</v>
      </c>
      <c r="B16" s="3436" t="s">
        <v>1103</v>
      </c>
      <c r="C16" s="3436"/>
      <c r="D16" s="1296" t="s">
        <v>1079</v>
      </c>
      <c r="E16" s="1307" t="s">
        <v>1104</v>
      </c>
      <c r="F16" s="1297" t="s">
        <v>1105</v>
      </c>
      <c r="G16" s="1298" t="s">
        <v>1083</v>
      </c>
      <c r="H16" s="1304" t="s">
        <v>1098</v>
      </c>
      <c r="I16" s="1295" t="s">
        <v>1084</v>
      </c>
    </row>
    <row r="17" spans="1:9" ht="14.25">
      <c r="A17" s="3435"/>
      <c r="B17" s="3436" t="s">
        <v>1106</v>
      </c>
      <c r="C17" s="3436"/>
      <c r="D17" s="1296"/>
      <c r="E17" s="1296"/>
      <c r="F17" s="1297"/>
      <c r="G17" s="1298"/>
      <c r="H17" s="1308"/>
      <c r="I17" s="1309">
        <f>ROUND(D17*E17*F17*G17/10000,0)</f>
        <v>0</v>
      </c>
    </row>
    <row r="18" spans="1:9" ht="14.25">
      <c r="A18" s="3435"/>
      <c r="B18" s="3436" t="s">
        <v>1107</v>
      </c>
      <c r="C18" s="3436"/>
      <c r="D18" s="1296"/>
      <c r="E18" s="1296"/>
      <c r="F18" s="1297"/>
      <c r="G18" s="1298"/>
      <c r="H18" s="1308"/>
      <c r="I18" s="1309">
        <f>ROUND(D18*E18*F18*G18/10000,0)</f>
        <v>0</v>
      </c>
    </row>
    <row r="19" spans="1:9" ht="14.25">
      <c r="A19" s="3435"/>
      <c r="B19" s="3436" t="s">
        <v>1108</v>
      </c>
      <c r="C19" s="3436"/>
      <c r="D19" s="1296"/>
      <c r="E19" s="1296"/>
      <c r="F19" s="1297"/>
      <c r="G19" s="1298"/>
      <c r="H19" s="1308"/>
      <c r="I19" s="1309">
        <f>ROUND(D19*E19*F19*G19/10000,0)</f>
        <v>0</v>
      </c>
    </row>
    <row r="20" spans="1:9">
      <c r="A20" s="3435"/>
      <c r="B20" s="3437" t="s">
        <v>1092</v>
      </c>
      <c r="C20" s="3437"/>
      <c r="D20" s="1300">
        <f>SUM(D17:D19)</f>
        <v>0</v>
      </c>
      <c r="E20" s="1300"/>
      <c r="F20" s="1301"/>
      <c r="G20" s="1298"/>
      <c r="H20" s="1305"/>
      <c r="I20" s="1306">
        <f>SUM(I17:I19)</f>
        <v>0</v>
      </c>
    </row>
    <row r="21" spans="1:9">
      <c r="A21" s="3435" t="s">
        <v>1109</v>
      </c>
      <c r="B21" s="3439"/>
      <c r="C21" s="3439"/>
      <c r="D21" s="3439"/>
      <c r="E21" s="3439"/>
      <c r="F21" s="3439"/>
      <c r="G21" s="3439"/>
      <c r="H21" s="1757">
        <v>0.1</v>
      </c>
      <c r="I21" s="1303">
        <f>ROUND(I10*H21,0)</f>
        <v>0</v>
      </c>
    </row>
    <row r="22" spans="1:9" ht="14.25">
      <c r="A22" s="3440" t="s">
        <v>1110</v>
      </c>
      <c r="B22" s="3441"/>
      <c r="C22" s="3442"/>
      <c r="D22" s="1310" t="s">
        <v>1111</v>
      </c>
      <c r="E22" s="1310" t="s">
        <v>1112</v>
      </c>
      <c r="F22" s="1311" t="s">
        <v>1113</v>
      </c>
      <c r="G22" s="1311" t="s">
        <v>1114</v>
      </c>
      <c r="H22" s="1304" t="s">
        <v>1115</v>
      </c>
      <c r="I22" s="1295" t="s">
        <v>1116</v>
      </c>
    </row>
    <row r="23" spans="1:9" ht="14.25" thickBot="1">
      <c r="A23" s="3443"/>
      <c r="B23" s="3444"/>
      <c r="C23" s="3445"/>
      <c r="D23" s="1312"/>
      <c r="E23" s="1312"/>
      <c r="F23" s="1312"/>
      <c r="G23" s="1313"/>
      <c r="H23" s="1314"/>
      <c r="I23" s="1315">
        <f>ROUND(E23*D23*F23*(1-G23)/10000,0)</f>
        <v>0</v>
      </c>
    </row>
    <row r="26" spans="1:9">
      <c r="A26" s="1316" t="s">
        <v>1117</v>
      </c>
      <c r="B26" s="1316"/>
      <c r="C26" s="1316"/>
      <c r="D26" s="1316"/>
      <c r="E26" s="3446">
        <f>C27-C30-C31-C32</f>
        <v>0</v>
      </c>
      <c r="F26" s="3446"/>
      <c r="G26" s="3446"/>
      <c r="H26" s="1729" t="s">
        <v>1340</v>
      </c>
    </row>
    <row r="27" spans="1:9">
      <c r="A27" s="1317">
        <v>1</v>
      </c>
      <c r="B27" s="1318" t="s">
        <v>1118</v>
      </c>
      <c r="C27" s="1318">
        <f>C28+C29</f>
        <v>0</v>
      </c>
      <c r="D27" s="1318"/>
      <c r="E27" s="3447"/>
      <c r="F27" s="3447"/>
      <c r="G27" s="3447"/>
    </row>
    <row r="28" spans="1:9">
      <c r="A28" s="1319" t="s">
        <v>1119</v>
      </c>
      <c r="B28" s="1318" t="s">
        <v>1120</v>
      </c>
      <c r="C28" s="1318"/>
      <c r="D28" s="1318"/>
      <c r="E28" s="3447"/>
      <c r="F28" s="3447"/>
      <c r="G28" s="3447"/>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438"/>
      <c r="F32" s="3438"/>
      <c r="G32" s="3438"/>
    </row>
    <row r="33" spans="1:7" hidden="1">
      <c r="A33" s="3448" t="s">
        <v>1129</v>
      </c>
      <c r="B33" s="3449"/>
      <c r="C33" s="3449"/>
      <c r="D33" s="3450"/>
      <c r="E33" s="3446"/>
      <c r="F33" s="3446"/>
      <c r="G33" s="3446"/>
    </row>
    <row r="34" spans="1:7" hidden="1">
      <c r="A34" s="1321">
        <v>1</v>
      </c>
      <c r="B34" s="1318" t="s">
        <v>1130</v>
      </c>
      <c r="C34" s="1318"/>
      <c r="D34" s="1318"/>
      <c r="E34" s="3447"/>
      <c r="F34" s="3447"/>
      <c r="G34" s="3447"/>
    </row>
    <row r="35" spans="1:7" hidden="1">
      <c r="A35" s="1321">
        <v>2</v>
      </c>
      <c r="B35" s="1318" t="s">
        <v>1131</v>
      </c>
      <c r="C35" s="1318"/>
      <c r="D35" s="1318"/>
      <c r="E35" s="3447"/>
      <c r="F35" s="3447"/>
      <c r="G35" s="3447"/>
    </row>
    <row r="36" spans="1:7" hidden="1">
      <c r="A36" s="1321">
        <v>3</v>
      </c>
      <c r="B36" s="1318" t="s">
        <v>1132</v>
      </c>
      <c r="C36" s="1318"/>
      <c r="D36" s="1318"/>
      <c r="E36" s="3447"/>
      <c r="F36" s="3447"/>
      <c r="G36" s="3447"/>
    </row>
    <row r="37" spans="1:7" hidden="1">
      <c r="A37" s="1321">
        <v>4</v>
      </c>
      <c r="B37" s="1318" t="s">
        <v>1133</v>
      </c>
      <c r="C37" s="1318"/>
      <c r="D37" s="1318"/>
      <c r="E37" s="3447"/>
      <c r="F37" s="3447"/>
      <c r="G37" s="3447"/>
    </row>
    <row r="38" spans="1:7" hidden="1">
      <c r="A38" s="3448" t="s">
        <v>1134</v>
      </c>
      <c r="B38" s="3449"/>
      <c r="C38" s="3449"/>
      <c r="D38" s="3450"/>
      <c r="E38" s="3446"/>
      <c r="F38" s="3446"/>
      <c r="G38" s="34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7" zoomScale="7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3074</v>
      </c>
      <c r="D1" s="1812" t="s">
        <v>3078</v>
      </c>
      <c r="E1" s="1813" t="s">
        <v>1387</v>
      </c>
      <c r="F1" s="1276">
        <f ca="1">J53</f>
        <v>31.54</v>
      </c>
      <c r="G1" s="1828">
        <f>MATCH(C1,'数据-取费表'!A6:A16,0)+5</f>
        <v>10</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52981</v>
      </c>
      <c r="C2" s="1837" t="s">
        <v>1516</v>
      </c>
      <c r="D2" s="1837"/>
      <c r="E2" s="1838"/>
      <c r="F2" s="1839"/>
      <c r="G2" s="1840"/>
      <c r="H2" s="1832"/>
      <c r="I2" s="1832"/>
      <c r="J2" s="1832"/>
      <c r="K2" s="1833"/>
      <c r="L2" s="1832"/>
      <c r="M2" s="1832"/>
    </row>
    <row r="3" spans="1:37" ht="18" customHeight="1" thickBot="1">
      <c r="A3" s="1841" t="s">
        <v>1517</v>
      </c>
      <c r="B3" s="1842">
        <f ca="1">IF(ISERROR(B2*10000/F43),0,ROUND(B2*10000/F43,0))</f>
        <v>4592</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3790</v>
      </c>
      <c r="D5" s="1814" t="s">
        <v>1402</v>
      </c>
      <c r="E5" s="1286"/>
      <c r="F5" s="1287"/>
      <c r="G5" s="1843"/>
      <c r="H5" s="340">
        <v>1</v>
      </c>
      <c r="I5" s="341" t="s">
        <v>1401</v>
      </c>
      <c r="J5" s="1285">
        <f ca="1">J6+J10+J12</f>
        <v>0</v>
      </c>
      <c r="K5" s="1814" t="s">
        <v>1402</v>
      </c>
      <c r="L5" s="1286"/>
      <c r="M5" s="1287"/>
    </row>
    <row r="6" spans="1:37" ht="18" customHeight="1">
      <c r="A6" s="1284" t="s">
        <v>1035</v>
      </c>
      <c r="B6" s="3397" t="s">
        <v>1403</v>
      </c>
      <c r="C6" s="1289">
        <f ca="1">ROUND(F6*F8*F7*(1-F9)/10000,0)</f>
        <v>3790</v>
      </c>
      <c r="D6" s="161" t="s">
        <v>3019</v>
      </c>
      <c r="E6" s="343" t="s">
        <v>1405</v>
      </c>
      <c r="F6" s="344">
        <f ca="1">INDIRECT("'数据-取费表'!u"&amp;$G$1)</f>
        <v>1</v>
      </c>
      <c r="G6" s="1843"/>
      <c r="H6" s="1284" t="s">
        <v>1035</v>
      </c>
      <c r="I6" s="3397" t="s">
        <v>1403</v>
      </c>
      <c r="J6" s="342">
        <f ca="1">ROUND(M6*M8*M7*(1-M9)/10000,0)</f>
        <v>0</v>
      </c>
      <c r="K6" s="161" t="s">
        <v>3018</v>
      </c>
      <c r="L6" s="343" t="s">
        <v>1405</v>
      </c>
      <c r="M6" s="344">
        <f ca="1">INDIRECT("'数据-取费表'!z"&amp;$G$1)</f>
        <v>0</v>
      </c>
    </row>
    <row r="7" spans="1:37" ht="18" customHeight="1">
      <c r="A7" s="1288"/>
      <c r="B7" s="3398"/>
      <c r="C7" s="1290"/>
      <c r="D7" s="348"/>
      <c r="E7" s="2943" t="s">
        <v>1406</v>
      </c>
      <c r="F7" s="344">
        <f ca="1">IF(INDIRECT("'数据-取费表'!ah"&amp;$G$1)="",INDIRECT("'数据-取费表'!k"&amp;$G$1),INDIRECT("'数据-取费表'!ah"&amp;$G$1))</f>
        <v>115386.06</v>
      </c>
      <c r="G7" s="1843"/>
      <c r="H7" s="345"/>
      <c r="I7" s="3398"/>
      <c r="J7" s="347"/>
      <c r="K7" s="348"/>
      <c r="L7" s="343" t="s">
        <v>1406</v>
      </c>
      <c r="M7" s="344">
        <f ca="1">F7</f>
        <v>115386.06</v>
      </c>
    </row>
    <row r="8" spans="1:37" ht="18" customHeight="1">
      <c r="A8" s="345"/>
      <c r="B8" s="3398"/>
      <c r="C8" s="347"/>
      <c r="D8" s="348"/>
      <c r="E8" s="343" t="s">
        <v>1407</v>
      </c>
      <c r="F8" s="344">
        <f ca="1">INDIRECT("'数据-取费表'!ai"&amp;$G$1)</f>
        <v>365</v>
      </c>
      <c r="G8" s="1843"/>
      <c r="H8" s="345"/>
      <c r="I8" s="3398"/>
      <c r="J8" s="347"/>
      <c r="K8" s="348"/>
      <c r="L8" s="343" t="s">
        <v>1407</v>
      </c>
      <c r="M8" s="344">
        <f ca="1">INDIRECT("'数据-取费表'!ai"&amp;$G$1)</f>
        <v>365</v>
      </c>
    </row>
    <row r="9" spans="1:37" ht="18" customHeight="1">
      <c r="A9" s="345"/>
      <c r="B9" s="3399"/>
      <c r="C9" s="347"/>
      <c r="D9" s="348"/>
      <c r="E9" s="343" t="s">
        <v>1408</v>
      </c>
      <c r="F9" s="353">
        <f ca="1">INDIRECT("'数据-取费表'!w"&amp;$G$1)</f>
        <v>0.1</v>
      </c>
      <c r="G9" s="1843"/>
      <c r="H9" s="345"/>
      <c r="I9" s="3399"/>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68125</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48032</v>
      </c>
      <c r="D14" s="2936" t="s">
        <v>1418</v>
      </c>
      <c r="E14" s="2934"/>
      <c r="F14" s="360"/>
      <c r="G14" s="1843"/>
      <c r="H14" s="1194" t="s">
        <v>1035</v>
      </c>
      <c r="I14" s="343" t="s">
        <v>1419</v>
      </c>
      <c r="J14" s="24">
        <f ca="1">C29</f>
        <v>68125</v>
      </c>
      <c r="K14" s="2942"/>
      <c r="L14" s="972"/>
      <c r="M14" s="973"/>
    </row>
    <row r="15" spans="1:37" s="1850" customFormat="1" ht="18" customHeight="1" thickBot="1">
      <c r="A15" s="1194" t="s">
        <v>1036</v>
      </c>
      <c r="B15" s="343" t="s">
        <v>1420</v>
      </c>
      <c r="C15" s="24">
        <f ca="1">ROUND(C14*F15,0)</f>
        <v>1441</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1270</v>
      </c>
      <c r="K16" s="1330" t="s">
        <v>1425</v>
      </c>
      <c r="L16" s="2937"/>
      <c r="M16" s="1287"/>
    </row>
    <row r="17" spans="1:37" s="1850" customFormat="1" ht="18" customHeight="1">
      <c r="A17" s="1194" t="s">
        <v>1390</v>
      </c>
      <c r="B17" s="343" t="s">
        <v>1426</v>
      </c>
      <c r="C17" s="24">
        <f ca="1">ROUND(F17*(F43+INDIRECT("'数据-取费表'!S"&amp;$G$1))/10000,0)</f>
        <v>2402</v>
      </c>
      <c r="D17" s="343" t="s">
        <v>1427</v>
      </c>
      <c r="E17" s="343" t="s">
        <v>1428</v>
      </c>
      <c r="F17" s="26">
        <f>'数据-取费表'!B35</f>
        <v>200</v>
      </c>
      <c r="G17" s="1846"/>
      <c r="H17" s="1194" t="s">
        <v>1035</v>
      </c>
      <c r="I17" s="343" t="s">
        <v>1429</v>
      </c>
      <c r="J17" s="24">
        <f ca="1">ROUND(IF(项目基本情况!B11="自然人",J5*M17,J18+J19+J20),1)</f>
        <v>588.4</v>
      </c>
      <c r="K17" s="2936" t="s">
        <v>1430</v>
      </c>
      <c r="L17" s="2935"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720</v>
      </c>
      <c r="D18" s="343" t="s">
        <v>1421</v>
      </c>
      <c r="E18" s="343" t="s">
        <v>1422</v>
      </c>
      <c r="F18" s="363">
        <f>'数据-取费表'!B36</f>
        <v>1.4999999999999999E-2</v>
      </c>
      <c r="G18" s="1846"/>
      <c r="H18" s="1194" t="s">
        <v>1034</v>
      </c>
      <c r="I18" s="343" t="s">
        <v>1433</v>
      </c>
      <c r="J18" s="24">
        <f ca="1">ROUND(J5*M18/(1+'数据-取费表'!C42),2)</f>
        <v>0</v>
      </c>
      <c r="K18" s="2935"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52595</v>
      </c>
      <c r="D19" s="137" t="s">
        <v>1436</v>
      </c>
      <c r="E19" s="2941"/>
      <c r="F19" s="26"/>
      <c r="G19" s="1843"/>
      <c r="H19" s="1194" t="s">
        <v>1036</v>
      </c>
      <c r="I19" s="343" t="s">
        <v>1437</v>
      </c>
      <c r="J19" s="24">
        <f ca="1">IF(K19="按租金收入计税",ROUND(J5*M19,2),ROUND(C29*M19*0.7,2))</f>
        <v>572.25</v>
      </c>
      <c r="K19" s="1820" t="s">
        <v>1438</v>
      </c>
      <c r="L19" s="343" t="s">
        <v>1422</v>
      </c>
      <c r="M19" s="363">
        <f>IF(K19="按租金收入计税",'数据-取费表'!B51,'数据-取费表'!B50)</f>
        <v>1.2E-2</v>
      </c>
    </row>
    <row r="20" spans="1:37" s="1850" customFormat="1" ht="18" customHeight="1">
      <c r="A20" s="1194" t="s">
        <v>1039</v>
      </c>
      <c r="B20" s="343" t="s">
        <v>1439</v>
      </c>
      <c r="C20" s="24">
        <f ca="1">ROUND(C19*F20,0)</f>
        <v>1578</v>
      </c>
      <c r="D20" s="365" t="s">
        <v>1440</v>
      </c>
      <c r="E20" s="343" t="s">
        <v>1422</v>
      </c>
      <c r="F20" s="363">
        <f>'数据-取费表'!B37</f>
        <v>0.03</v>
      </c>
      <c r="G20" s="1846"/>
      <c r="H20" s="1194" t="s">
        <v>1389</v>
      </c>
      <c r="I20" s="161" t="s">
        <v>1441</v>
      </c>
      <c r="J20" s="25">
        <f ca="1">ROUND(M20*M21/10000,2)</f>
        <v>16.100000000000001</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8051.68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2941"/>
      <c r="F22" s="26"/>
      <c r="G22" s="1843"/>
      <c r="H22" s="1194" t="s">
        <v>1039</v>
      </c>
      <c r="I22" s="343" t="s">
        <v>1449</v>
      </c>
      <c r="J22" s="24">
        <f ca="1">ROUND(J14*M22,1)</f>
        <v>681.3</v>
      </c>
      <c r="K22" s="2935"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5268</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2935"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2941"/>
      <c r="F25" s="26"/>
      <c r="G25" s="1843"/>
      <c r="H25" s="1322" t="s">
        <v>1031</v>
      </c>
      <c r="I25" s="1337" t="s">
        <v>1463</v>
      </c>
      <c r="J25" s="351">
        <f ca="1">J5-J16</f>
        <v>-1270</v>
      </c>
      <c r="K25" s="1338" t="s">
        <v>1464</v>
      </c>
      <c r="L25" s="1339"/>
      <c r="M25" s="1340"/>
    </row>
    <row r="26" spans="1:37">
      <c r="A26" s="1194" t="s">
        <v>1034</v>
      </c>
      <c r="B26" s="343" t="s">
        <v>1465</v>
      </c>
      <c r="C26" s="24">
        <f ca="1">ROUND((C19+C20)*F26,0)</f>
        <v>2709</v>
      </c>
      <c r="D26" s="365" t="s">
        <v>1466</v>
      </c>
      <c r="E26" s="354" t="s">
        <v>1467</v>
      </c>
      <c r="F26" s="353">
        <f ca="1">INDIRECT("'数据-取费表'!q"&amp;$G$1)</f>
        <v>0.05</v>
      </c>
      <c r="G26" s="1843"/>
      <c r="H26" s="340" t="s">
        <v>1032</v>
      </c>
      <c r="I26" s="341" t="s">
        <v>1468</v>
      </c>
      <c r="J26" s="342">
        <f ca="1">IF(J5&lt;&gt;0,ROUND(J25*(1-((1+M28)/(1+M26))^M27)/(M26-M28),0),0)</f>
        <v>0</v>
      </c>
      <c r="K26" s="366" t="s">
        <v>1469</v>
      </c>
      <c r="L26" s="343" t="s">
        <v>1470</v>
      </c>
      <c r="M26" s="353">
        <f ca="1">INDIRECT("'数据-取费表'!I"&amp;$G$1)</f>
        <v>0.05</v>
      </c>
    </row>
    <row r="27" spans="1:37" ht="18" customHeight="1">
      <c r="A27" s="1194" t="s">
        <v>1036</v>
      </c>
      <c r="B27" s="343" t="s">
        <v>1471</v>
      </c>
      <c r="C27" s="24">
        <f ca="1">ROUND(F21*F26,4)</f>
        <v>1.5E-3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68125</v>
      </c>
      <c r="D29" s="1335"/>
      <c r="E29" s="1333"/>
      <c r="F29" s="1336"/>
      <c r="G29" s="1846"/>
      <c r="H29" s="376" t="s">
        <v>1033</v>
      </c>
      <c r="I29" s="377" t="s">
        <v>1479</v>
      </c>
      <c r="J29" s="378">
        <f ca="1">ROUND(J26/(1+F40)^F41,0)</f>
        <v>0</v>
      </c>
      <c r="K29" s="379" t="s">
        <v>1480</v>
      </c>
      <c r="L29" s="380"/>
      <c r="M29" s="381">
        <f ca="1">INDIRECT("'数据-取费表'!k"&amp;$G$1)</f>
        <v>115386.06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1460</v>
      </c>
      <c r="D30" s="1330" t="s">
        <v>1425</v>
      </c>
      <c r="E30" s="2937"/>
      <c r="F30" s="1287"/>
      <c r="G30" s="1843"/>
      <c r="H30" s="741"/>
      <c r="I30" s="742"/>
      <c r="J30" s="743"/>
      <c r="K30" s="744"/>
      <c r="L30" s="745"/>
      <c r="M30" s="746"/>
    </row>
    <row r="31" spans="1:37" ht="18" customHeight="1">
      <c r="A31" s="1194" t="s">
        <v>1035</v>
      </c>
      <c r="B31" s="343" t="s">
        <v>1429</v>
      </c>
      <c r="C31" s="24">
        <f ca="1">ROUND(IF(项目基本情况!B11="自然人",C5*F31,C32+C33+C34),1)</f>
        <v>673</v>
      </c>
      <c r="D31" s="2936" t="s">
        <v>1430</v>
      </c>
      <c r="E31" s="2935"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202.13</v>
      </c>
      <c r="D32" s="2935"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454.8</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16.100000000000001</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8051.68</v>
      </c>
      <c r="G35" s="1843"/>
      <c r="H35" s="741"/>
      <c r="I35" s="1852"/>
      <c r="J35" s="1853"/>
      <c r="K35" s="1854"/>
      <c r="L35" s="1851"/>
      <c r="M35" s="1851"/>
    </row>
    <row r="36" spans="1:18" ht="18" customHeight="1">
      <c r="A36" s="1345" t="s">
        <v>1039</v>
      </c>
      <c r="B36" s="343" t="s">
        <v>1449</v>
      </c>
      <c r="C36" s="24">
        <f ca="1">ROUND(C29*F36,1)</f>
        <v>681.3</v>
      </c>
      <c r="D36" s="2935"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68.099999999999994</v>
      </c>
      <c r="D37" s="2935"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37.9</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2330</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52981</v>
      </c>
      <c r="D40" s="366" t="s">
        <v>1469</v>
      </c>
      <c r="E40" s="343" t="s">
        <v>1470</v>
      </c>
      <c r="F40" s="353">
        <f ca="1">INDIRECT("'数据-取费表'!I"&amp;$G$1)</f>
        <v>0.05</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0.03</v>
      </c>
      <c r="G42" s="1843"/>
      <c r="H42" s="728"/>
      <c r="I42" s="1852"/>
      <c r="J42" s="1853"/>
      <c r="K42" s="747"/>
      <c r="L42" s="728"/>
      <c r="M42" s="728"/>
    </row>
    <row r="43" spans="1:18" ht="18" customHeight="1" thickBot="1">
      <c r="A43" s="376" t="s">
        <v>1033</v>
      </c>
      <c r="B43" s="377" t="s">
        <v>1487</v>
      </c>
      <c r="C43" s="378">
        <f ca="1">ROUND(C40*10000/F43,0)</f>
        <v>4592</v>
      </c>
      <c r="D43" s="379" t="s">
        <v>1488</v>
      </c>
      <c r="E43" s="380" t="s">
        <v>1489</v>
      </c>
      <c r="F43" s="381">
        <f ca="1">INDIRECT("'数据-取费表'!k"&amp;$G$1)</f>
        <v>115386.06</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-154891</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52981</v>
      </c>
      <c r="R47" s="1878" t="s">
        <v>1529</v>
      </c>
    </row>
    <row r="48" spans="1:18" s="1834" customFormat="1" ht="28.5" thickBot="1">
      <c r="A48" s="1353" t="s">
        <v>1135</v>
      </c>
      <c r="B48" s="341" t="s">
        <v>1401</v>
      </c>
      <c r="C48" s="2940">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68125</v>
      </c>
      <c r="R49" s="1878" t="s">
        <v>1529</v>
      </c>
    </row>
    <row r="50" spans="1:18" s="1834" customFormat="1" ht="13.5" thickBot="1">
      <c r="A50" s="1188"/>
      <c r="B50" s="1191"/>
      <c r="C50" s="1361"/>
      <c r="D50" s="1165"/>
      <c r="E50" s="1270" t="s">
        <v>1406</v>
      </c>
      <c r="F50" s="1271">
        <f ca="1">F7</f>
        <v>115386.06</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-58941</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395" t="s">
        <v>1548</v>
      </c>
      <c r="L53" s="3396"/>
      <c r="O53" s="1876" t="s">
        <v>1046</v>
      </c>
      <c r="P53" s="1877" t="s">
        <v>1549</v>
      </c>
      <c r="Q53" s="1878">
        <f ca="1">Q47+Q48</f>
        <v>52981</v>
      </c>
      <c r="R53" s="1878" t="s">
        <v>1047</v>
      </c>
    </row>
    <row r="54" spans="1:18" s="1834" customFormat="1" ht="13.5" thickBot="1">
      <c r="A54" s="1399"/>
      <c r="B54" s="1817" t="s">
        <v>1388</v>
      </c>
      <c r="C54" s="1171"/>
      <c r="D54" s="1816"/>
      <c r="E54" s="2939"/>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2939"/>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68125</v>
      </c>
      <c r="D56" s="1906"/>
      <c r="E56" s="1907"/>
      <c r="F56" s="1899"/>
      <c r="I56" s="1908" t="s">
        <v>1554</v>
      </c>
      <c r="J56" s="1909" t="s">
        <v>3042</v>
      </c>
      <c r="K56" s="1879" t="s">
        <v>1555</v>
      </c>
      <c r="L56" s="1882" t="str">
        <f ca="1">IF(L48&lt;J51,"——",L48-J53)</f>
        <v>——</v>
      </c>
      <c r="O56" s="1876" t="s">
        <v>1040</v>
      </c>
      <c r="P56" s="1877" t="s">
        <v>1528</v>
      </c>
      <c r="Q56" s="1878">
        <f ca="1">C40+J29</f>
        <v>52981</v>
      </c>
      <c r="R56" s="1878" t="s">
        <v>1529</v>
      </c>
    </row>
    <row r="57" spans="1:18" s="1834" customFormat="1" ht="24.75" thickBot="1">
      <c r="A57" s="1910"/>
      <c r="B57" s="1162" t="s">
        <v>1478</v>
      </c>
      <c r="C57" s="278">
        <f ca="1">C29</f>
        <v>68125</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6488</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5738.6</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5722.5</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16.100000000000001</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52981</v>
      </c>
      <c r="R62" s="1878" t="s">
        <v>1047</v>
      </c>
    </row>
    <row r="63" spans="1:18" s="1834" customFormat="1" ht="13.5" thickBot="1">
      <c r="A63" s="368"/>
      <c r="B63" s="1168"/>
      <c r="C63" s="29"/>
      <c r="D63" s="1178"/>
      <c r="E63" s="1162" t="s">
        <v>1447</v>
      </c>
      <c r="F63" s="344">
        <f t="shared" ca="1" si="0"/>
        <v>8051.68</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681.3</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68.099999999999994</v>
      </c>
      <c r="D65" s="1176" t="s">
        <v>1454</v>
      </c>
      <c r="E65" s="1162" t="s">
        <v>1422</v>
      </c>
      <c r="F65" s="372">
        <f t="shared" ca="1" si="0"/>
        <v>1E-3</v>
      </c>
      <c r="I65" s="1921" t="s">
        <v>1579</v>
      </c>
      <c r="J65" s="1922">
        <v>40</v>
      </c>
      <c r="K65" s="1922">
        <v>30</v>
      </c>
      <c r="L65" s="1922">
        <v>50</v>
      </c>
      <c r="M65" s="1924">
        <v>0.02</v>
      </c>
      <c r="O65" s="1876" t="s">
        <v>1040</v>
      </c>
      <c r="P65" s="1877" t="s">
        <v>1528</v>
      </c>
      <c r="Q65" s="1878">
        <f ca="1">C40+J29</f>
        <v>52981</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-6488</v>
      </c>
      <c r="D67" s="1175" t="s">
        <v>1464</v>
      </c>
      <c r="E67" s="1180"/>
      <c r="F67" s="1181"/>
      <c r="O67" s="1886" t="s">
        <v>1042</v>
      </c>
      <c r="P67" s="1877" t="s">
        <v>1562</v>
      </c>
      <c r="Q67" s="1925">
        <f ca="1">L51</f>
        <v>-58941</v>
      </c>
      <c r="R67" s="1878" t="s">
        <v>1582</v>
      </c>
    </row>
    <row r="68" spans="1:18" s="1834" customFormat="1" ht="16.5" thickBot="1">
      <c r="A68" s="1159" t="s">
        <v>1032</v>
      </c>
      <c r="B68" s="1160" t="s">
        <v>1485</v>
      </c>
      <c r="C68" s="342">
        <f ca="1">ROUND(C67*(1-((1+F70)/(1+F68))^F69)/(F68-F70),0)</f>
        <v>-101910</v>
      </c>
      <c r="D68" s="1177" t="s">
        <v>1469</v>
      </c>
      <c r="E68" s="1162" t="s">
        <v>1470</v>
      </c>
      <c r="F68" s="353">
        <f ca="1">F40</f>
        <v>0.05</v>
      </c>
      <c r="O68" s="1886" t="s">
        <v>1043</v>
      </c>
      <c r="P68" s="1926" t="s">
        <v>1583</v>
      </c>
      <c r="Q68" s="1878">
        <f ca="1">ROUND(Q69-Q70*Q71,0)</f>
        <v>-3461</v>
      </c>
      <c r="R68" s="1878" t="s">
        <v>1051</v>
      </c>
    </row>
    <row r="69" spans="1:18" s="1834" customFormat="1" ht="13.5" thickBot="1">
      <c r="A69" s="1163"/>
      <c r="B69" s="1164"/>
      <c r="C69" s="347"/>
      <c r="D69" s="1182" t="s">
        <v>1473</v>
      </c>
      <c r="E69" s="1162" t="s">
        <v>1474</v>
      </c>
      <c r="F69" s="375">
        <f ca="1">F41</f>
        <v>31.54</v>
      </c>
      <c r="O69" s="1886" t="s">
        <v>1048</v>
      </c>
      <c r="P69" s="1926" t="s">
        <v>1584</v>
      </c>
      <c r="Q69" s="1878">
        <f ca="1">C39</f>
        <v>2330</v>
      </c>
      <c r="R69" s="1878" t="s">
        <v>1529</v>
      </c>
    </row>
    <row r="70" spans="1:18" s="1834" customFormat="1" ht="13.5" thickBot="1">
      <c r="A70" s="1166"/>
      <c r="B70" s="1167"/>
      <c r="C70" s="351"/>
      <c r="D70" s="1178"/>
      <c r="E70" s="1162" t="s">
        <v>1477</v>
      </c>
      <c r="F70" s="1268"/>
      <c r="O70" s="1886" t="s">
        <v>1049</v>
      </c>
      <c r="P70" s="1926" t="s">
        <v>1585</v>
      </c>
      <c r="Q70" s="1878">
        <f ca="1">C13</f>
        <v>68125</v>
      </c>
      <c r="R70" s="1878" t="s">
        <v>1529</v>
      </c>
    </row>
    <row r="71" spans="1:18" s="1834" customFormat="1" ht="13.5" thickBot="1">
      <c r="A71" s="1183" t="s">
        <v>1033</v>
      </c>
      <c r="B71" s="1184" t="s">
        <v>1487</v>
      </c>
      <c r="C71" s="378">
        <f ca="1">ROUND(C68*10000/F71,0)</f>
        <v>-8832</v>
      </c>
      <c r="D71" s="1185" t="s">
        <v>1488</v>
      </c>
      <c r="E71" s="1186" t="s">
        <v>1489</v>
      </c>
      <c r="F71" s="381">
        <f ca="1">F43</f>
        <v>115386.06</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5791</v>
      </c>
      <c r="D75" s="1834"/>
      <c r="E75" s="1834"/>
      <c r="F75" s="1834"/>
      <c r="K75" s="1860"/>
      <c r="L75" s="1834"/>
      <c r="O75" s="1876" t="s">
        <v>1046</v>
      </c>
      <c r="P75" s="1877" t="s">
        <v>1549</v>
      </c>
      <c r="Q75" s="1878">
        <f ca="1">Q65+Q66</f>
        <v>52981</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-1.4849999999999999</v>
      </c>
    </row>
    <row r="80" spans="1:18">
      <c r="B80" s="382" t="s">
        <v>1511</v>
      </c>
      <c r="C80" s="314">
        <f ca="1">ROUND(C75/C39,3)</f>
        <v>2.4849999999999999</v>
      </c>
    </row>
    <row r="81" spans="2:3">
      <c r="B81" s="310" t="s">
        <v>1512</v>
      </c>
      <c r="C81" s="278"/>
    </row>
    <row r="82" spans="2:3">
      <c r="B82" s="313" t="s">
        <v>1513</v>
      </c>
      <c r="C82" s="315">
        <f ca="1">1-C83</f>
        <v>-0.28600000000000003</v>
      </c>
    </row>
    <row r="83" spans="2:3">
      <c r="B83" s="313" t="s">
        <v>1514</v>
      </c>
      <c r="C83" s="314">
        <f ca="1">ROUND(C13/C40,3)</f>
        <v>1.286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2629</v>
      </c>
      <c r="C1" s="1626" t="s">
        <v>2517</v>
      </c>
      <c r="D1" s="1613"/>
      <c r="E1" s="2647"/>
      <c r="F1" s="2574"/>
      <c r="G1" s="1623" t="s">
        <v>2630</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4" customFormat="1" ht="28.5" customHeight="1" thickTop="1">
      <c r="A2" s="1609" t="s">
        <v>2317</v>
      </c>
      <c r="B2" s="1411" t="e">
        <f ca="1">IF(C2="——",ROUND(C49*D3/10000,0),ROUND(C49*D3/10000,0)-D2)</f>
        <v>#DIV/0!</v>
      </c>
      <c r="C2" s="2576"/>
      <c r="D2" s="1358" t="e">
        <f ca="1">SUMIF(INDIRECT("'"&amp;F2&amp;"'"&amp;"!A:A"),"承租人权益价值",INDIRECT("'"&amp;F2&amp;"'"&amp;"!c:c"))</f>
        <v>#REF!</v>
      </c>
      <c r="E2" s="2577" t="s">
        <v>2318</v>
      </c>
      <c r="F2" s="2578"/>
      <c r="G2" s="1118"/>
      <c r="H2" s="1118"/>
      <c r="I2" s="1118"/>
      <c r="J2" s="1118"/>
      <c r="K2" s="1118"/>
      <c r="L2" s="1121"/>
      <c r="M2" s="1122"/>
      <c r="N2" s="1122"/>
      <c r="O2" s="1122"/>
      <c r="P2" s="2651"/>
      <c r="Q2" s="1122"/>
      <c r="R2" s="1122"/>
      <c r="S2" s="1122"/>
      <c r="T2" s="1122"/>
      <c r="U2" s="1122"/>
      <c r="V2" s="1122"/>
      <c r="W2" s="1122"/>
      <c r="X2" s="1122"/>
      <c r="Y2" s="1122"/>
      <c r="Z2" s="1122"/>
      <c r="AA2" s="1122"/>
      <c r="AB2" s="1122"/>
      <c r="AC2" s="2652"/>
    </row>
    <row r="3" spans="1:29" s="394" customFormat="1" ht="28.5" customHeight="1" thickBot="1">
      <c r="A3" s="243" t="s">
        <v>2319</v>
      </c>
      <c r="B3" s="605" t="e">
        <f ca="1">IF(C2="——",C49,ROUND(B2*10000/D3,0))</f>
        <v>#DIV/0!</v>
      </c>
      <c r="C3" s="396" t="s">
        <v>2631</v>
      </c>
      <c r="D3" s="395">
        <f>IF(D1="",'数据-汇总表'!E3,SUMIF('数据-汇总表'!$C19:$C33,D1,'数据-汇总表'!$E19:$E33))</f>
        <v>374875.08999999997</v>
      </c>
      <c r="E3" s="2653"/>
      <c r="F3" s="1119"/>
      <c r="G3" s="1118"/>
      <c r="H3" s="1118"/>
      <c r="I3" s="1118"/>
      <c r="J3" s="1118"/>
      <c r="K3" s="1120"/>
      <c r="L3" s="1121"/>
      <c r="M3" s="1122"/>
      <c r="N3" s="1122"/>
      <c r="O3" s="1122"/>
      <c r="P3" s="2651"/>
      <c r="Q3" s="1122"/>
      <c r="R3" s="1122"/>
      <c r="S3" s="1122"/>
      <c r="T3" s="1122"/>
      <c r="U3" s="1122"/>
      <c r="V3" s="1122"/>
      <c r="W3" s="1122"/>
      <c r="X3" s="1122"/>
      <c r="Y3" s="1122"/>
      <c r="Z3" s="1122"/>
      <c r="AA3" s="1122"/>
      <c r="AB3" s="1122"/>
      <c r="AC3" s="2653"/>
    </row>
    <row r="4" spans="1:29" ht="15">
      <c r="A4" s="397" t="s">
        <v>2632</v>
      </c>
      <c r="B4" s="398"/>
      <c r="C4" s="3369" t="s">
        <v>2633</v>
      </c>
      <c r="D4" s="3370"/>
      <c r="E4" s="3371" t="s">
        <v>2634</v>
      </c>
      <c r="F4" s="3372"/>
      <c r="G4" s="3369" t="s">
        <v>2635</v>
      </c>
      <c r="H4" s="3370"/>
      <c r="I4" s="3369" t="s">
        <v>2636</v>
      </c>
      <c r="J4" s="3370"/>
      <c r="K4" s="606" t="s">
        <v>2637</v>
      </c>
      <c r="L4" s="1123"/>
      <c r="M4" s="1124"/>
      <c r="N4" s="1124"/>
      <c r="O4" s="1124"/>
      <c r="P4" s="3373" t="s">
        <v>2638</v>
      </c>
      <c r="Q4" s="3374"/>
      <c r="R4" s="3356" t="s">
        <v>2634</v>
      </c>
      <c r="S4" s="3357"/>
      <c r="T4" s="3356" t="s">
        <v>2635</v>
      </c>
      <c r="U4" s="3357"/>
      <c r="V4" s="3381" t="s">
        <v>2636</v>
      </c>
      <c r="W4" s="3381"/>
      <c r="X4" s="1805"/>
      <c r="Y4" s="3356" t="s">
        <v>2638</v>
      </c>
      <c r="Z4" s="3357"/>
      <c r="AA4" s="3351" t="s">
        <v>2634</v>
      </c>
      <c r="AB4" s="3381" t="s">
        <v>2635</v>
      </c>
      <c r="AC4" s="3351" t="s">
        <v>2636</v>
      </c>
    </row>
    <row r="5" spans="1:29" ht="15">
      <c r="A5" s="400"/>
      <c r="B5" s="401"/>
      <c r="C5" s="3362" t="s">
        <v>2529</v>
      </c>
      <c r="D5" s="3363"/>
      <c r="E5" s="3360" t="s">
        <v>2530</v>
      </c>
      <c r="F5" s="3361"/>
      <c r="G5" s="3362" t="s">
        <v>2531</v>
      </c>
      <c r="H5" s="3363"/>
      <c r="I5" s="3362" t="s">
        <v>2532</v>
      </c>
      <c r="J5" s="3363"/>
      <c r="K5" s="606"/>
      <c r="L5" s="1123"/>
      <c r="M5" s="1124"/>
      <c r="N5" s="1124"/>
      <c r="O5" s="1124"/>
      <c r="P5" s="3375"/>
      <c r="Q5" s="3376"/>
      <c r="R5" s="3358"/>
      <c r="S5" s="3359"/>
      <c r="T5" s="3358"/>
      <c r="U5" s="3359"/>
      <c r="V5" s="3381"/>
      <c r="W5" s="3381"/>
      <c r="X5" s="1805"/>
      <c r="Y5" s="3358"/>
      <c r="Z5" s="3359"/>
      <c r="AA5" s="3352"/>
      <c r="AB5" s="3381"/>
      <c r="AC5" s="3352"/>
    </row>
    <row r="6" spans="1:29" ht="15.75" thickBot="1">
      <c r="A6" s="402"/>
      <c r="B6" s="403"/>
      <c r="C6" s="3364" t="s">
        <v>2533</v>
      </c>
      <c r="D6" s="3365"/>
      <c r="E6" s="3366" t="s">
        <v>2533</v>
      </c>
      <c r="F6" s="3367"/>
      <c r="G6" s="3364" t="s">
        <v>2533</v>
      </c>
      <c r="H6" s="3365"/>
      <c r="I6" s="3364" t="s">
        <v>2533</v>
      </c>
      <c r="J6" s="3365"/>
      <c r="K6" s="606" t="s">
        <v>2534</v>
      </c>
      <c r="L6" s="1123"/>
      <c r="M6" s="1124"/>
      <c r="N6" s="1124"/>
      <c r="O6" s="1124"/>
      <c r="P6" s="3377"/>
      <c r="Q6" s="3378"/>
      <c r="R6" s="3358"/>
      <c r="S6" s="3359"/>
      <c r="T6" s="3379"/>
      <c r="U6" s="3380"/>
      <c r="V6" s="3381"/>
      <c r="W6" s="3381"/>
      <c r="X6" s="1805"/>
      <c r="Y6" s="3379"/>
      <c r="Z6" s="3380"/>
      <c r="AA6" s="3353"/>
      <c r="AB6" s="3381"/>
      <c r="AC6" s="3353"/>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607"/>
      <c r="L7" s="1125"/>
      <c r="M7" s="1126"/>
      <c r="N7" s="1126"/>
      <c r="O7" s="1126"/>
      <c r="P7" s="3354" t="s">
        <v>2536</v>
      </c>
      <c r="Q7" s="3382"/>
      <c r="R7" s="766" t="s">
        <v>17</v>
      </c>
      <c r="S7" s="767">
        <f t="shared" ref="S7:S15" si="0">F7</f>
        <v>0</v>
      </c>
      <c r="T7" s="766" t="s">
        <v>17</v>
      </c>
      <c r="U7" s="767">
        <f t="shared" ref="U7:U15" si="1">H7</f>
        <v>0</v>
      </c>
      <c r="V7" s="766" t="s">
        <v>17</v>
      </c>
      <c r="W7" s="767">
        <f t="shared" ref="W7:W15" si="2">J7</f>
        <v>0</v>
      </c>
      <c r="X7" s="768"/>
      <c r="Y7" s="3354" t="s">
        <v>2536</v>
      </c>
      <c r="Z7" s="3355"/>
      <c r="AA7" s="769" t="e">
        <f>D7/F7</f>
        <v>#DIV/0!</v>
      </c>
      <c r="AB7" s="769" t="e">
        <f>D7/H7</f>
        <v>#DIV/0!</v>
      </c>
      <c r="AC7" s="769" t="e">
        <f>D7/J7</f>
        <v>#DIV/0!</v>
      </c>
    </row>
    <row r="8" spans="1:29" s="116" customFormat="1" ht="15.75" thickBot="1">
      <c r="A8" s="404" t="s">
        <v>2537</v>
      </c>
      <c r="B8" s="405"/>
      <c r="C8" s="410" t="s">
        <v>2639</v>
      </c>
      <c r="D8" s="407">
        <v>100</v>
      </c>
      <c r="E8" s="410"/>
      <c r="F8" s="409">
        <f>SUMIF(61:61,E8,62:62)-SUMIF(61:61,C8,62:62)+100</f>
        <v>0</v>
      </c>
      <c r="G8" s="410"/>
      <c r="H8" s="407">
        <f>SUMIF(61:61,G8,62:62)-SUMIF(61:61,C8,62:62)+100</f>
        <v>0</v>
      </c>
      <c r="I8" s="410"/>
      <c r="J8" s="407">
        <f>SUMIF(61:61,I8,62:62)-SUMIF(61:61,C8,62:62)+100</f>
        <v>0</v>
      </c>
      <c r="K8" s="607"/>
      <c r="L8" s="1125"/>
      <c r="M8" s="1126"/>
      <c r="N8" s="1126"/>
      <c r="O8" s="1126"/>
      <c r="P8" s="3354" t="s">
        <v>2539</v>
      </c>
      <c r="Q8" s="3355"/>
      <c r="R8" s="766" t="s">
        <v>17</v>
      </c>
      <c r="S8" s="767">
        <f t="shared" si="0"/>
        <v>0</v>
      </c>
      <c r="T8" s="766" t="s">
        <v>17</v>
      </c>
      <c r="U8" s="767">
        <f t="shared" si="1"/>
        <v>0</v>
      </c>
      <c r="V8" s="766" t="s">
        <v>17</v>
      </c>
      <c r="W8" s="767">
        <f t="shared" si="2"/>
        <v>0</v>
      </c>
      <c r="X8" s="768"/>
      <c r="Y8" s="3354" t="s">
        <v>2539</v>
      </c>
      <c r="Z8" s="3355"/>
      <c r="AA8" s="769" t="e">
        <f t="shared" ref="AA8:AA46" si="3">D8/F8</f>
        <v>#DIV/0!</v>
      </c>
      <c r="AB8" s="769" t="e">
        <f t="shared" ref="AB8:AB46" si="4">D8/H8</f>
        <v>#DIV/0!</v>
      </c>
      <c r="AC8" s="769" t="e">
        <f t="shared" ref="AC8:AC46" si="5">D8/J8</f>
        <v>#DIV/0!</v>
      </c>
    </row>
    <row r="9" spans="1:29" s="116" customFormat="1">
      <c r="A9" s="411" t="s">
        <v>2540</v>
      </c>
      <c r="B9" s="71" t="s">
        <v>2541</v>
      </c>
      <c r="C9" s="412"/>
      <c r="D9" s="132">
        <v>100</v>
      </c>
      <c r="E9" s="413"/>
      <c r="F9" s="414">
        <f>SUMIF(63:63,E9,64:64)-SUMIF(63:63,C9,64:64)+100</f>
        <v>100</v>
      </c>
      <c r="G9" s="413"/>
      <c r="H9" s="132">
        <f>SUMIF(63:63,G9,64:64)-SUMIF(63:63,C9,64:64)+100</f>
        <v>100</v>
      </c>
      <c r="I9" s="413"/>
      <c r="J9" s="132">
        <f>SUMIF(63:63,I9,64:64)-SUMIF(63:63,C9,64:64)+100</f>
        <v>100</v>
      </c>
      <c r="K9" s="607"/>
      <c r="L9" s="1125"/>
      <c r="M9" s="1126"/>
      <c r="N9" s="1126"/>
      <c r="O9" s="1126"/>
      <c r="P9" s="3392" t="s">
        <v>2542</v>
      </c>
      <c r="Q9" s="1787" t="str">
        <f t="shared" ref="Q9:Q15" si="6">B9</f>
        <v>用途</v>
      </c>
      <c r="R9" s="766" t="s">
        <v>17</v>
      </c>
      <c r="S9" s="767">
        <f t="shared" si="0"/>
        <v>100</v>
      </c>
      <c r="T9" s="766" t="s">
        <v>17</v>
      </c>
      <c r="U9" s="767">
        <f t="shared" si="1"/>
        <v>100</v>
      </c>
      <c r="V9" s="766" t="s">
        <v>17</v>
      </c>
      <c r="W9" s="767">
        <f t="shared" si="2"/>
        <v>100</v>
      </c>
      <c r="X9" s="768"/>
      <c r="Y9" s="3224" t="s">
        <v>2543</v>
      </c>
      <c r="Z9" s="55" t="str">
        <f t="shared" ref="Z9:Z15" si="7">Q9</f>
        <v>用途</v>
      </c>
      <c r="AA9" s="769">
        <f t="shared" si="3"/>
        <v>1</v>
      </c>
      <c r="AB9" s="769">
        <f t="shared" si="4"/>
        <v>1</v>
      </c>
      <c r="AC9" s="769">
        <f t="shared" si="5"/>
        <v>1</v>
      </c>
    </row>
    <row r="10" spans="1:29" s="423" customFormat="1" ht="27">
      <c r="A10" s="417"/>
      <c r="B10" s="418" t="s">
        <v>2544</v>
      </c>
      <c r="C10" s="419"/>
      <c r="D10" s="133">
        <v>100</v>
      </c>
      <c r="E10" s="420"/>
      <c r="F10" s="421">
        <f>SUMIF(65:65,E10,66:66)-SUMIF(65:65,C10,66:66)+100</f>
        <v>100</v>
      </c>
      <c r="G10" s="419"/>
      <c r="H10" s="133">
        <f>SUMIF(65:65,G10,66:66)-SUMIF(65:65,C10,66:66)+100</f>
        <v>100</v>
      </c>
      <c r="I10" s="419"/>
      <c r="J10" s="133">
        <f>SUMIF(65:65,I10,66:66)-SUMIF(65:65,C10,66:66)+100</f>
        <v>100</v>
      </c>
      <c r="K10" s="608"/>
      <c r="L10" s="1128"/>
      <c r="M10" s="1129"/>
      <c r="N10" s="1129"/>
      <c r="O10" s="1129"/>
      <c r="P10" s="3392"/>
      <c r="Q10" s="1787" t="str">
        <f t="shared" si="6"/>
        <v>土地使用年限（年）</v>
      </c>
      <c r="R10" s="766" t="s">
        <v>17</v>
      </c>
      <c r="S10" s="767">
        <f t="shared" si="0"/>
        <v>100</v>
      </c>
      <c r="T10" s="766" t="s">
        <v>17</v>
      </c>
      <c r="U10" s="767">
        <f t="shared" si="1"/>
        <v>100</v>
      </c>
      <c r="V10" s="766" t="s">
        <v>17</v>
      </c>
      <c r="W10" s="767">
        <f t="shared" si="2"/>
        <v>100</v>
      </c>
      <c r="X10" s="768"/>
      <c r="Y10" s="3224"/>
      <c r="Z10" s="55" t="str">
        <f t="shared" si="7"/>
        <v>土地使用年限（年）</v>
      </c>
      <c r="AA10" s="769">
        <f t="shared" si="3"/>
        <v>1</v>
      </c>
      <c r="AB10" s="769">
        <f t="shared" si="4"/>
        <v>1</v>
      </c>
      <c r="AC10" s="769">
        <f t="shared" si="5"/>
        <v>1</v>
      </c>
    </row>
    <row r="11" spans="1:29" ht="15">
      <c r="A11" s="424"/>
      <c r="B11" s="418" t="s">
        <v>2545</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31"/>
      <c r="M11" s="1124"/>
      <c r="N11" s="1124"/>
      <c r="O11" s="1124"/>
      <c r="P11" s="3392"/>
      <c r="Q11" s="1787" t="str">
        <f t="shared" si="6"/>
        <v>容积率</v>
      </c>
      <c r="R11" s="766" t="s">
        <v>17</v>
      </c>
      <c r="S11" s="767" t="e">
        <f t="shared" si="0"/>
        <v>#N/A</v>
      </c>
      <c r="T11" s="766" t="s">
        <v>17</v>
      </c>
      <c r="U11" s="767" t="e">
        <f t="shared" si="1"/>
        <v>#N/A</v>
      </c>
      <c r="V11" s="766" t="s">
        <v>17</v>
      </c>
      <c r="W11" s="767" t="e">
        <f t="shared" si="2"/>
        <v>#N/A</v>
      </c>
      <c r="X11" s="768"/>
      <c r="Y11" s="3224"/>
      <c r="Z11" s="55" t="str">
        <f t="shared" si="7"/>
        <v>容积率</v>
      </c>
      <c r="AA11" s="769" t="e">
        <f t="shared" si="3"/>
        <v>#N/A</v>
      </c>
      <c r="AB11" s="769" t="e">
        <f t="shared" si="4"/>
        <v>#N/A</v>
      </c>
      <c r="AC11" s="769" t="e">
        <f t="shared" si="5"/>
        <v>#N/A</v>
      </c>
    </row>
    <row r="12" spans="1:29" s="116" customFormat="1" ht="15">
      <c r="A12" s="427"/>
      <c r="B12" s="2590">
        <v>111</v>
      </c>
      <c r="C12" s="428"/>
      <c r="D12" s="429">
        <v>100</v>
      </c>
      <c r="E12" s="430"/>
      <c r="F12" s="421">
        <f>SUMIF(70:70,E12,71:71)-SUMIF(70:70,C12,71:71)+100</f>
        <v>100</v>
      </c>
      <c r="G12" s="430"/>
      <c r="H12" s="133">
        <f>SUMIF(70:70,G12,71:71)-SUMIF(70:70,C12,71:71)+100</f>
        <v>100</v>
      </c>
      <c r="I12" s="430"/>
      <c r="J12" s="133">
        <f>SUMIF(70:70,I12,71:71)-SUMIF(70:70,C12,71:71)+100</f>
        <v>100</v>
      </c>
      <c r="K12" s="609"/>
      <c r="L12" s="1125"/>
      <c r="M12" s="1126"/>
      <c r="N12" s="1126"/>
      <c r="O12" s="1126"/>
      <c r="P12" s="3392"/>
      <c r="Q12" s="1787">
        <f t="shared" si="6"/>
        <v>111</v>
      </c>
      <c r="R12" s="766" t="s">
        <v>17</v>
      </c>
      <c r="S12" s="767">
        <f t="shared" si="0"/>
        <v>100</v>
      </c>
      <c r="T12" s="766" t="s">
        <v>17</v>
      </c>
      <c r="U12" s="767">
        <f t="shared" si="1"/>
        <v>100</v>
      </c>
      <c r="V12" s="766" t="s">
        <v>17</v>
      </c>
      <c r="W12" s="767">
        <f t="shared" si="2"/>
        <v>100</v>
      </c>
      <c r="X12" s="768"/>
      <c r="Y12" s="3224"/>
      <c r="Z12" s="55">
        <f t="shared" si="7"/>
        <v>111</v>
      </c>
      <c r="AA12" s="769">
        <f>D12/F12</f>
        <v>1</v>
      </c>
      <c r="AB12" s="769">
        <f>D12/H12</f>
        <v>1</v>
      </c>
      <c r="AC12" s="769">
        <f>D12/J12</f>
        <v>1</v>
      </c>
    </row>
    <row r="13" spans="1:29" ht="15">
      <c r="A13" s="424"/>
      <c r="B13" s="2590">
        <v>111</v>
      </c>
      <c r="C13" s="430"/>
      <c r="D13" s="431">
        <v>100</v>
      </c>
      <c r="E13" s="430"/>
      <c r="F13" s="421">
        <f>SUMIF(72:72,E13,73:73)-SUMIF(72:72,C13,73:73)+100</f>
        <v>100</v>
      </c>
      <c r="G13" s="430"/>
      <c r="H13" s="431">
        <f>SUMIF(72:72,G13,73:73)-SUMIF(72:72,C13,73:73)+100</f>
        <v>100</v>
      </c>
      <c r="I13" s="430"/>
      <c r="J13" s="431">
        <f>SUMIF(72:72,I13,73:73)-SUMIF(72:72,C13,73:73)+100</f>
        <v>100</v>
      </c>
      <c r="K13" s="609"/>
      <c r="L13" s="1133"/>
      <c r="M13" s="1124"/>
      <c r="N13" s="1124"/>
      <c r="O13" s="1124"/>
      <c r="P13" s="3392"/>
      <c r="Q13" s="1787">
        <f t="shared" si="6"/>
        <v>111</v>
      </c>
      <c r="R13" s="766" t="s">
        <v>17</v>
      </c>
      <c r="S13" s="767">
        <f t="shared" si="0"/>
        <v>100</v>
      </c>
      <c r="T13" s="766" t="s">
        <v>17</v>
      </c>
      <c r="U13" s="767">
        <f t="shared" si="1"/>
        <v>100</v>
      </c>
      <c r="V13" s="766" t="s">
        <v>17</v>
      </c>
      <c r="W13" s="767">
        <f t="shared" si="2"/>
        <v>100</v>
      </c>
      <c r="X13" s="768"/>
      <c r="Y13" s="3224"/>
      <c r="Z13" s="55">
        <f t="shared" si="7"/>
        <v>111</v>
      </c>
      <c r="AA13" s="769">
        <f t="shared" si="3"/>
        <v>1</v>
      </c>
      <c r="AB13" s="769">
        <f t="shared" si="4"/>
        <v>1</v>
      </c>
      <c r="AC13" s="769">
        <f t="shared" si="5"/>
        <v>1</v>
      </c>
    </row>
    <row r="14" spans="1:29" ht="15.75" thickBot="1">
      <c r="A14" s="432"/>
      <c r="B14" s="2592">
        <v>111</v>
      </c>
      <c r="C14" s="433"/>
      <c r="D14" s="434">
        <v>100</v>
      </c>
      <c r="E14" s="430"/>
      <c r="F14" s="435">
        <f>SUMIF(74:74,E14,75:75)-SUMIF(74:74,C14,75:75)+100</f>
        <v>100</v>
      </c>
      <c r="G14" s="430"/>
      <c r="H14" s="434">
        <f>SUMIF(74:74,G14,75:75)-SUMIF(74:74,C14,75:75)+100</f>
        <v>100</v>
      </c>
      <c r="I14" s="430"/>
      <c r="J14" s="434">
        <f>SUMIF(74:74,I14,75:75)-SUMIF(74:74,C14,75:75)+100</f>
        <v>100</v>
      </c>
      <c r="K14" s="609"/>
      <c r="L14" s="1133"/>
      <c r="M14" s="1124"/>
      <c r="N14" s="1124"/>
      <c r="O14" s="1124"/>
      <c r="P14" s="3392"/>
      <c r="Q14" s="1787">
        <f t="shared" si="6"/>
        <v>111</v>
      </c>
      <c r="R14" s="766" t="s">
        <v>17</v>
      </c>
      <c r="S14" s="767">
        <f t="shared" si="0"/>
        <v>100</v>
      </c>
      <c r="T14" s="766" t="s">
        <v>17</v>
      </c>
      <c r="U14" s="767">
        <f t="shared" si="1"/>
        <v>100</v>
      </c>
      <c r="V14" s="766" t="s">
        <v>17</v>
      </c>
      <c r="W14" s="767">
        <f t="shared" si="2"/>
        <v>100</v>
      </c>
      <c r="X14" s="768"/>
      <c r="Y14" s="3224"/>
      <c r="Z14" s="55">
        <f t="shared" si="7"/>
        <v>111</v>
      </c>
      <c r="AA14" s="769">
        <f t="shared" si="3"/>
        <v>1</v>
      </c>
      <c r="AB14" s="769">
        <f t="shared" si="4"/>
        <v>1</v>
      </c>
      <c r="AC14" s="769">
        <f t="shared" si="5"/>
        <v>1</v>
      </c>
    </row>
    <row r="15" spans="1:29" ht="28.5">
      <c r="A15" s="436" t="s">
        <v>2546</v>
      </c>
      <c r="B15" s="69" t="s">
        <v>2640</v>
      </c>
      <c r="C15" s="2593" t="str">
        <f>估价对象房地状况!C4</f>
        <v>XX商圈，周边商业氛围，人流量</v>
      </c>
      <c r="D15" s="437">
        <v>100</v>
      </c>
      <c r="E15" s="438"/>
      <c r="F15" s="439">
        <f>SUMIF(76:76,E16,77:77)-SUMIF(76:76,C16,77:77)+100</f>
        <v>100</v>
      </c>
      <c r="G15" s="440"/>
      <c r="H15" s="437">
        <f>SUMIF(76:76,G16,77:77)-SUMIF(76:76,C16,77:77)+100</f>
        <v>100</v>
      </c>
      <c r="I15" s="438"/>
      <c r="J15" s="437">
        <f>SUMIF(76:76,I16,77:77)-SUMIF(76:76,C16,77:77)+100</f>
        <v>100</v>
      </c>
      <c r="K15" s="610"/>
      <c r="L15" s="1133"/>
      <c r="M15" s="1124"/>
      <c r="N15" s="1124"/>
      <c r="O15" s="1124"/>
      <c r="P15" s="3400" t="s">
        <v>2547</v>
      </c>
      <c r="Q15" s="1802" t="str">
        <f t="shared" si="6"/>
        <v>商业繁华度</v>
      </c>
      <c r="R15" s="770" t="s">
        <v>17</v>
      </c>
      <c r="S15" s="771">
        <f t="shared" si="0"/>
        <v>100</v>
      </c>
      <c r="T15" s="770" t="s">
        <v>17</v>
      </c>
      <c r="U15" s="771">
        <f t="shared" si="1"/>
        <v>100</v>
      </c>
      <c r="V15" s="770" t="s">
        <v>17</v>
      </c>
      <c r="W15" s="771">
        <f t="shared" si="2"/>
        <v>100</v>
      </c>
      <c r="X15" s="1805"/>
      <c r="Y15" s="3383" t="s">
        <v>2547</v>
      </c>
      <c r="Z15" s="1806" t="str">
        <f t="shared" si="7"/>
        <v>商业繁华度</v>
      </c>
      <c r="AA15" s="1803">
        <f t="shared" si="3"/>
        <v>1</v>
      </c>
      <c r="AB15" s="1803">
        <f t="shared" si="4"/>
        <v>1</v>
      </c>
      <c r="AC15" s="1803">
        <f t="shared" si="5"/>
        <v>1</v>
      </c>
    </row>
    <row r="16" spans="1:29" ht="15">
      <c r="A16" s="424"/>
      <c r="B16" s="442"/>
      <c r="C16" s="443"/>
      <c r="D16" s="444"/>
      <c r="E16" s="443"/>
      <c r="F16" s="445"/>
      <c r="G16" s="443"/>
      <c r="H16" s="446"/>
      <c r="I16" s="443"/>
      <c r="J16" s="444"/>
      <c r="K16" s="611"/>
      <c r="L16" s="1133"/>
      <c r="M16" s="1124"/>
      <c r="N16" s="1124"/>
      <c r="O16" s="1124"/>
      <c r="P16" s="3401"/>
      <c r="Q16" s="1802"/>
      <c r="R16" s="770"/>
      <c r="S16" s="771"/>
      <c r="T16" s="770"/>
      <c r="U16" s="771"/>
      <c r="V16" s="770"/>
      <c r="W16" s="771"/>
      <c r="X16" s="1805"/>
      <c r="Y16" s="3384"/>
      <c r="Z16" s="1806"/>
      <c r="AA16" s="1803">
        <v>1</v>
      </c>
      <c r="AB16" s="1803">
        <v>1</v>
      </c>
      <c r="AC16" s="1803">
        <v>1</v>
      </c>
    </row>
    <row r="17" spans="1:29" ht="71.25">
      <c r="A17" s="424"/>
      <c r="B17" s="447" t="s">
        <v>2090</v>
      </c>
      <c r="C17" s="2597" t="str">
        <f>估价对象房地状况!C6</f>
        <v>周边道路状况、公共交通通达情况、停车便捷程度（地铁三号线观音桥</v>
      </c>
      <c r="D17" s="446">
        <v>100</v>
      </c>
      <c r="E17" s="448"/>
      <c r="F17" s="449">
        <f>SUMIF(78:78,E18,79:79)-SUMIF(78:78,C18,79:79)+100</f>
        <v>100</v>
      </c>
      <c r="G17" s="450"/>
      <c r="H17" s="451">
        <f>SUMIF(78:78,G18,79:79)-SUMIF(78:78,C18,79:79)+100</f>
        <v>100</v>
      </c>
      <c r="I17" s="448"/>
      <c r="J17" s="451">
        <f>SUMIF(78:78,I18,79:79)-SUMIF(78:78,C18,79:79)+100</f>
        <v>100</v>
      </c>
      <c r="K17" s="610"/>
      <c r="L17" s="1133"/>
      <c r="M17" s="1124"/>
      <c r="N17" s="1124"/>
      <c r="O17" s="1124"/>
      <c r="P17" s="3401"/>
      <c r="Q17" s="1802" t="str">
        <f>B17</f>
        <v>交通便捷度</v>
      </c>
      <c r="R17" s="770" t="s">
        <v>17</v>
      </c>
      <c r="S17" s="771">
        <f>F17</f>
        <v>100</v>
      </c>
      <c r="T17" s="770" t="s">
        <v>17</v>
      </c>
      <c r="U17" s="771">
        <f>H17</f>
        <v>100</v>
      </c>
      <c r="V17" s="770" t="s">
        <v>17</v>
      </c>
      <c r="W17" s="771">
        <f>J17</f>
        <v>100</v>
      </c>
      <c r="X17" s="1805"/>
      <c r="Y17" s="3384"/>
      <c r="Z17" s="1806" t="str">
        <f>Q17</f>
        <v>交通便捷度</v>
      </c>
      <c r="AA17" s="1803">
        <f t="shared" si="3"/>
        <v>1</v>
      </c>
      <c r="AB17" s="1803">
        <f t="shared" si="4"/>
        <v>1</v>
      </c>
      <c r="AC17" s="1803">
        <f t="shared" si="5"/>
        <v>1</v>
      </c>
    </row>
    <row r="18" spans="1:29" ht="15">
      <c r="A18" s="424"/>
      <c r="B18" s="452"/>
      <c r="C18" s="2598"/>
      <c r="D18" s="446"/>
      <c r="E18" s="2600"/>
      <c r="F18" s="449"/>
      <c r="G18" s="2599"/>
      <c r="H18" s="444"/>
      <c r="I18" s="2600"/>
      <c r="J18" s="444"/>
      <c r="K18" s="611"/>
      <c r="L18" s="1133"/>
      <c r="M18" s="1124"/>
      <c r="N18" s="1124"/>
      <c r="O18" s="1124"/>
      <c r="P18" s="3401"/>
      <c r="Q18" s="1802"/>
      <c r="R18" s="770"/>
      <c r="S18" s="771"/>
      <c r="T18" s="770"/>
      <c r="U18" s="771"/>
      <c r="V18" s="770"/>
      <c r="W18" s="771"/>
      <c r="X18" s="1805"/>
      <c r="Y18" s="3384"/>
      <c r="Z18" s="1806"/>
      <c r="AA18" s="1803">
        <v>1</v>
      </c>
      <c r="AB18" s="1803">
        <v>1</v>
      </c>
      <c r="AC18" s="1803">
        <v>1</v>
      </c>
    </row>
    <row r="19" spans="1:29" ht="15">
      <c r="A19" s="424"/>
      <c r="B19" s="447" t="s">
        <v>2641</v>
      </c>
      <c r="C19" s="2597">
        <f>估价对象房地状况!C7</f>
        <v>0</v>
      </c>
      <c r="D19" s="451">
        <v>100</v>
      </c>
      <c r="E19" s="453"/>
      <c r="F19" s="454">
        <f>SUMIF(80:80,E20,81:81)-SUMIF(80:80,C20,81:81)+100</f>
        <v>100</v>
      </c>
      <c r="G19" s="455"/>
      <c r="H19" s="446">
        <f>SUMIF(80:80,G20,81:81)-SUMIF(80:80,C20,81:81)+100</f>
        <v>100</v>
      </c>
      <c r="I19" s="453"/>
      <c r="J19" s="446">
        <f>SUMIF(80:80,I20,81:81)-SUMIF(80:80,C20,81:81)+100</f>
        <v>100</v>
      </c>
      <c r="K19" s="610"/>
      <c r="L19" s="1133"/>
      <c r="M19" s="1124"/>
      <c r="N19" s="1124"/>
      <c r="O19" s="1124"/>
      <c r="P19" s="3401"/>
      <c r="Q19" s="1802" t="str">
        <f>B19</f>
        <v>公共配套设施</v>
      </c>
      <c r="R19" s="770" t="s">
        <v>17</v>
      </c>
      <c r="S19" s="771">
        <f>F19</f>
        <v>100</v>
      </c>
      <c r="T19" s="770" t="s">
        <v>17</v>
      </c>
      <c r="U19" s="771">
        <f>H19</f>
        <v>100</v>
      </c>
      <c r="V19" s="770" t="s">
        <v>17</v>
      </c>
      <c r="W19" s="771">
        <f>J19</f>
        <v>100</v>
      </c>
      <c r="X19" s="1805"/>
      <c r="Y19" s="3384"/>
      <c r="Z19" s="1806" t="str">
        <f>Q19</f>
        <v>公共配套设施</v>
      </c>
      <c r="AA19" s="1803">
        <f t="shared" si="3"/>
        <v>1</v>
      </c>
      <c r="AB19" s="1803">
        <f t="shared" si="4"/>
        <v>1</v>
      </c>
      <c r="AC19" s="1803">
        <f t="shared" si="5"/>
        <v>1</v>
      </c>
    </row>
    <row r="20" spans="1:29" ht="15">
      <c r="A20" s="424"/>
      <c r="B20" s="452"/>
      <c r="C20" s="443"/>
      <c r="D20" s="444"/>
      <c r="E20" s="2595"/>
      <c r="F20" s="445"/>
      <c r="G20" s="2594"/>
      <c r="H20" s="444"/>
      <c r="I20" s="2595"/>
      <c r="J20" s="444"/>
      <c r="K20" s="611"/>
      <c r="L20" s="1133"/>
      <c r="M20" s="1124"/>
      <c r="N20" s="1124"/>
      <c r="O20" s="1124"/>
      <c r="P20" s="3401"/>
      <c r="Q20" s="1802"/>
      <c r="R20" s="770"/>
      <c r="S20" s="771"/>
      <c r="T20" s="770"/>
      <c r="U20" s="771"/>
      <c r="V20" s="770"/>
      <c r="W20" s="771"/>
      <c r="X20" s="1805"/>
      <c r="Y20" s="3384"/>
      <c r="Z20" s="1806"/>
      <c r="AA20" s="1803">
        <v>1</v>
      </c>
      <c r="AB20" s="1803">
        <v>1</v>
      </c>
      <c r="AC20" s="1803">
        <v>1</v>
      </c>
    </row>
    <row r="21" spans="1:29" ht="15">
      <c r="A21" s="424"/>
      <c r="B21" s="1377" t="s">
        <v>2642</v>
      </c>
      <c r="C21" s="2597">
        <f>估价对象房地状况!C8</f>
        <v>0</v>
      </c>
      <c r="D21" s="451">
        <v>100</v>
      </c>
      <c r="E21" s="453"/>
      <c r="F21" s="454">
        <f>SUMIF(82:82,E22,83:83)-SUMIF(82:82,C22,83:83)+100</f>
        <v>100</v>
      </c>
      <c r="G21" s="455"/>
      <c r="H21" s="446">
        <f>SUMIF(82:82,G22,83:83)-SUMIF(82:82,C22,83:83)+100</f>
        <v>100</v>
      </c>
      <c r="I21" s="453"/>
      <c r="J21" s="446">
        <f>SUMIF(82:82,I22,83:83)-SUMIF(82:82,C22,83:83)+100</f>
        <v>100</v>
      </c>
      <c r="K21" s="610"/>
      <c r="L21" s="1133"/>
      <c r="M21" s="1124"/>
      <c r="N21" s="1124"/>
      <c r="O21" s="1124"/>
      <c r="P21" s="3401"/>
      <c r="Q21" s="1802" t="str">
        <f>B21</f>
        <v>基础设施水平</v>
      </c>
      <c r="R21" s="770" t="s">
        <v>17</v>
      </c>
      <c r="S21" s="771">
        <f>F21</f>
        <v>100</v>
      </c>
      <c r="T21" s="770" t="s">
        <v>17</v>
      </c>
      <c r="U21" s="771">
        <f>H21</f>
        <v>100</v>
      </c>
      <c r="V21" s="770" t="s">
        <v>17</v>
      </c>
      <c r="W21" s="771">
        <f>J21</f>
        <v>100</v>
      </c>
      <c r="X21" s="1805"/>
      <c r="Y21" s="3384"/>
      <c r="Z21" s="1806" t="str">
        <f>Q21</f>
        <v>基础设施水平</v>
      </c>
      <c r="AA21" s="1803">
        <f t="shared" ref="AA21" si="8">D21/F21</f>
        <v>1</v>
      </c>
      <c r="AB21" s="1803">
        <f t="shared" ref="AB21" si="9">D21/H21</f>
        <v>1</v>
      </c>
      <c r="AC21" s="1803">
        <f t="shared" ref="AC21" si="10">D21/J21</f>
        <v>1</v>
      </c>
    </row>
    <row r="22" spans="1:29" ht="15">
      <c r="A22" s="424"/>
      <c r="B22" s="1377"/>
      <c r="C22" s="2598"/>
      <c r="D22" s="444"/>
      <c r="E22" s="443"/>
      <c r="F22" s="445"/>
      <c r="G22" s="443"/>
      <c r="H22" s="444"/>
      <c r="I22" s="443"/>
      <c r="J22" s="444"/>
      <c r="K22" s="1376"/>
      <c r="L22" s="1133"/>
      <c r="M22" s="1124"/>
      <c r="N22" s="1124"/>
      <c r="O22" s="1124"/>
      <c r="P22" s="3401"/>
      <c r="Q22" s="1802"/>
      <c r="R22" s="770"/>
      <c r="S22" s="771"/>
      <c r="T22" s="770"/>
      <c r="U22" s="771"/>
      <c r="V22" s="770"/>
      <c r="W22" s="771"/>
      <c r="X22" s="1805"/>
      <c r="Y22" s="3384"/>
      <c r="Z22" s="1806"/>
      <c r="AA22" s="1803">
        <v>1</v>
      </c>
      <c r="AB22" s="1803">
        <v>1</v>
      </c>
      <c r="AC22" s="1803">
        <v>1</v>
      </c>
    </row>
    <row r="23" spans="1:29" ht="15">
      <c r="A23" s="424"/>
      <c r="B23" s="447" t="s">
        <v>2093</v>
      </c>
      <c r="C23" s="2654">
        <f>估价对象房地状况!C9</f>
        <v>0</v>
      </c>
      <c r="D23" s="446">
        <v>100</v>
      </c>
      <c r="E23" s="448"/>
      <c r="F23" s="449">
        <f>SUMIF(84:84,E24,85:85)-SUMIF(84:84,C24,85:85)+100</f>
        <v>100</v>
      </c>
      <c r="G23" s="450"/>
      <c r="H23" s="446">
        <f>SUMIF(84:84,G24,85:85)-SUMIF(84:84,C24,85:85)+100</f>
        <v>100</v>
      </c>
      <c r="I23" s="448"/>
      <c r="J23" s="446">
        <f>SUMIF(84:84,I24,85:85)-SUMIF(84:84,C24,85:85)+100</f>
        <v>100</v>
      </c>
      <c r="K23" s="610"/>
      <c r="L23" s="1133"/>
      <c r="M23" s="1124"/>
      <c r="N23" s="1124"/>
      <c r="O23" s="1124"/>
      <c r="P23" s="3401"/>
      <c r="Q23" s="1802" t="str">
        <f>B23</f>
        <v>自然及人文环境</v>
      </c>
      <c r="R23" s="770" t="s">
        <v>17</v>
      </c>
      <c r="S23" s="771">
        <f>F23</f>
        <v>100</v>
      </c>
      <c r="T23" s="770" t="s">
        <v>17</v>
      </c>
      <c r="U23" s="771">
        <f>H23</f>
        <v>100</v>
      </c>
      <c r="V23" s="770" t="s">
        <v>17</v>
      </c>
      <c r="W23" s="771">
        <f>J23</f>
        <v>100</v>
      </c>
      <c r="X23" s="1805"/>
      <c r="Y23" s="3384"/>
      <c r="Z23" s="1806" t="str">
        <f>Q23</f>
        <v>自然及人文环境</v>
      </c>
      <c r="AA23" s="1803">
        <f t="shared" si="3"/>
        <v>1</v>
      </c>
      <c r="AB23" s="1803">
        <f t="shared" si="4"/>
        <v>1</v>
      </c>
      <c r="AC23" s="1803">
        <f t="shared" si="5"/>
        <v>1</v>
      </c>
    </row>
    <row r="24" spans="1:29" ht="15">
      <c r="A24" s="424"/>
      <c r="B24" s="452"/>
      <c r="C24" s="443"/>
      <c r="D24" s="444"/>
      <c r="E24" s="2595"/>
      <c r="F24" s="445"/>
      <c r="G24" s="2594"/>
      <c r="H24" s="444"/>
      <c r="I24" s="2595"/>
      <c r="J24" s="444"/>
      <c r="K24" s="611"/>
      <c r="L24" s="1133"/>
      <c r="M24" s="1124"/>
      <c r="N24" s="1124"/>
      <c r="O24" s="1124"/>
      <c r="P24" s="3401"/>
      <c r="Q24" s="1802"/>
      <c r="R24" s="770"/>
      <c r="S24" s="771"/>
      <c r="T24" s="770"/>
      <c r="U24" s="771"/>
      <c r="V24" s="770"/>
      <c r="W24" s="771"/>
      <c r="X24" s="1805"/>
      <c r="Y24" s="3384"/>
      <c r="Z24" s="1806"/>
      <c r="AA24" s="1803">
        <v>1</v>
      </c>
      <c r="AB24" s="1803">
        <v>1</v>
      </c>
      <c r="AC24" s="1803">
        <v>1</v>
      </c>
    </row>
    <row r="25" spans="1:29" ht="15">
      <c r="A25" s="424"/>
      <c r="B25" s="418" t="s">
        <v>2643</v>
      </c>
      <c r="C25" s="612"/>
      <c r="D25" s="431">
        <v>100</v>
      </c>
      <c r="E25" s="612"/>
      <c r="F25" s="457">
        <f>SUMIF(86:86,E25,87:87)-SUMIF(86:86,C25,87:87)+100</f>
        <v>100</v>
      </c>
      <c r="G25" s="612"/>
      <c r="H25" s="431">
        <f>SUMIF(86:86,G25,87:87)-SUMIF(86:86,C25,87:87)+100</f>
        <v>100</v>
      </c>
      <c r="I25" s="612"/>
      <c r="J25" s="431">
        <f>SUMIF(86:86,I25,87:87)-SUMIF(86:86,C25,87:87)+100</f>
        <v>100</v>
      </c>
      <c r="K25" s="608"/>
      <c r="L25" s="1133"/>
      <c r="M25" s="1124"/>
      <c r="N25" s="1124"/>
      <c r="O25" s="1124"/>
      <c r="P25" s="3401"/>
      <c r="Q25" s="1802" t="str">
        <f t="shared" ref="Q25:Q46" si="11">B25</f>
        <v>临街状况</v>
      </c>
      <c r="R25" s="770" t="s">
        <v>17</v>
      </c>
      <c r="S25" s="771">
        <f>F25</f>
        <v>100</v>
      </c>
      <c r="T25" s="770" t="s">
        <v>17</v>
      </c>
      <c r="U25" s="771">
        <f>H25</f>
        <v>100</v>
      </c>
      <c r="V25" s="770" t="s">
        <v>17</v>
      </c>
      <c r="W25" s="771">
        <f>J25</f>
        <v>100</v>
      </c>
      <c r="X25" s="1805"/>
      <c r="Y25" s="3384"/>
      <c r="Z25" s="1806" t="str">
        <f>Q25</f>
        <v>临街状况</v>
      </c>
      <c r="AA25" s="1803">
        <f t="shared" si="3"/>
        <v>1</v>
      </c>
      <c r="AB25" s="1803">
        <f t="shared" si="4"/>
        <v>1</v>
      </c>
      <c r="AC25" s="1803">
        <f t="shared" si="5"/>
        <v>1</v>
      </c>
    </row>
    <row r="26" spans="1:29" ht="15">
      <c r="A26" s="424"/>
      <c r="B26" s="1379" t="s">
        <v>2644</v>
      </c>
      <c r="C26" s="430"/>
      <c r="D26" s="431">
        <v>100</v>
      </c>
      <c r="E26" s="430"/>
      <c r="F26" s="457">
        <f>SUMIF(88:88,E26,89:89)-SUMIF(88:88,C26,89:89)+100</f>
        <v>100</v>
      </c>
      <c r="G26" s="430"/>
      <c r="H26" s="431">
        <f>SUMIF(88:88,G26,89:89)-SUMIF(88:88,C26,89:89)+100</f>
        <v>100</v>
      </c>
      <c r="I26" s="430"/>
      <c r="J26" s="431">
        <f>SUMIF(88:88,I26,89:89)-SUMIF(88:88,C26,89:89)+100</f>
        <v>100</v>
      </c>
      <c r="K26" s="609"/>
      <c r="L26" s="1133"/>
      <c r="M26" s="1124"/>
      <c r="N26" s="1124"/>
      <c r="O26" s="1124"/>
      <c r="P26" s="3401"/>
      <c r="Q26" s="1802" t="str">
        <f t="shared" si="11"/>
        <v>平面位置/可视性</v>
      </c>
      <c r="R26" s="770" t="s">
        <v>17</v>
      </c>
      <c r="S26" s="771">
        <f>F26</f>
        <v>100</v>
      </c>
      <c r="T26" s="770" t="s">
        <v>17</v>
      </c>
      <c r="U26" s="771">
        <f>H26</f>
        <v>100</v>
      </c>
      <c r="V26" s="770" t="s">
        <v>17</v>
      </c>
      <c r="W26" s="771">
        <f>J26</f>
        <v>100</v>
      </c>
      <c r="X26" s="1805"/>
      <c r="Y26" s="3384"/>
      <c r="Z26" s="1806" t="str">
        <f>Q26</f>
        <v>平面位置/可视性</v>
      </c>
      <c r="AA26" s="1803">
        <f t="shared" si="3"/>
        <v>1</v>
      </c>
      <c r="AB26" s="1803">
        <f t="shared" si="4"/>
        <v>1</v>
      </c>
      <c r="AC26" s="1803">
        <f t="shared" si="5"/>
        <v>1</v>
      </c>
    </row>
    <row r="27" spans="1:29" s="116" customFormat="1" ht="15">
      <c r="A27" s="427"/>
      <c r="B27" s="447" t="s">
        <v>2645</v>
      </c>
      <c r="C27" s="2655"/>
      <c r="D27" s="458">
        <v>100</v>
      </c>
      <c r="E27" s="2655"/>
      <c r="F27" s="460">
        <f>SUMIF(90:90,E27,91:91)-SUMIF(90:90,C27,91:91)+100</f>
        <v>100</v>
      </c>
      <c r="G27" s="2655"/>
      <c r="H27" s="458">
        <f>SUMIF(90:90,G27,91:91)-SUMIF(90:90,C27,91:91)+100</f>
        <v>100</v>
      </c>
      <c r="I27" s="2655"/>
      <c r="J27" s="458">
        <f>SUMIF(90:90,I27,91:91)-SUMIF(90:90,C27,91:91)+100</f>
        <v>100</v>
      </c>
      <c r="K27" s="608"/>
      <c r="L27" s="1125"/>
      <c r="M27" s="1126"/>
      <c r="N27" s="1126"/>
      <c r="O27" s="1126"/>
      <c r="P27" s="3401"/>
      <c r="Q27" s="1787" t="str">
        <f t="shared" si="11"/>
        <v>人流量</v>
      </c>
      <c r="R27" s="766" t="s">
        <v>17</v>
      </c>
      <c r="S27" s="767">
        <f>F27</f>
        <v>100</v>
      </c>
      <c r="T27" s="766" t="s">
        <v>17</v>
      </c>
      <c r="U27" s="767">
        <f>H27</f>
        <v>100</v>
      </c>
      <c r="V27" s="766" t="s">
        <v>17</v>
      </c>
      <c r="W27" s="767">
        <f>J27</f>
        <v>100</v>
      </c>
      <c r="X27" s="768"/>
      <c r="Y27" s="3384"/>
      <c r="Z27" s="55" t="str">
        <f>Q27</f>
        <v>人流量</v>
      </c>
      <c r="AA27" s="1803">
        <f>D27/F27</f>
        <v>1</v>
      </c>
      <c r="AB27" s="1803">
        <f>D27/H27</f>
        <v>1</v>
      </c>
      <c r="AC27" s="1803">
        <f>D27/J27</f>
        <v>1</v>
      </c>
    </row>
    <row r="28" spans="1:29" ht="15">
      <c r="A28" s="424"/>
      <c r="B28" s="418" t="s">
        <v>2646</v>
      </c>
      <c r="C28" s="612"/>
      <c r="D28" s="431">
        <v>100</v>
      </c>
      <c r="E28" s="612"/>
      <c r="F28" s="457">
        <f>SUMIF(92:92,E28,93:93)-SUMIF(92:92,C28,93:93)+100</f>
        <v>100</v>
      </c>
      <c r="G28" s="612"/>
      <c r="H28" s="431">
        <f>SUMIF(92:92,G28,93:93)-SUMIF(92:92,C28,93:93)+100</f>
        <v>100</v>
      </c>
      <c r="I28" s="612"/>
      <c r="J28" s="431">
        <f>SUMIF(92:92,I28,93:93)-SUMIF(92:92,C28,93:93)+100</f>
        <v>100</v>
      </c>
      <c r="K28" s="609"/>
      <c r="L28" s="1133"/>
      <c r="M28" s="1124"/>
      <c r="N28" s="1124"/>
      <c r="O28" s="1124"/>
      <c r="P28" s="3401"/>
      <c r="Q28" s="1802" t="str">
        <f t="shared" si="11"/>
        <v>楼层</v>
      </c>
      <c r="R28" s="770" t="s">
        <v>17</v>
      </c>
      <c r="S28" s="771">
        <f t="shared" ref="S28:S46" si="12">F28</f>
        <v>100</v>
      </c>
      <c r="T28" s="770" t="s">
        <v>17</v>
      </c>
      <c r="U28" s="771">
        <f t="shared" ref="U28:U46" si="13">H28</f>
        <v>100</v>
      </c>
      <c r="V28" s="770" t="s">
        <v>17</v>
      </c>
      <c r="W28" s="771">
        <f t="shared" ref="W28:W46" si="14">J28</f>
        <v>100</v>
      </c>
      <c r="X28" s="1805"/>
      <c r="Y28" s="3384"/>
      <c r="Z28" s="1806" t="str">
        <f t="shared" ref="Z28:Z46" si="15">Q28</f>
        <v>楼层</v>
      </c>
      <c r="AA28" s="1803">
        <f t="shared" si="3"/>
        <v>1</v>
      </c>
      <c r="AB28" s="1803">
        <f t="shared" si="4"/>
        <v>1</v>
      </c>
      <c r="AC28" s="1803">
        <f t="shared" si="5"/>
        <v>1</v>
      </c>
    </row>
    <row r="29" spans="1:29" ht="15">
      <c r="A29" s="424"/>
      <c r="B29" s="1379">
        <v>111</v>
      </c>
      <c r="C29" s="430"/>
      <c r="D29" s="431">
        <v>100</v>
      </c>
      <c r="E29" s="430"/>
      <c r="F29" s="457">
        <f>SUMIF(94:94,E29,95:95)-SUMIF(94:94,C29,95:95)+100</f>
        <v>100</v>
      </c>
      <c r="G29" s="430"/>
      <c r="H29" s="431">
        <f>SUMIF(94:94,G29,95:95)-SUMIF(94:94,C29,95:95)+100</f>
        <v>100</v>
      </c>
      <c r="I29" s="430"/>
      <c r="J29" s="431">
        <f>SUMIF(94:94,I29,95:95)-SUMIF(94:94,C29,95:95)+100</f>
        <v>100</v>
      </c>
      <c r="K29" s="609"/>
      <c r="L29" s="1133"/>
      <c r="M29" s="1124"/>
      <c r="N29" s="1124"/>
      <c r="O29" s="1124"/>
      <c r="P29" s="3401"/>
      <c r="Q29" s="1802">
        <f t="shared" si="11"/>
        <v>111</v>
      </c>
      <c r="R29" s="770" t="s">
        <v>17</v>
      </c>
      <c r="S29" s="771">
        <f t="shared" si="12"/>
        <v>100</v>
      </c>
      <c r="T29" s="770" t="s">
        <v>17</v>
      </c>
      <c r="U29" s="771">
        <f t="shared" si="13"/>
        <v>100</v>
      </c>
      <c r="V29" s="770" t="s">
        <v>17</v>
      </c>
      <c r="W29" s="771">
        <f t="shared" si="14"/>
        <v>100</v>
      </c>
      <c r="X29" s="1805"/>
      <c r="Y29" s="3384"/>
      <c r="Z29" s="1806">
        <f t="shared" si="15"/>
        <v>111</v>
      </c>
      <c r="AA29" s="1803">
        <f t="shared" si="3"/>
        <v>1</v>
      </c>
      <c r="AB29" s="1803">
        <f t="shared" si="4"/>
        <v>1</v>
      </c>
      <c r="AC29" s="1803">
        <f t="shared" si="5"/>
        <v>1</v>
      </c>
    </row>
    <row r="30" spans="1:29" ht="15">
      <c r="A30" s="424"/>
      <c r="B30" s="1379">
        <v>111</v>
      </c>
      <c r="C30" s="430"/>
      <c r="D30" s="431">
        <v>100</v>
      </c>
      <c r="E30" s="430"/>
      <c r="F30" s="457">
        <f>SUMIF(96:96,E30,97:97)-SUMIF(96:96,C30,97:97)+100</f>
        <v>100</v>
      </c>
      <c r="G30" s="430"/>
      <c r="H30" s="431">
        <f>SUMIF(96:96,G30,97:97)-SUMIF(96:96,C30,97:97)+100</f>
        <v>100</v>
      </c>
      <c r="I30" s="430"/>
      <c r="J30" s="431">
        <f>SUMIF(96:96,I30,97:97)-SUMIF(96:96,C30,97:97)+100</f>
        <v>100</v>
      </c>
      <c r="K30" s="609"/>
      <c r="L30" s="1133"/>
      <c r="M30" s="1124"/>
      <c r="N30" s="1124"/>
      <c r="O30" s="1124"/>
      <c r="P30" s="3401"/>
      <c r="Q30" s="1802">
        <f t="shared" si="11"/>
        <v>111</v>
      </c>
      <c r="R30" s="770" t="s">
        <v>17</v>
      </c>
      <c r="S30" s="771">
        <f t="shared" si="12"/>
        <v>100</v>
      </c>
      <c r="T30" s="770" t="s">
        <v>17</v>
      </c>
      <c r="U30" s="771">
        <f t="shared" si="13"/>
        <v>100</v>
      </c>
      <c r="V30" s="770" t="s">
        <v>17</v>
      </c>
      <c r="W30" s="771">
        <f t="shared" si="14"/>
        <v>100</v>
      </c>
      <c r="X30" s="1805"/>
      <c r="Y30" s="3384"/>
      <c r="Z30" s="1806">
        <f t="shared" si="15"/>
        <v>111</v>
      </c>
      <c r="AA30" s="1803">
        <f t="shared" si="3"/>
        <v>1</v>
      </c>
      <c r="AB30" s="1803">
        <f t="shared" si="4"/>
        <v>1</v>
      </c>
      <c r="AC30" s="1803">
        <f t="shared" si="5"/>
        <v>1</v>
      </c>
    </row>
    <row r="31" spans="1:29" ht="15.75" thickBot="1">
      <c r="A31" s="432"/>
      <c r="B31" s="1379">
        <v>111</v>
      </c>
      <c r="C31" s="433"/>
      <c r="D31" s="434">
        <v>100</v>
      </c>
      <c r="E31" s="430"/>
      <c r="F31" s="435">
        <f>SUMIF(98:98,E31,99:99)-SUMIF(98:98,C31,99:99)+100</f>
        <v>100</v>
      </c>
      <c r="G31" s="430"/>
      <c r="H31" s="434">
        <f>SUMIF(98:98,G31,99:99)-SUMIF(98:98,C31,99:99)+100</f>
        <v>100</v>
      </c>
      <c r="I31" s="430"/>
      <c r="J31" s="434">
        <f>SUMIF(98:98,I31,99:99)-SUMIF(98:98,C31,99:99)+100</f>
        <v>100</v>
      </c>
      <c r="K31" s="609"/>
      <c r="L31" s="1133"/>
      <c r="M31" s="1124"/>
      <c r="N31" s="1124"/>
      <c r="O31" s="1124"/>
      <c r="P31" s="3401"/>
      <c r="Q31" s="1802">
        <f t="shared" si="11"/>
        <v>111</v>
      </c>
      <c r="R31" s="770" t="s">
        <v>17</v>
      </c>
      <c r="S31" s="771">
        <f t="shared" si="12"/>
        <v>100</v>
      </c>
      <c r="T31" s="770" t="s">
        <v>17</v>
      </c>
      <c r="U31" s="771">
        <f t="shared" si="13"/>
        <v>100</v>
      </c>
      <c r="V31" s="770" t="s">
        <v>17</v>
      </c>
      <c r="W31" s="771">
        <f t="shared" si="14"/>
        <v>100</v>
      </c>
      <c r="X31" s="1805"/>
      <c r="Y31" s="3384"/>
      <c r="Z31" s="1806">
        <f t="shared" si="15"/>
        <v>111</v>
      </c>
      <c r="AA31" s="1803">
        <f t="shared" si="3"/>
        <v>1</v>
      </c>
      <c r="AB31" s="1803">
        <f t="shared" si="4"/>
        <v>1</v>
      </c>
      <c r="AC31" s="1803">
        <f t="shared" si="5"/>
        <v>1</v>
      </c>
    </row>
    <row r="32" spans="1:29" ht="15">
      <c r="A32" s="436" t="s">
        <v>2550</v>
      </c>
      <c r="B32" s="71" t="s">
        <v>2647</v>
      </c>
      <c r="C32" s="2607"/>
      <c r="D32" s="463">
        <v>100</v>
      </c>
      <c r="E32" s="2607"/>
      <c r="F32" s="457">
        <f>SUMIF(100:100,E32,101:101)-SUMIF(100:100,C32,101:101)+100</f>
        <v>100</v>
      </c>
      <c r="G32" s="2607"/>
      <c r="H32" s="431">
        <f>SUMIF(100:100,G32,101:101)-SUMIF(100:100,C32,101:101)+100</f>
        <v>100</v>
      </c>
      <c r="I32" s="2607"/>
      <c r="J32" s="463">
        <f>SUMIF(100:100,I32,101:101)-SUMIF(100:100,C32,101:101)+100</f>
        <v>100</v>
      </c>
      <c r="K32" s="608"/>
      <c r="L32" s="1133"/>
      <c r="M32" s="1124"/>
      <c r="N32" s="1124"/>
      <c r="O32" s="1124"/>
      <c r="P32" s="3402" t="s">
        <v>2552</v>
      </c>
      <c r="Q32" s="1802" t="str">
        <f t="shared" si="11"/>
        <v>商业类型</v>
      </c>
      <c r="R32" s="770" t="s">
        <v>17</v>
      </c>
      <c r="S32" s="771">
        <f t="shared" si="12"/>
        <v>100</v>
      </c>
      <c r="T32" s="770" t="s">
        <v>17</v>
      </c>
      <c r="U32" s="771">
        <f t="shared" si="13"/>
        <v>100</v>
      </c>
      <c r="V32" s="770" t="s">
        <v>17</v>
      </c>
      <c r="W32" s="771">
        <f t="shared" si="14"/>
        <v>100</v>
      </c>
      <c r="X32" s="1805"/>
      <c r="Y32" s="3386" t="s">
        <v>2552</v>
      </c>
      <c r="Z32" s="1806" t="str">
        <f t="shared" si="15"/>
        <v>商业类型</v>
      </c>
      <c r="AA32" s="1803">
        <f t="shared" si="3"/>
        <v>1</v>
      </c>
      <c r="AB32" s="1803">
        <f t="shared" si="4"/>
        <v>1</v>
      </c>
      <c r="AC32" s="1803">
        <f t="shared" si="5"/>
        <v>1</v>
      </c>
    </row>
    <row r="33" spans="1:29" s="467" customFormat="1" ht="15">
      <c r="A33" s="464"/>
      <c r="B33" s="418" t="s">
        <v>2553</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31"/>
      <c r="M33" s="1134"/>
      <c r="N33" s="1134"/>
      <c r="O33" s="1134"/>
      <c r="P33" s="3403"/>
      <c r="Q33" s="772" t="str">
        <f t="shared" si="11"/>
        <v>项目建筑规模</v>
      </c>
      <c r="R33" s="773" t="s">
        <v>17</v>
      </c>
      <c r="S33" s="774" t="e">
        <f t="shared" si="12"/>
        <v>#N/A</v>
      </c>
      <c r="T33" s="773" t="s">
        <v>17</v>
      </c>
      <c r="U33" s="774" t="e">
        <f t="shared" si="13"/>
        <v>#N/A</v>
      </c>
      <c r="V33" s="773" t="s">
        <v>17</v>
      </c>
      <c r="W33" s="774" t="e">
        <f t="shared" si="14"/>
        <v>#N/A</v>
      </c>
      <c r="X33" s="775"/>
      <c r="Y33" s="3386"/>
      <c r="Z33" s="776" t="str">
        <f t="shared" si="15"/>
        <v>项目建筑规模</v>
      </c>
      <c r="AA33" s="1803" t="e">
        <f t="shared" si="3"/>
        <v>#N/A</v>
      </c>
      <c r="AB33" s="1803" t="e">
        <f t="shared" si="4"/>
        <v>#N/A</v>
      </c>
      <c r="AC33" s="1803" t="e">
        <f t="shared" si="5"/>
        <v>#N/A</v>
      </c>
    </row>
    <row r="34" spans="1:29" ht="15">
      <c r="A34" s="468"/>
      <c r="B34" s="418" t="s">
        <v>2554</v>
      </c>
      <c r="C34" s="2609"/>
      <c r="D34" s="431">
        <v>100</v>
      </c>
      <c r="E34" s="2609"/>
      <c r="F34" s="457">
        <f>SUMIF(105:105,E34,106:106)-SUMIF(105:105,C34,106:106)+100</f>
        <v>100</v>
      </c>
      <c r="G34" s="2609"/>
      <c r="H34" s="431">
        <f>SUMIF(105:105,G34,106:106)-SUMIF(105:105,C34,106:106)+100</f>
        <v>100</v>
      </c>
      <c r="I34" s="2609"/>
      <c r="J34" s="431">
        <f>SUMIF(105:105,I34,106:106)-SUMIF(105:105,C34,106:106)+100</f>
        <v>100</v>
      </c>
      <c r="K34" s="608"/>
      <c r="L34" s="1133"/>
      <c r="M34" s="1124"/>
      <c r="N34" s="1124"/>
      <c r="O34" s="1124"/>
      <c r="P34" s="3403"/>
      <c r="Q34" s="1802" t="str">
        <f t="shared" si="11"/>
        <v>建筑结构</v>
      </c>
      <c r="R34" s="770" t="s">
        <v>17</v>
      </c>
      <c r="S34" s="771">
        <f t="shared" si="12"/>
        <v>100</v>
      </c>
      <c r="T34" s="770" t="s">
        <v>17</v>
      </c>
      <c r="U34" s="771">
        <f t="shared" si="13"/>
        <v>100</v>
      </c>
      <c r="V34" s="770" t="s">
        <v>17</v>
      </c>
      <c r="W34" s="771">
        <f t="shared" si="14"/>
        <v>100</v>
      </c>
      <c r="X34" s="1805"/>
      <c r="Y34" s="3386"/>
      <c r="Z34" s="1806" t="str">
        <f t="shared" si="15"/>
        <v>建筑结构</v>
      </c>
      <c r="AA34" s="1803">
        <f t="shared" si="3"/>
        <v>1</v>
      </c>
      <c r="AB34" s="1803">
        <f t="shared" si="4"/>
        <v>1</v>
      </c>
      <c r="AC34" s="1803">
        <f t="shared" si="5"/>
        <v>1</v>
      </c>
    </row>
    <row r="35" spans="1:29" ht="15">
      <c r="A35" s="468"/>
      <c r="B35" s="418" t="s">
        <v>2648</v>
      </c>
      <c r="C35" s="2603"/>
      <c r="D35" s="431">
        <v>100</v>
      </c>
      <c r="E35" s="2603"/>
      <c r="F35" s="457">
        <f>SUMIF(107:107,E35,108:108)-SUMIF(107:107,C35,108:108)+100</f>
        <v>100</v>
      </c>
      <c r="G35" s="2603"/>
      <c r="H35" s="431">
        <f>SUMIF(107:107,G35,108:108)-SUMIF(107:107,C35,108:108)+100</f>
        <v>100</v>
      </c>
      <c r="I35" s="2603"/>
      <c r="J35" s="431">
        <f>SUMIF(107:107,I35,108:108)-SUMIF(107:107,C35,108:108)+100</f>
        <v>100</v>
      </c>
      <c r="K35" s="608"/>
      <c r="L35" s="1133"/>
      <c r="M35" s="1124"/>
      <c r="N35" s="1124"/>
      <c r="O35" s="1124"/>
      <c r="P35" s="3403"/>
      <c r="Q35" s="1802" t="str">
        <f t="shared" si="11"/>
        <v>公共部分装修</v>
      </c>
      <c r="R35" s="770" t="s">
        <v>17</v>
      </c>
      <c r="S35" s="771">
        <f t="shared" si="12"/>
        <v>100</v>
      </c>
      <c r="T35" s="770" t="s">
        <v>17</v>
      </c>
      <c r="U35" s="771">
        <f t="shared" si="13"/>
        <v>100</v>
      </c>
      <c r="V35" s="770" t="s">
        <v>17</v>
      </c>
      <c r="W35" s="771">
        <f t="shared" si="14"/>
        <v>100</v>
      </c>
      <c r="X35" s="1805"/>
      <c r="Y35" s="3386"/>
      <c r="Z35" s="1806" t="str">
        <f t="shared" si="15"/>
        <v>公共部分装修</v>
      </c>
      <c r="AA35" s="1803">
        <f t="shared" si="3"/>
        <v>1</v>
      </c>
      <c r="AB35" s="1803">
        <f t="shared" si="4"/>
        <v>1</v>
      </c>
      <c r="AC35" s="1803">
        <f t="shared" si="5"/>
        <v>1</v>
      </c>
    </row>
    <row r="36" spans="1:29" ht="15">
      <c r="A36" s="468"/>
      <c r="B36" s="418" t="s">
        <v>2649</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3"/>
      <c r="M36" s="1124"/>
      <c r="N36" s="1124"/>
      <c r="O36" s="1124"/>
      <c r="P36" s="3403"/>
      <c r="Q36" s="1802" t="str">
        <f t="shared" si="11"/>
        <v>成新度</v>
      </c>
      <c r="R36" s="770" t="s">
        <v>17</v>
      </c>
      <c r="S36" s="771" t="e">
        <f t="shared" si="12"/>
        <v>#N/A</v>
      </c>
      <c r="T36" s="770" t="s">
        <v>17</v>
      </c>
      <c r="U36" s="771" t="e">
        <f t="shared" si="13"/>
        <v>#N/A</v>
      </c>
      <c r="V36" s="770" t="s">
        <v>17</v>
      </c>
      <c r="W36" s="771" t="e">
        <f t="shared" si="14"/>
        <v>#N/A</v>
      </c>
      <c r="X36" s="1805"/>
      <c r="Y36" s="3386"/>
      <c r="Z36" s="1806" t="str">
        <f t="shared" si="15"/>
        <v>成新度</v>
      </c>
      <c r="AA36" s="1803" t="e">
        <f t="shared" si="3"/>
        <v>#N/A</v>
      </c>
      <c r="AB36" s="1803" t="e">
        <f t="shared" si="4"/>
        <v>#N/A</v>
      </c>
      <c r="AC36" s="1803" t="e">
        <f t="shared" si="5"/>
        <v>#N/A</v>
      </c>
    </row>
    <row r="37" spans="1:29" s="116" customFormat="1" ht="15">
      <c r="A37" s="469"/>
      <c r="B37" s="418" t="s">
        <v>2650</v>
      </c>
      <c r="C37" s="2603"/>
      <c r="D37" s="133">
        <v>100</v>
      </c>
      <c r="E37" s="2603"/>
      <c r="F37" s="457">
        <f>SUMIF(112:112,E37,113:113)-SUMIF(112:112,C37,113:113)+100</f>
        <v>100</v>
      </c>
      <c r="G37" s="2603"/>
      <c r="H37" s="431">
        <f>SUMIF(112:112,G37,113:113)-SUMIF(112:112,C37,113:113)+100</f>
        <v>100</v>
      </c>
      <c r="I37" s="2603"/>
      <c r="J37" s="431">
        <f>SUMIF(112:112,I37,113:113)-SUMIF(112:112,C37,113:113)+100</f>
        <v>100</v>
      </c>
      <c r="K37" s="608"/>
      <c r="L37" s="1125"/>
      <c r="M37" s="1126"/>
      <c r="N37" s="1126"/>
      <c r="O37" s="1126"/>
      <c r="P37" s="3403"/>
      <c r="Q37" s="1787" t="str">
        <f t="shared" si="11"/>
        <v>市政基础设施</v>
      </c>
      <c r="R37" s="766" t="s">
        <v>17</v>
      </c>
      <c r="S37" s="767">
        <f t="shared" si="12"/>
        <v>100</v>
      </c>
      <c r="T37" s="766" t="s">
        <v>17</v>
      </c>
      <c r="U37" s="767">
        <f t="shared" si="13"/>
        <v>100</v>
      </c>
      <c r="V37" s="766" t="s">
        <v>17</v>
      </c>
      <c r="W37" s="767">
        <f t="shared" si="14"/>
        <v>100</v>
      </c>
      <c r="X37" s="768"/>
      <c r="Y37" s="3386"/>
      <c r="Z37" s="55" t="str">
        <f t="shared" si="15"/>
        <v>市政基础设施</v>
      </c>
      <c r="AA37" s="769">
        <f t="shared" si="3"/>
        <v>1</v>
      </c>
      <c r="AB37" s="769">
        <f t="shared" si="4"/>
        <v>1</v>
      </c>
      <c r="AC37" s="769">
        <f t="shared" si="5"/>
        <v>1</v>
      </c>
    </row>
    <row r="38" spans="1:29" ht="15">
      <c r="A38" s="468"/>
      <c r="B38" s="418" t="s">
        <v>2651</v>
      </c>
      <c r="C38" s="2603"/>
      <c r="D38" s="431">
        <v>100</v>
      </c>
      <c r="E38" s="2603"/>
      <c r="F38" s="457">
        <f>SUMIF(114:114,E38,115:115)-SUMIF(114:114,C38,115:115)+100</f>
        <v>100</v>
      </c>
      <c r="G38" s="2603"/>
      <c r="H38" s="431">
        <f>SUMIF(114:114,G38,115:115)-SUMIF(114:114,C38,115:115)+100</f>
        <v>100</v>
      </c>
      <c r="I38" s="2603"/>
      <c r="J38" s="431">
        <f>SUMIF(114:114,I38,115:115)-SUMIF(114:114,C38,115:115)+100</f>
        <v>100</v>
      </c>
      <c r="K38" s="608"/>
      <c r="L38" s="1133"/>
      <c r="M38" s="1124"/>
      <c r="N38" s="1124"/>
      <c r="O38" s="1124"/>
      <c r="P38" s="3403" t="s">
        <v>2552</v>
      </c>
      <c r="Q38" s="1802" t="str">
        <f t="shared" si="11"/>
        <v>业态</v>
      </c>
      <c r="R38" s="770" t="s">
        <v>17</v>
      </c>
      <c r="S38" s="771">
        <f t="shared" si="12"/>
        <v>100</v>
      </c>
      <c r="T38" s="770" t="s">
        <v>17</v>
      </c>
      <c r="U38" s="771">
        <f t="shared" si="13"/>
        <v>100</v>
      </c>
      <c r="V38" s="770" t="s">
        <v>17</v>
      </c>
      <c r="W38" s="771">
        <f t="shared" si="14"/>
        <v>100</v>
      </c>
      <c r="X38" s="1805"/>
      <c r="Y38" s="3386" t="s">
        <v>2552</v>
      </c>
      <c r="Z38" s="1806" t="str">
        <f t="shared" si="15"/>
        <v>业态</v>
      </c>
      <c r="AA38" s="1803">
        <f t="shared" si="3"/>
        <v>1</v>
      </c>
      <c r="AB38" s="1803">
        <f t="shared" si="4"/>
        <v>1</v>
      </c>
      <c r="AC38" s="1803">
        <f t="shared" si="5"/>
        <v>1</v>
      </c>
    </row>
    <row r="39" spans="1:29" ht="15">
      <c r="A39" s="468"/>
      <c r="B39" s="418" t="s">
        <v>2652</v>
      </c>
      <c r="C39" s="2603"/>
      <c r="D39" s="431">
        <v>100</v>
      </c>
      <c r="E39" s="2603"/>
      <c r="F39" s="457">
        <f>SUMIF(116:116,E39,117:117)-SUMIF(116:116,C39,117:117)+100</f>
        <v>100</v>
      </c>
      <c r="G39" s="2603"/>
      <c r="H39" s="431">
        <f>SUMIF(116:116,G39,117:117)-SUMIF(116:116,C39,117:117)+100</f>
        <v>100</v>
      </c>
      <c r="I39" s="2603"/>
      <c r="J39" s="431">
        <f>SUMIF(116:116,I39,117:117)-SUMIF(116:116,C39,117:117)+100</f>
        <v>100</v>
      </c>
      <c r="K39" s="608"/>
      <c r="L39" s="1133"/>
      <c r="M39" s="1124"/>
      <c r="N39" s="1124"/>
      <c r="O39" s="1124"/>
      <c r="P39" s="3403"/>
      <c r="Q39" s="1802" t="str">
        <f t="shared" si="11"/>
        <v>层高</v>
      </c>
      <c r="R39" s="770" t="s">
        <v>17</v>
      </c>
      <c r="S39" s="771">
        <f t="shared" si="12"/>
        <v>100</v>
      </c>
      <c r="T39" s="770" t="s">
        <v>17</v>
      </c>
      <c r="U39" s="771">
        <f t="shared" si="13"/>
        <v>100</v>
      </c>
      <c r="V39" s="770" t="s">
        <v>17</v>
      </c>
      <c r="W39" s="771">
        <f t="shared" si="14"/>
        <v>100</v>
      </c>
      <c r="X39" s="1805"/>
      <c r="Y39" s="3386"/>
      <c r="Z39" s="1806" t="str">
        <f t="shared" si="15"/>
        <v>层高</v>
      </c>
      <c r="AA39" s="1803">
        <f t="shared" si="3"/>
        <v>1</v>
      </c>
      <c r="AB39" s="1803">
        <f t="shared" si="4"/>
        <v>1</v>
      </c>
      <c r="AC39" s="1803">
        <f t="shared" si="5"/>
        <v>1</v>
      </c>
    </row>
    <row r="40" spans="1:29" ht="15">
      <c r="A40" s="468"/>
      <c r="B40" s="418" t="s">
        <v>2653</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3"/>
      <c r="M40" s="1124"/>
      <c r="N40" s="1124"/>
      <c r="O40" s="1124"/>
      <c r="P40" s="3403"/>
      <c r="Q40" s="1802" t="str">
        <f t="shared" si="11"/>
        <v>单套建筑面积</v>
      </c>
      <c r="R40" s="770" t="s">
        <v>17</v>
      </c>
      <c r="S40" s="771">
        <f t="shared" si="12"/>
        <v>100</v>
      </c>
      <c r="T40" s="770" t="s">
        <v>17</v>
      </c>
      <c r="U40" s="771">
        <f t="shared" si="13"/>
        <v>100</v>
      </c>
      <c r="V40" s="770" t="s">
        <v>17</v>
      </c>
      <c r="W40" s="771">
        <f t="shared" si="14"/>
        <v>100</v>
      </c>
      <c r="X40" s="1805"/>
      <c r="Y40" s="3386"/>
      <c r="Z40" s="1806" t="str">
        <f t="shared" si="15"/>
        <v>单套建筑面积</v>
      </c>
      <c r="AA40" s="1803">
        <f t="shared" si="3"/>
        <v>1</v>
      </c>
      <c r="AB40" s="1803">
        <f t="shared" si="4"/>
        <v>1</v>
      </c>
      <c r="AC40" s="1803">
        <f t="shared" si="5"/>
        <v>1</v>
      </c>
    </row>
    <row r="41" spans="1:29" s="467" customFormat="1" ht="15">
      <c r="A41" s="464"/>
      <c r="B41" s="1804" t="s">
        <v>2654</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1"/>
      <c r="M41" s="1134"/>
      <c r="N41" s="1134"/>
      <c r="O41" s="1134"/>
      <c r="P41" s="3403"/>
      <c r="Q41" s="772" t="str">
        <f t="shared" si="11"/>
        <v>进深比</v>
      </c>
      <c r="R41" s="773" t="s">
        <v>17</v>
      </c>
      <c r="S41" s="774">
        <f t="shared" si="12"/>
        <v>100</v>
      </c>
      <c r="T41" s="773" t="s">
        <v>17</v>
      </c>
      <c r="U41" s="774">
        <f t="shared" si="13"/>
        <v>100</v>
      </c>
      <c r="V41" s="773" t="s">
        <v>17</v>
      </c>
      <c r="W41" s="774">
        <f t="shared" si="14"/>
        <v>100</v>
      </c>
      <c r="X41" s="775"/>
      <c r="Y41" s="3386"/>
      <c r="Z41" s="776" t="str">
        <f t="shared" si="15"/>
        <v>进深比</v>
      </c>
      <c r="AA41" s="1803">
        <f t="shared" si="3"/>
        <v>1</v>
      </c>
      <c r="AB41" s="1803">
        <f t="shared" si="4"/>
        <v>1</v>
      </c>
      <c r="AC41" s="1803">
        <f t="shared" si="5"/>
        <v>1</v>
      </c>
    </row>
    <row r="42" spans="1:29" ht="15">
      <c r="A42" s="468"/>
      <c r="B42" s="418" t="s">
        <v>2655</v>
      </c>
      <c r="C42" s="2603"/>
      <c r="D42" s="431">
        <v>100</v>
      </c>
      <c r="E42" s="2603"/>
      <c r="F42" s="457">
        <f>SUMIF(122:122,E42,123:123)-SUMIF(122:122,C42,123:123)+100</f>
        <v>100</v>
      </c>
      <c r="G42" s="2603"/>
      <c r="H42" s="431">
        <f>SUMIF(122:122,G42,123:123)-SUMIF(122:122,C42,123:123)+100</f>
        <v>100</v>
      </c>
      <c r="I42" s="2603"/>
      <c r="J42" s="431">
        <f>SUMIF(122:122,I42,123:123)-SUMIF(122:122,C42,123:123)+100</f>
        <v>100</v>
      </c>
      <c r="K42" s="608"/>
      <c r="L42" s="1133"/>
      <c r="M42" s="1124"/>
      <c r="N42" s="1124"/>
      <c r="O42" s="1124"/>
      <c r="P42" s="3403"/>
      <c r="Q42" s="1802" t="str">
        <f t="shared" si="11"/>
        <v>内部装修</v>
      </c>
      <c r="R42" s="770" t="s">
        <v>17</v>
      </c>
      <c r="S42" s="771">
        <f t="shared" si="12"/>
        <v>100</v>
      </c>
      <c r="T42" s="770" t="s">
        <v>17</v>
      </c>
      <c r="U42" s="771">
        <f t="shared" si="13"/>
        <v>100</v>
      </c>
      <c r="V42" s="770" t="s">
        <v>17</v>
      </c>
      <c r="W42" s="771">
        <f t="shared" si="14"/>
        <v>100</v>
      </c>
      <c r="X42" s="1805"/>
      <c r="Y42" s="3386"/>
      <c r="Z42" s="1806" t="str">
        <f t="shared" si="15"/>
        <v>内部装修</v>
      </c>
      <c r="AA42" s="1803">
        <f t="shared" si="3"/>
        <v>1</v>
      </c>
      <c r="AB42" s="1803">
        <f t="shared" si="4"/>
        <v>1</v>
      </c>
      <c r="AC42" s="1803">
        <f t="shared" si="5"/>
        <v>1</v>
      </c>
    </row>
    <row r="43" spans="1:29" ht="15">
      <c r="A43" s="468"/>
      <c r="B43" s="418" t="s">
        <v>2563</v>
      </c>
      <c r="C43" s="2603"/>
      <c r="D43" s="431">
        <v>100</v>
      </c>
      <c r="E43" s="2603"/>
      <c r="F43" s="457">
        <f>SUMIF(124:124,E43,125:125)-SUMIF(124:124,C43,125:125)+100</f>
        <v>100</v>
      </c>
      <c r="G43" s="2603"/>
      <c r="H43" s="431">
        <f>SUMIF(124:124,G43,125:125)-SUMIF(124:124,C43,125:125)+100</f>
        <v>100</v>
      </c>
      <c r="I43" s="2603"/>
      <c r="J43" s="431">
        <f>SUMIF(124:124,I43,125:125)-SUMIF(124:124,C43,125:125)+100</f>
        <v>100</v>
      </c>
      <c r="K43" s="608"/>
      <c r="L43" s="1133"/>
      <c r="M43" s="1124"/>
      <c r="N43" s="1124"/>
      <c r="O43" s="1124"/>
      <c r="P43" s="3403"/>
      <c r="Q43" s="1802" t="str">
        <f t="shared" si="11"/>
        <v>内部装修维护情况</v>
      </c>
      <c r="R43" s="770" t="s">
        <v>17</v>
      </c>
      <c r="S43" s="771">
        <f t="shared" si="12"/>
        <v>100</v>
      </c>
      <c r="T43" s="770" t="s">
        <v>17</v>
      </c>
      <c r="U43" s="771">
        <f t="shared" si="13"/>
        <v>100</v>
      </c>
      <c r="V43" s="770" t="s">
        <v>17</v>
      </c>
      <c r="W43" s="771">
        <f t="shared" si="14"/>
        <v>100</v>
      </c>
      <c r="X43" s="1805"/>
      <c r="Y43" s="3386"/>
      <c r="Z43" s="1806" t="str">
        <f t="shared" si="15"/>
        <v>内部装修维护情况</v>
      </c>
      <c r="AA43" s="1803">
        <f t="shared" si="3"/>
        <v>1</v>
      </c>
      <c r="AB43" s="1803">
        <f t="shared" si="4"/>
        <v>1</v>
      </c>
      <c r="AC43" s="1803">
        <f t="shared" si="5"/>
        <v>1</v>
      </c>
    </row>
    <row r="44" spans="1:29" s="116" customFormat="1" ht="15">
      <c r="A44" s="469"/>
      <c r="B44" s="1379">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125"/>
      <c r="M44" s="1126"/>
      <c r="N44" s="1126"/>
      <c r="O44" s="1126"/>
      <c r="P44" s="3403"/>
      <c r="Q44" s="1787">
        <f t="shared" si="11"/>
        <v>111</v>
      </c>
      <c r="R44" s="766" t="s">
        <v>17</v>
      </c>
      <c r="S44" s="767">
        <f t="shared" si="12"/>
        <v>100</v>
      </c>
      <c r="T44" s="766" t="s">
        <v>17</v>
      </c>
      <c r="U44" s="767">
        <f t="shared" si="13"/>
        <v>100</v>
      </c>
      <c r="V44" s="766" t="s">
        <v>17</v>
      </c>
      <c r="W44" s="767">
        <f t="shared" si="14"/>
        <v>100</v>
      </c>
      <c r="X44" s="768"/>
      <c r="Y44" s="3386"/>
      <c r="Z44" s="55">
        <f t="shared" si="15"/>
        <v>111</v>
      </c>
      <c r="AA44" s="769">
        <f t="shared" si="3"/>
        <v>1</v>
      </c>
      <c r="AB44" s="769">
        <f t="shared" si="4"/>
        <v>1</v>
      </c>
      <c r="AC44" s="769">
        <f t="shared" si="5"/>
        <v>1</v>
      </c>
    </row>
    <row r="45" spans="1:29" ht="15">
      <c r="A45" s="468"/>
      <c r="B45" s="1379">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3"/>
      <c r="M45" s="1124"/>
      <c r="N45" s="1124"/>
      <c r="O45" s="1124"/>
      <c r="P45" s="3403"/>
      <c r="Q45" s="1802">
        <f t="shared" si="11"/>
        <v>111</v>
      </c>
      <c r="R45" s="770" t="s">
        <v>17</v>
      </c>
      <c r="S45" s="771">
        <f t="shared" si="12"/>
        <v>100</v>
      </c>
      <c r="T45" s="770" t="s">
        <v>17</v>
      </c>
      <c r="U45" s="771">
        <f t="shared" si="13"/>
        <v>100</v>
      </c>
      <c r="V45" s="770" t="s">
        <v>17</v>
      </c>
      <c r="W45" s="771">
        <f t="shared" si="14"/>
        <v>100</v>
      </c>
      <c r="X45" s="1805"/>
      <c r="Y45" s="3386"/>
      <c r="Z45" s="1806">
        <f t="shared" si="15"/>
        <v>111</v>
      </c>
      <c r="AA45" s="1803">
        <f t="shared" si="3"/>
        <v>1</v>
      </c>
      <c r="AB45" s="1803">
        <f t="shared" si="4"/>
        <v>1</v>
      </c>
      <c r="AC45" s="1803">
        <f t="shared" si="5"/>
        <v>1</v>
      </c>
    </row>
    <row r="46" spans="1:29" ht="15.75" thickBot="1">
      <c r="A46" s="474"/>
      <c r="B46" s="2592">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3"/>
      <c r="M46" s="1124"/>
      <c r="N46" s="1124"/>
      <c r="O46" s="1124"/>
      <c r="P46" s="3404"/>
      <c r="Q46" s="1802">
        <f t="shared" si="11"/>
        <v>111</v>
      </c>
      <c r="R46" s="770" t="s">
        <v>17</v>
      </c>
      <c r="S46" s="771">
        <f t="shared" si="12"/>
        <v>100</v>
      </c>
      <c r="T46" s="770" t="s">
        <v>17</v>
      </c>
      <c r="U46" s="771">
        <f t="shared" si="13"/>
        <v>100</v>
      </c>
      <c r="V46" s="770" t="s">
        <v>17</v>
      </c>
      <c r="W46" s="771">
        <f t="shared" si="14"/>
        <v>100</v>
      </c>
      <c r="X46" s="1805"/>
      <c r="Y46" s="3405"/>
      <c r="Z46" s="1806">
        <f t="shared" si="15"/>
        <v>111</v>
      </c>
      <c r="AA46" s="1803">
        <f t="shared" si="3"/>
        <v>1</v>
      </c>
      <c r="AB46" s="1803">
        <f t="shared" si="4"/>
        <v>1</v>
      </c>
      <c r="AC46" s="1803">
        <f t="shared" si="5"/>
        <v>1</v>
      </c>
    </row>
    <row r="47" spans="1:29" ht="15">
      <c r="A47" s="475" t="s">
        <v>2564</v>
      </c>
      <c r="B47" s="476"/>
      <c r="C47" s="1400" t="s">
        <v>1</v>
      </c>
      <c r="D47" s="1401"/>
      <c r="E47" s="1402"/>
      <c r="F47" s="1403"/>
      <c r="G47" s="1404"/>
      <c r="H47" s="1405"/>
      <c r="I47" s="1402"/>
      <c r="J47" s="1405"/>
      <c r="K47" s="779"/>
      <c r="L47" s="1136"/>
      <c r="M47" s="1137"/>
      <c r="N47" s="1124"/>
      <c r="O47" s="1137"/>
      <c r="P47" s="3368" t="str">
        <f>A47</f>
        <v>成交单价（元/平方米）</v>
      </c>
      <c r="Q47" s="3368"/>
      <c r="R47" s="3381">
        <f>E47</f>
        <v>0</v>
      </c>
      <c r="S47" s="3381"/>
      <c r="T47" s="3381">
        <f>G47</f>
        <v>0</v>
      </c>
      <c r="U47" s="3381"/>
      <c r="V47" s="3381">
        <f>I47</f>
        <v>0</v>
      </c>
      <c r="W47" s="3381"/>
      <c r="X47" s="755"/>
      <c r="Y47" s="777"/>
      <c r="Z47" s="755"/>
      <c r="AA47" s="755"/>
      <c r="AB47" s="755"/>
      <c r="AC47" s="755"/>
    </row>
    <row r="48" spans="1:29" ht="15.75" thickBot="1">
      <c r="A48" s="482" t="s">
        <v>2656</v>
      </c>
      <c r="B48" s="483"/>
      <c r="C48" s="1406" t="e">
        <f>R49</f>
        <v>#DIV/0!</v>
      </c>
      <c r="D48" s="1407"/>
      <c r="E48" s="1408" t="e">
        <f>R48</f>
        <v>#DIV/0!</v>
      </c>
      <c r="F48" s="1408"/>
      <c r="G48" s="1406" t="e">
        <f>T48</f>
        <v>#DIV/0!</v>
      </c>
      <c r="H48" s="1407"/>
      <c r="I48" s="1408" t="e">
        <f>V48</f>
        <v>#DIV/0!</v>
      </c>
      <c r="J48" s="1407"/>
      <c r="K48" s="780"/>
      <c r="L48" s="1136"/>
      <c r="M48" s="1137"/>
      <c r="N48" s="1124"/>
      <c r="O48" s="1137"/>
      <c r="P48" s="3368" t="str">
        <f>A48</f>
        <v>比较价值（元/平方米）</v>
      </c>
      <c r="Q48" s="336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55"/>
      <c r="Y48" s="755"/>
      <c r="Z48" s="755"/>
      <c r="AA48" s="755"/>
      <c r="AB48" s="755"/>
      <c r="AC48" s="755"/>
    </row>
    <row r="49" spans="1:29" ht="15.75" thickBot="1">
      <c r="A49" s="488" t="s">
        <v>2657</v>
      </c>
      <c r="B49" s="489"/>
      <c r="C49" s="1410" t="e">
        <f>R49</f>
        <v>#DIV/0!</v>
      </c>
      <c r="D49" s="1410"/>
      <c r="E49" s="1410"/>
      <c r="F49" s="1410"/>
      <c r="G49" s="1410"/>
      <c r="H49" s="1410"/>
      <c r="I49" s="1410"/>
      <c r="J49" s="1410"/>
      <c r="K49" s="781"/>
      <c r="L49" s="1136"/>
      <c r="M49" s="1137"/>
      <c r="N49" s="1124"/>
      <c r="O49" s="1137"/>
      <c r="P49" s="3388" t="str">
        <f>A49</f>
        <v>估价对象XX用房的比较价值（楼面单价，元/平方米）</v>
      </c>
      <c r="Q49" s="3389"/>
      <c r="R49" s="3407" t="e">
        <f>IF(F1="售价",ROUND(AVERAGE(R48:V48),0),ROUND(AVERAGE(R48:V48),1))</f>
        <v>#DIV/0!</v>
      </c>
      <c r="S49" s="3407"/>
      <c r="T49" s="3407"/>
      <c r="U49" s="3407"/>
      <c r="V49" s="3407"/>
      <c r="W49" s="340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1"/>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1"/>
      <c r="Q51" s="755"/>
      <c r="R51" s="755"/>
      <c r="S51" s="755"/>
      <c r="T51" s="755"/>
      <c r="U51" s="755"/>
      <c r="V51" s="755"/>
      <c r="W51" s="755"/>
      <c r="X51" s="755"/>
      <c r="Y51" s="755"/>
      <c r="Z51" s="755"/>
      <c r="AA51" s="755"/>
      <c r="AB51" s="755"/>
      <c r="AC51" s="755"/>
    </row>
    <row r="52" spans="1:29" ht="13.5" customHeight="1">
      <c r="A52" s="1137"/>
      <c r="B52" s="1137"/>
      <c r="C52" s="493" t="s">
        <v>2658</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c r="P52" s="671"/>
      <c r="Q52" s="755"/>
      <c r="R52" s="755"/>
      <c r="S52" s="755"/>
      <c r="T52" s="755"/>
      <c r="U52" s="755"/>
      <c r="V52" s="755"/>
      <c r="W52" s="755"/>
      <c r="X52" s="755"/>
      <c r="Y52" s="755"/>
      <c r="Z52" s="755"/>
      <c r="AA52" s="755"/>
      <c r="AB52" s="755"/>
      <c r="AC52" s="755"/>
    </row>
    <row r="53" spans="1:29" ht="13.5" customHeight="1">
      <c r="A53" s="1137"/>
      <c r="B53" s="1137"/>
      <c r="C53" s="493" t="s">
        <v>2659</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c r="P53" s="671"/>
      <c r="Q53" s="755"/>
      <c r="R53" s="755"/>
      <c r="S53" s="755"/>
      <c r="T53" s="755"/>
      <c r="U53" s="755"/>
      <c r="V53" s="755"/>
      <c r="W53" s="755"/>
      <c r="X53" s="755"/>
      <c r="Y53" s="755"/>
      <c r="Z53" s="755"/>
      <c r="AA53" s="755"/>
      <c r="AB53" s="755"/>
      <c r="AC53" s="755"/>
    </row>
    <row r="54" spans="1:29" s="498" customFormat="1" ht="13.5" customHeight="1">
      <c r="A54" s="1138"/>
      <c r="B54" s="1138"/>
      <c r="C54" s="493" t="s">
        <v>2660</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56"/>
      <c r="Q54" s="756"/>
      <c r="R54" s="756"/>
      <c r="S54" s="756"/>
      <c r="T54" s="756"/>
      <c r="U54" s="756"/>
      <c r="V54" s="756"/>
      <c r="W54" s="756"/>
      <c r="X54" s="756"/>
      <c r="Y54" s="756"/>
      <c r="Z54" s="756"/>
      <c r="AA54" s="756"/>
      <c r="AB54" s="756"/>
      <c r="AC54" s="756"/>
    </row>
    <row r="55" spans="1:29" s="498" customFormat="1">
      <c r="A55" s="1138"/>
      <c r="B55" s="1139"/>
      <c r="C55" s="1143"/>
      <c r="D55" s="1138"/>
      <c r="E55" s="1138"/>
      <c r="F55" s="1138"/>
      <c r="G55" s="1138"/>
      <c r="H55" s="1138"/>
      <c r="I55" s="1138"/>
      <c r="J55" s="1138"/>
      <c r="K55" s="1141"/>
      <c r="L55" s="1142"/>
      <c r="M55" s="1138"/>
      <c r="N55" s="1138"/>
      <c r="O55" s="1138"/>
      <c r="P55" s="2656"/>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1"/>
      <c r="Q56" s="755"/>
      <c r="R56" s="755"/>
      <c r="S56" s="755"/>
      <c r="T56" s="755"/>
      <c r="U56" s="755"/>
      <c r="V56" s="755"/>
      <c r="W56" s="755"/>
      <c r="X56" s="755"/>
      <c r="Y56" s="755"/>
      <c r="Z56" s="755"/>
      <c r="AA56" s="755"/>
      <c r="AB56" s="755"/>
      <c r="AC56" s="755"/>
    </row>
    <row r="57" spans="1:29" ht="21.75" thickBot="1">
      <c r="A57" s="759" t="s">
        <v>2661</v>
      </c>
      <c r="B57" s="755"/>
      <c r="C57" s="760"/>
      <c r="D57" s="760"/>
      <c r="E57" s="760"/>
      <c r="F57" s="761"/>
      <c r="G57" s="761"/>
      <c r="H57" s="760"/>
      <c r="I57" s="760"/>
      <c r="J57" s="760"/>
      <c r="K57" s="762"/>
      <c r="L57" s="1154"/>
      <c r="M57" s="1152"/>
      <c r="N57" s="1152"/>
      <c r="O57" s="1152"/>
      <c r="P57" s="2657"/>
      <c r="Q57" s="2658"/>
      <c r="R57" s="755"/>
      <c r="S57" s="755"/>
      <c r="T57" s="755"/>
      <c r="U57" s="755"/>
      <c r="V57" s="755"/>
      <c r="W57" s="755"/>
      <c r="X57" s="755"/>
      <c r="Y57" s="755"/>
      <c r="Z57" s="755"/>
      <c r="AA57" s="755"/>
      <c r="AB57" s="755"/>
      <c r="AC57" s="755"/>
    </row>
    <row r="58" spans="1:29" s="504" customFormat="1" ht="15">
      <c r="A58" s="501" t="s">
        <v>2535</v>
      </c>
      <c r="B58" s="502"/>
      <c r="C58" s="1566" t="str">
        <f>YEAR(C7)&amp;"-"&amp;MONTH(C7)</f>
        <v>2018-8</v>
      </c>
      <c r="D58" s="1567">
        <f>EDATE(C58,-1)</f>
        <v>43282</v>
      </c>
      <c r="E58" s="1567">
        <f t="shared" ref="E58:N58" si="16">EDATE(D58,-1)</f>
        <v>43252</v>
      </c>
      <c r="F58" s="1567">
        <f t="shared" si="16"/>
        <v>43221</v>
      </c>
      <c r="G58" s="1567">
        <f t="shared" si="16"/>
        <v>43191</v>
      </c>
      <c r="H58" s="1567">
        <f t="shared" si="16"/>
        <v>43160</v>
      </c>
      <c r="I58" s="1567">
        <f t="shared" si="16"/>
        <v>43132</v>
      </c>
      <c r="J58" s="1567">
        <f t="shared" si="16"/>
        <v>43101</v>
      </c>
      <c r="K58" s="1567">
        <f t="shared" si="16"/>
        <v>43070</v>
      </c>
      <c r="L58" s="1567">
        <f t="shared" si="16"/>
        <v>43040</v>
      </c>
      <c r="M58" s="1567">
        <f t="shared" si="16"/>
        <v>43009</v>
      </c>
      <c r="N58" s="1567">
        <f t="shared" si="16"/>
        <v>42979</v>
      </c>
      <c r="O58" s="1567">
        <f>EDATE(N58,-1)</f>
        <v>42948</v>
      </c>
      <c r="P58" s="1562"/>
    </row>
    <row r="59" spans="1:29" s="116" customFormat="1" ht="15">
      <c r="A59" s="505"/>
      <c r="B59" s="506"/>
      <c r="C59" s="1565">
        <v>100</v>
      </c>
      <c r="D59" s="508"/>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2639</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6"/>
      <c r="O66" s="1146"/>
      <c r="P66" s="2620"/>
      <c r="Q66" s="500"/>
    </row>
    <row r="67" spans="1:17" ht="15.75" thickTop="1">
      <c r="A67" s="530"/>
      <c r="B67" s="542" t="s">
        <v>2545</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6"/>
      <c r="O69" s="1146"/>
      <c r="P69" s="2620"/>
      <c r="Q69" s="500"/>
    </row>
    <row r="70" spans="1:17" s="467" customFormat="1" ht="15.75" thickTop="1">
      <c r="A70" s="549"/>
      <c r="B70" s="534">
        <f>B12</f>
        <v>111</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111</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32"/>
      <c r="E73" s="532"/>
      <c r="F73" s="532"/>
      <c r="G73" s="556"/>
      <c r="H73" s="558"/>
      <c r="I73" s="558"/>
      <c r="J73" s="558"/>
      <c r="K73" s="558"/>
      <c r="L73" s="558"/>
      <c r="M73" s="559"/>
      <c r="N73" s="1147"/>
      <c r="O73" s="1147"/>
      <c r="P73" s="2621"/>
      <c r="Q73" s="555"/>
    </row>
    <row r="74" spans="1:17" s="467" customFormat="1" ht="15.75" thickTop="1">
      <c r="A74" s="549"/>
      <c r="B74" s="542">
        <f>B14</f>
        <v>111</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2642</v>
      </c>
      <c r="C82" s="656" t="s">
        <v>2662</v>
      </c>
      <c r="D82" s="656" t="s">
        <v>2663</v>
      </c>
      <c r="E82" s="656" t="s">
        <v>2664</v>
      </c>
      <c r="F82" s="656" t="s">
        <v>2665</v>
      </c>
      <c r="G82" s="656" t="s">
        <v>2666</v>
      </c>
      <c r="H82" s="535"/>
      <c r="I82" s="535"/>
      <c r="J82" s="535"/>
      <c r="K82" s="535"/>
      <c r="L82" s="535"/>
      <c r="M82" s="1375"/>
      <c r="N82" s="1146"/>
      <c r="O82" s="1146"/>
      <c r="P82" s="2620"/>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2667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6"/>
      <c r="O87" s="1146"/>
      <c r="P87" s="2620"/>
      <c r="Q87" s="500"/>
    </row>
    <row r="88" spans="1:17" s="116" customFormat="1" ht="15.75" thickTop="1">
      <c r="A88" s="575"/>
      <c r="B88" s="534" t="str">
        <f>B26</f>
        <v>平面位置/可视性</v>
      </c>
      <c r="C88" s="550"/>
      <c r="D88" s="550"/>
      <c r="E88" s="550"/>
      <c r="F88" s="2625"/>
      <c r="G88" s="550"/>
      <c r="H88" s="550"/>
      <c r="I88" s="550"/>
      <c r="J88" s="550"/>
      <c r="K88" s="550"/>
      <c r="L88" s="550"/>
      <c r="M88" s="577"/>
      <c r="N88" s="1144"/>
      <c r="O88" s="1144"/>
      <c r="P88" s="2620"/>
      <c r="Q88" s="500"/>
    </row>
    <row r="89" spans="1:17" s="116" customFormat="1" ht="15.75" thickBot="1">
      <c r="A89" s="575"/>
      <c r="B89" s="539"/>
      <c r="C89" s="556"/>
      <c r="D89" s="532"/>
      <c r="E89" s="532"/>
      <c r="F89" s="532"/>
      <c r="G89" s="532"/>
      <c r="H89" s="532"/>
      <c r="I89" s="532"/>
      <c r="J89" s="532"/>
      <c r="K89" s="532"/>
      <c r="L89" s="532"/>
      <c r="M89" s="532"/>
      <c r="N89" s="1146"/>
      <c r="O89" s="1146"/>
      <c r="P89" s="2620"/>
      <c r="Q89" s="500"/>
    </row>
    <row r="90" spans="1:17" s="467" customFormat="1" ht="15.75" thickTop="1">
      <c r="A90" s="549"/>
      <c r="B90" s="534" t="str">
        <f>B27</f>
        <v>人流量</v>
      </c>
      <c r="C90" s="550"/>
      <c r="D90" s="550"/>
      <c r="E90" s="550"/>
      <c r="F90" s="550"/>
      <c r="G90" s="550"/>
      <c r="H90" s="551"/>
      <c r="I90" s="551"/>
      <c r="J90" s="551"/>
      <c r="K90" s="551"/>
      <c r="L90" s="552"/>
      <c r="M90" s="553"/>
      <c r="N90" s="1147"/>
      <c r="O90" s="1147"/>
      <c r="P90" s="2621"/>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7"/>
      <c r="O91" s="1147"/>
      <c r="P91" s="2621"/>
      <c r="Q91" s="555"/>
    </row>
    <row r="92" spans="1:17" ht="15.75" thickTop="1">
      <c r="A92" s="530"/>
      <c r="B92" s="534" t="str">
        <f>B28</f>
        <v>楼层</v>
      </c>
      <c r="C92" s="550"/>
      <c r="D92" s="550"/>
      <c r="E92" s="550"/>
      <c r="F92" s="550"/>
      <c r="G92" s="550"/>
      <c r="H92" s="550"/>
      <c r="I92" s="550"/>
      <c r="J92" s="550"/>
      <c r="K92" s="550"/>
      <c r="L92" s="576"/>
      <c r="M92" s="577"/>
      <c r="N92" s="1145"/>
      <c r="O92" s="1145"/>
      <c r="P92" s="2620"/>
      <c r="Q92" s="500"/>
    </row>
    <row r="93" spans="1:17" ht="15.75" thickBot="1">
      <c r="A93" s="530"/>
      <c r="B93" s="539"/>
      <c r="C93" s="532"/>
      <c r="D93" s="532"/>
      <c r="E93" s="532"/>
      <c r="F93" s="532"/>
      <c r="G93" s="532"/>
      <c r="H93" s="532"/>
      <c r="I93" s="532"/>
      <c r="J93" s="532"/>
      <c r="K93" s="532"/>
      <c r="L93" s="532"/>
      <c r="M93" s="533"/>
      <c r="N93" s="1146"/>
      <c r="O93" s="1146"/>
      <c r="P93" s="2620"/>
      <c r="Q93" s="500"/>
    </row>
    <row r="94" spans="1:17" ht="15.75" thickTop="1">
      <c r="A94" s="530"/>
      <c r="B94" s="534">
        <f>B29</f>
        <v>111</v>
      </c>
      <c r="C94" s="550"/>
      <c r="D94" s="550"/>
      <c r="E94" s="550"/>
      <c r="F94" s="550"/>
      <c r="G94" s="579"/>
      <c r="H94" s="579"/>
      <c r="I94" s="579"/>
      <c r="J94" s="579"/>
      <c r="K94" s="580"/>
      <c r="L94" s="581"/>
      <c r="M94" s="582"/>
      <c r="N94" s="1145"/>
      <c r="O94" s="1145"/>
      <c r="P94" s="2620"/>
      <c r="Q94" s="500"/>
    </row>
    <row r="95" spans="1:17" ht="15.75" thickBot="1">
      <c r="A95" s="530"/>
      <c r="B95" s="539"/>
      <c r="C95" s="556"/>
      <c r="D95" s="532"/>
      <c r="E95" s="532"/>
      <c r="F95" s="532"/>
      <c r="G95" s="532"/>
      <c r="H95" s="532"/>
      <c r="I95" s="532"/>
      <c r="J95" s="532"/>
      <c r="K95" s="532"/>
      <c r="L95" s="532"/>
      <c r="M95" s="533"/>
      <c r="N95" s="1146"/>
      <c r="O95" s="1146"/>
      <c r="P95" s="2620"/>
      <c r="Q95" s="500"/>
    </row>
    <row r="96" spans="1:17" ht="15.75" thickTop="1">
      <c r="A96" s="530"/>
      <c r="B96" s="534">
        <f>B30</f>
        <v>111</v>
      </c>
      <c r="C96" s="550"/>
      <c r="D96" s="550"/>
      <c r="E96" s="550"/>
      <c r="F96" s="550"/>
      <c r="G96" s="579"/>
      <c r="H96" s="579"/>
      <c r="I96" s="579"/>
      <c r="J96" s="579"/>
      <c r="K96" s="580"/>
      <c r="L96" s="581"/>
      <c r="M96" s="582"/>
      <c r="N96" s="1145"/>
      <c r="O96" s="1145"/>
      <c r="P96" s="2620"/>
      <c r="Q96" s="500"/>
    </row>
    <row r="97" spans="1:17" ht="15.75" thickBot="1">
      <c r="A97" s="530"/>
      <c r="B97" s="539"/>
      <c r="C97" s="556"/>
      <c r="D97" s="532"/>
      <c r="E97" s="532"/>
      <c r="F97" s="532"/>
      <c r="G97" s="532"/>
      <c r="H97" s="532"/>
      <c r="I97" s="532"/>
      <c r="J97" s="532"/>
      <c r="K97" s="532"/>
      <c r="L97" s="532"/>
      <c r="M97" s="533"/>
      <c r="N97" s="1146"/>
      <c r="O97" s="1146"/>
      <c r="P97" s="2620"/>
      <c r="Q97" s="500"/>
    </row>
    <row r="98" spans="1:17" ht="15.75" thickTop="1">
      <c r="A98" s="530"/>
      <c r="B98" s="542">
        <f>B31</f>
        <v>111</v>
      </c>
      <c r="C98" s="550"/>
      <c r="D98" s="550"/>
      <c r="E98" s="550"/>
      <c r="F98" s="550"/>
      <c r="G98" s="583"/>
      <c r="H98" s="583"/>
      <c r="I98" s="583"/>
      <c r="J98" s="583"/>
      <c r="K98" s="584"/>
      <c r="L98" s="585"/>
      <c r="M98" s="586"/>
      <c r="N98" s="1145"/>
      <c r="O98" s="1145"/>
      <c r="P98" s="2620"/>
      <c r="Q98" s="500"/>
    </row>
    <row r="99" spans="1:17" ht="15.75" thickBot="1">
      <c r="A99" s="2626"/>
      <c r="B99" s="565"/>
      <c r="C99" s="566"/>
      <c r="D99" s="566"/>
      <c r="E99" s="566"/>
      <c r="F99" s="566"/>
      <c r="G99" s="587"/>
      <c r="H99" s="587"/>
      <c r="I99" s="587"/>
      <c r="J99" s="587"/>
      <c r="K99" s="587"/>
      <c r="L99" s="587"/>
      <c r="M99" s="588"/>
      <c r="N99" s="1146"/>
      <c r="O99" s="1146"/>
      <c r="P99" s="2620"/>
      <c r="Q99" s="500"/>
    </row>
    <row r="100" spans="1:17">
      <c r="A100" s="523" t="s">
        <v>2550</v>
      </c>
      <c r="B100" s="524" t="s">
        <v>2668</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6"/>
      <c r="O101" s="1146"/>
      <c r="P101" s="2620"/>
      <c r="Q101" s="500"/>
    </row>
    <row r="102" spans="1:17" ht="15.75" thickTop="1">
      <c r="A102" s="530"/>
      <c r="B102" s="534" t="s">
        <v>2600</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3"/>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6"/>
      <c r="O106" s="1146"/>
      <c r="P106" s="2620"/>
      <c r="Q106" s="500"/>
    </row>
    <row r="107" spans="1:17" ht="15" thickTop="1">
      <c r="A107" s="595"/>
      <c r="B107" s="534" t="s">
        <v>2603</v>
      </c>
      <c r="C107" s="550"/>
      <c r="D107" s="550"/>
      <c r="E107" s="550"/>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6"/>
      <c r="O108" s="1146"/>
      <c r="P108" s="2620"/>
      <c r="Q108" s="500"/>
    </row>
    <row r="109" spans="1:17" ht="15" thickTop="1">
      <c r="A109" s="595"/>
      <c r="B109" s="534" t="s">
        <v>1995</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5"/>
      <c r="O109" s="1145"/>
      <c r="P109" s="2620"/>
      <c r="Q109" s="500"/>
    </row>
    <row r="110" spans="1:17">
      <c r="A110" s="595"/>
      <c r="B110" s="542"/>
      <c r="C110" s="599">
        <v>0.5</v>
      </c>
      <c r="D110" s="599">
        <v>0.6</v>
      </c>
      <c r="E110" s="599">
        <v>0.7</v>
      </c>
      <c r="F110" s="599">
        <v>0.8</v>
      </c>
      <c r="G110" s="599">
        <v>0.9</v>
      </c>
      <c r="H110" s="599">
        <v>1.0001</v>
      </c>
      <c r="I110" s="619"/>
      <c r="J110" s="619"/>
      <c r="K110" s="620"/>
      <c r="L110" s="621"/>
      <c r="M110" s="622"/>
      <c r="N110" s="1145"/>
      <c r="O110" s="1145"/>
      <c r="P110" s="2620"/>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6"/>
      <c r="O111" s="1146"/>
      <c r="P111" s="2620"/>
      <c r="Q111" s="500"/>
    </row>
    <row r="112" spans="1:17" s="467" customFormat="1" ht="15" thickTop="1">
      <c r="A112" s="589"/>
      <c r="B112" s="534" t="s">
        <v>2605</v>
      </c>
      <c r="C112" s="550"/>
      <c r="D112" s="550"/>
      <c r="E112" s="550"/>
      <c r="F112" s="550"/>
      <c r="G112" s="550"/>
      <c r="H112" s="579"/>
      <c r="I112" s="579"/>
      <c r="J112" s="579"/>
      <c r="K112" s="580"/>
      <c r="L112" s="581"/>
      <c r="M112" s="582"/>
      <c r="N112" s="1147"/>
      <c r="O112" s="1147"/>
      <c r="P112" s="2621"/>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7"/>
      <c r="O113" s="1147"/>
      <c r="P113" s="2621"/>
      <c r="Q113" s="555"/>
    </row>
    <row r="114" spans="1:17" ht="15" thickTop="1">
      <c r="A114" s="595"/>
      <c r="B114" s="534" t="s">
        <v>2669</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6"/>
      <c r="O115" s="1146"/>
      <c r="P115" s="2620"/>
      <c r="Q115" s="500"/>
    </row>
    <row r="116" spans="1:17" ht="15" thickTop="1">
      <c r="A116" s="595"/>
      <c r="B116" s="534" t="s">
        <v>2670</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2671</v>
      </c>
      <c r="C118" s="623"/>
      <c r="D118" s="623"/>
      <c r="E118" s="623"/>
      <c r="F118" s="623"/>
      <c r="G118" s="623"/>
      <c r="H118" s="551"/>
      <c r="I118" s="551"/>
      <c r="J118" s="551"/>
      <c r="K118" s="551"/>
      <c r="L118" s="552"/>
      <c r="M118" s="553"/>
      <c r="N118" s="1145"/>
      <c r="O118" s="1145"/>
      <c r="P118" s="2620"/>
      <c r="Q118" s="500"/>
    </row>
    <row r="119" spans="1:17" ht="15.75" thickBot="1">
      <c r="A119" s="530"/>
      <c r="B119" s="539"/>
      <c r="C119" s="556"/>
      <c r="D119" s="532"/>
      <c r="E119" s="532"/>
      <c r="F119" s="532"/>
      <c r="G119" s="532"/>
      <c r="H119" s="532"/>
      <c r="I119" s="532"/>
      <c r="J119" s="532"/>
      <c r="K119" s="532"/>
      <c r="L119" s="532"/>
      <c r="M119" s="533"/>
      <c r="N119" s="1146"/>
      <c r="O119" s="1146"/>
      <c r="P119" s="2620"/>
      <c r="Q119" s="500"/>
    </row>
    <row r="120" spans="1:17" s="467" customFormat="1" ht="15" thickTop="1">
      <c r="A120" s="589"/>
      <c r="B120" s="534" t="s">
        <v>2672</v>
      </c>
      <c r="C120" s="579"/>
      <c r="D120" s="579"/>
      <c r="E120" s="579"/>
      <c r="F120" s="579"/>
      <c r="G120" s="551"/>
      <c r="H120" s="551"/>
      <c r="I120" s="551"/>
      <c r="J120" s="551"/>
      <c r="K120" s="551"/>
      <c r="L120" s="552"/>
      <c r="M120" s="553"/>
      <c r="N120" s="1147"/>
      <c r="O120" s="1147"/>
      <c r="P120" s="2621"/>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111</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111</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32"/>
      <c r="E129" s="532"/>
      <c r="F129" s="532"/>
      <c r="G129" s="532"/>
      <c r="H129" s="532"/>
      <c r="I129" s="532"/>
      <c r="J129" s="532"/>
      <c r="K129" s="532"/>
      <c r="L129" s="532"/>
      <c r="M129" s="533"/>
      <c r="N129" s="1146"/>
      <c r="O129" s="1146"/>
      <c r="P129" s="2620"/>
      <c r="Q129" s="500"/>
    </row>
    <row r="130" spans="1:17" ht="15" thickTop="1">
      <c r="A130" s="595"/>
      <c r="B130" s="542">
        <f>B46</f>
        <v>111</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659" t="s">
        <v>2689</v>
      </c>
      <c r="C1" s="1612" t="s">
        <v>2517</v>
      </c>
      <c r="D1" s="1613"/>
      <c r="E1" s="1622"/>
      <c r="F1" s="2574"/>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t="e">
        <f ca="1">IF(C2="——",ROUND(C43*D3/10000,0),ROUND(C43*D3/10000,0)-D2)</f>
        <v>#DIV/0!</v>
      </c>
      <c r="C2" s="2576"/>
      <c r="D2" s="1117" t="e">
        <f ca="1">SUMIF(INDIRECT("'"&amp;F2&amp;"'"&amp;"!A:A"),"承租人权益价值",INDIRECT("'"&amp;F2&amp;"'"&amp;"!c:c"))</f>
        <v>#REF!</v>
      </c>
      <c r="E2" s="2577" t="s">
        <v>2318</v>
      </c>
      <c r="F2" s="2578"/>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4" customFormat="1" ht="28.5" customHeight="1" thickBot="1">
      <c r="A3" s="243" t="s">
        <v>2319</v>
      </c>
      <c r="B3" s="605" t="e">
        <f ca="1">IF(C2="——",C43,ROUND(B2*10000/D3,0))</f>
        <v>#DIV/0!</v>
      </c>
      <c r="C3" s="396" t="s">
        <v>2631</v>
      </c>
      <c r="D3" s="395">
        <f>IF(D1="",'数据-汇总表'!E3,SUMIF('数据-汇总表'!$C19:$C33,D1,'数据-汇总表'!$E19:$E33))</f>
        <v>374875.08999999997</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69" t="s">
        <v>2633</v>
      </c>
      <c r="D4" s="3370"/>
      <c r="E4" s="3371" t="s">
        <v>2634</v>
      </c>
      <c r="F4" s="3372"/>
      <c r="G4" s="3369" t="s">
        <v>2635</v>
      </c>
      <c r="H4" s="3370"/>
      <c r="I4" s="3369" t="s">
        <v>2636</v>
      </c>
      <c r="J4" s="3370"/>
      <c r="K4" s="606" t="s">
        <v>2637</v>
      </c>
      <c r="L4" s="1123"/>
      <c r="M4" s="1124"/>
      <c r="N4" s="1124"/>
      <c r="O4" s="1124"/>
      <c r="P4" s="3373" t="s">
        <v>2638</v>
      </c>
      <c r="Q4" s="3374"/>
      <c r="R4" s="3356" t="s">
        <v>2634</v>
      </c>
      <c r="S4" s="3357"/>
      <c r="T4" s="3356" t="s">
        <v>2635</v>
      </c>
      <c r="U4" s="3357"/>
      <c r="V4" s="3381" t="s">
        <v>2636</v>
      </c>
      <c r="W4" s="3381"/>
      <c r="X4" s="1805"/>
      <c r="Y4" s="3356" t="s">
        <v>2638</v>
      </c>
      <c r="Z4" s="3357"/>
      <c r="AA4" s="3351" t="s">
        <v>2634</v>
      </c>
      <c r="AB4" s="3352" t="s">
        <v>2635</v>
      </c>
      <c r="AC4" s="3351" t="s">
        <v>2636</v>
      </c>
    </row>
    <row r="5" spans="1:29" ht="15">
      <c r="A5" s="400"/>
      <c r="B5" s="401"/>
      <c r="C5" s="3362" t="s">
        <v>2529</v>
      </c>
      <c r="D5" s="3363"/>
      <c r="E5" s="3360" t="s">
        <v>2530</v>
      </c>
      <c r="F5" s="3361"/>
      <c r="G5" s="3362" t="s">
        <v>2531</v>
      </c>
      <c r="H5" s="3363"/>
      <c r="I5" s="3362" t="s">
        <v>2532</v>
      </c>
      <c r="J5" s="3363"/>
      <c r="K5" s="606"/>
      <c r="L5" s="1123"/>
      <c r="M5" s="1124"/>
      <c r="N5" s="1124"/>
      <c r="O5" s="1124"/>
      <c r="P5" s="3375"/>
      <c r="Q5" s="3376"/>
      <c r="R5" s="3358"/>
      <c r="S5" s="3359"/>
      <c r="T5" s="3358"/>
      <c r="U5" s="3359"/>
      <c r="V5" s="3381"/>
      <c r="W5" s="3381"/>
      <c r="X5" s="1805"/>
      <c r="Y5" s="3358"/>
      <c r="Z5" s="3359"/>
      <c r="AA5" s="3352"/>
      <c r="AB5" s="3352"/>
      <c r="AC5" s="3352"/>
    </row>
    <row r="6" spans="1:29" ht="15.75" thickBot="1">
      <c r="A6" s="402"/>
      <c r="B6" s="403"/>
      <c r="C6" s="3364" t="s">
        <v>2533</v>
      </c>
      <c r="D6" s="3365"/>
      <c r="E6" s="3366" t="s">
        <v>2533</v>
      </c>
      <c r="F6" s="3367"/>
      <c r="G6" s="3364" t="s">
        <v>2533</v>
      </c>
      <c r="H6" s="3365"/>
      <c r="I6" s="3364" t="s">
        <v>2533</v>
      </c>
      <c r="J6" s="3365"/>
      <c r="K6" s="606" t="s">
        <v>2534</v>
      </c>
      <c r="L6" s="1123"/>
      <c r="M6" s="1124"/>
      <c r="N6" s="1124"/>
      <c r="O6" s="1124"/>
      <c r="P6" s="3377"/>
      <c r="Q6" s="3378"/>
      <c r="R6" s="3358"/>
      <c r="S6" s="3359"/>
      <c r="T6" s="3379"/>
      <c r="U6" s="3380"/>
      <c r="V6" s="3381"/>
      <c r="W6" s="3381"/>
      <c r="X6" s="1805"/>
      <c r="Y6" s="3379"/>
      <c r="Z6" s="3380"/>
      <c r="AA6" s="3353"/>
      <c r="AB6" s="3353"/>
      <c r="AC6" s="3353"/>
    </row>
    <row r="7" spans="1:29" s="116" customFormat="1" ht="15.75" thickBot="1">
      <c r="A7" s="404" t="s">
        <v>2535</v>
      </c>
      <c r="B7" s="405"/>
      <c r="C7" s="406">
        <f>'数据-取费表'!B2</f>
        <v>43332</v>
      </c>
      <c r="D7" s="407">
        <v>100</v>
      </c>
      <c r="E7" s="408"/>
      <c r="F7" s="409">
        <f>SUMIF(52:52,YEAR(E7)&amp;"-"&amp;MONTH(E7),53:53)</f>
        <v>0</v>
      </c>
      <c r="G7" s="408"/>
      <c r="H7" s="407">
        <f>SUMIF(52:52,YEAR(G7)&amp;"-"&amp;MONTH(G7),53:53)</f>
        <v>0</v>
      </c>
      <c r="I7" s="408"/>
      <c r="J7" s="407">
        <f>SUMIF(52:52,YEAR(I7)&amp;"-"&amp;MONTH(I7),53:53)</f>
        <v>0</v>
      </c>
      <c r="K7" s="607"/>
      <c r="L7" s="1125"/>
      <c r="M7" s="1126"/>
      <c r="N7" s="1126"/>
      <c r="O7" s="1126"/>
      <c r="P7" s="3354" t="s">
        <v>2536</v>
      </c>
      <c r="Q7" s="3382"/>
      <c r="R7" s="766" t="s">
        <v>17</v>
      </c>
      <c r="S7" s="767">
        <f t="shared" ref="S7:S15" si="0">F7</f>
        <v>0</v>
      </c>
      <c r="T7" s="766" t="s">
        <v>17</v>
      </c>
      <c r="U7" s="767">
        <f t="shared" ref="U7:U15" si="1">H7</f>
        <v>0</v>
      </c>
      <c r="V7" s="766" t="s">
        <v>17</v>
      </c>
      <c r="W7" s="767">
        <f t="shared" ref="W7:W15" si="2">J7</f>
        <v>0</v>
      </c>
      <c r="X7" s="768"/>
      <c r="Y7" s="3354" t="s">
        <v>2536</v>
      </c>
      <c r="Z7" s="3355"/>
      <c r="AA7" s="769" t="e">
        <f>D7/F7</f>
        <v>#DIV/0!</v>
      </c>
      <c r="AB7" s="769" t="e">
        <f>D7/H7</f>
        <v>#DIV/0!</v>
      </c>
      <c r="AC7" s="769" t="e">
        <f>D7/J7</f>
        <v>#DIV/0!</v>
      </c>
    </row>
    <row r="8" spans="1:29" s="116" customFormat="1" ht="15.75" thickBot="1">
      <c r="A8" s="404" t="s">
        <v>2537</v>
      </c>
      <c r="B8" s="405"/>
      <c r="C8" s="410" t="s">
        <v>2538</v>
      </c>
      <c r="D8" s="407">
        <v>100</v>
      </c>
      <c r="E8" s="410"/>
      <c r="F8" s="409">
        <f>SUMIF(55:55,E8,56:56)-SUMIF(55:55,C8,56:56)+100</f>
        <v>0</v>
      </c>
      <c r="G8" s="410"/>
      <c r="H8" s="407">
        <f>SUMIF(55:55,G8,56:56)-SUMIF(55:55,C8,56:56)+100</f>
        <v>0</v>
      </c>
      <c r="I8" s="410"/>
      <c r="J8" s="407">
        <f>SUMIF(55:55,I8,56:56)-SUMIF(55:55,C8,56:56)+100</f>
        <v>0</v>
      </c>
      <c r="K8" s="607"/>
      <c r="L8" s="1125"/>
      <c r="M8" s="1126"/>
      <c r="N8" s="1126"/>
      <c r="O8" s="1126"/>
      <c r="P8" s="3354" t="s">
        <v>2539</v>
      </c>
      <c r="Q8" s="3355"/>
      <c r="R8" s="766" t="s">
        <v>17</v>
      </c>
      <c r="S8" s="767">
        <f t="shared" si="0"/>
        <v>0</v>
      </c>
      <c r="T8" s="766" t="s">
        <v>17</v>
      </c>
      <c r="U8" s="767">
        <f t="shared" si="1"/>
        <v>0</v>
      </c>
      <c r="V8" s="766" t="s">
        <v>17</v>
      </c>
      <c r="W8" s="767">
        <f t="shared" si="2"/>
        <v>0</v>
      </c>
      <c r="X8" s="768"/>
      <c r="Y8" s="3354" t="s">
        <v>2539</v>
      </c>
      <c r="Z8" s="3355"/>
      <c r="AA8" s="769" t="e">
        <f t="shared" ref="AA8:AA40" si="3">D8/F8</f>
        <v>#DIV/0!</v>
      </c>
      <c r="AB8" s="769" t="e">
        <f t="shared" ref="AB8:AB40" si="4">D8/H8</f>
        <v>#DIV/0!</v>
      </c>
      <c r="AC8" s="769" t="e">
        <f t="shared" ref="AC8:AC40" si="5">D8/J8</f>
        <v>#DIV/0!</v>
      </c>
    </row>
    <row r="9" spans="1:29" s="116" customFormat="1">
      <c r="A9" s="411" t="s">
        <v>2540</v>
      </c>
      <c r="B9" s="71" t="s">
        <v>2541</v>
      </c>
      <c r="C9" s="412"/>
      <c r="D9" s="132">
        <v>100</v>
      </c>
      <c r="E9" s="415"/>
      <c r="F9" s="132">
        <f>SUMIF(57:57,E9,58:58)-SUMIF(57:57,C9,58:58)+100</f>
        <v>100</v>
      </c>
      <c r="G9" s="413"/>
      <c r="H9" s="132">
        <f>SUMIF(57:57,G9,58:58)-SUMIF(57:57,C9,58:58)+100</f>
        <v>100</v>
      </c>
      <c r="I9" s="413"/>
      <c r="J9" s="132">
        <f>SUMIF(57:57,I9,58:58)-SUMIF(57:57,C9,58:58)+100</f>
        <v>100</v>
      </c>
      <c r="K9" s="607"/>
      <c r="L9" s="1125"/>
      <c r="M9" s="1126"/>
      <c r="N9" s="1126"/>
      <c r="O9" s="1127"/>
      <c r="P9" s="3368" t="s">
        <v>2542</v>
      </c>
      <c r="Q9" s="1787" t="str">
        <f t="shared" ref="Q9:Q15" si="6">B9</f>
        <v>用途</v>
      </c>
      <c r="R9" s="766" t="s">
        <v>17</v>
      </c>
      <c r="S9" s="767">
        <f t="shared" si="0"/>
        <v>100</v>
      </c>
      <c r="T9" s="766" t="s">
        <v>17</v>
      </c>
      <c r="U9" s="767">
        <f t="shared" si="1"/>
        <v>100</v>
      </c>
      <c r="V9" s="766" t="s">
        <v>17</v>
      </c>
      <c r="W9" s="767">
        <f t="shared" si="2"/>
        <v>100</v>
      </c>
      <c r="X9" s="768"/>
      <c r="Y9" s="3224" t="s">
        <v>2543</v>
      </c>
      <c r="Z9" s="55" t="str">
        <f t="shared" ref="Z9:Z15" si="7">Q9</f>
        <v>用途</v>
      </c>
      <c r="AA9" s="769">
        <f t="shared" si="3"/>
        <v>1</v>
      </c>
      <c r="AB9" s="769">
        <f t="shared" si="4"/>
        <v>1</v>
      </c>
      <c r="AC9" s="769">
        <f t="shared" si="5"/>
        <v>1</v>
      </c>
    </row>
    <row r="10" spans="1:29" s="423" customFormat="1" ht="27">
      <c r="A10" s="417"/>
      <c r="B10" s="418" t="s">
        <v>2544</v>
      </c>
      <c r="C10" s="419"/>
      <c r="D10" s="133">
        <v>100</v>
      </c>
      <c r="E10" s="419"/>
      <c r="F10" s="133">
        <f>SUMIF(59:59,E10,60:60)-SUMIF(59:59,C10,60:60)+100</f>
        <v>100</v>
      </c>
      <c r="G10" s="420"/>
      <c r="H10" s="133">
        <f>SUMIF(59:59,G10,60:60)-SUMIF(59:59,C10,60:60)+100</f>
        <v>100</v>
      </c>
      <c r="I10" s="419"/>
      <c r="J10" s="133">
        <f>SUMIF(59:59,I10,60:60)-SUMIF(59:59,C10,60:60)+100</f>
        <v>100</v>
      </c>
      <c r="K10" s="608"/>
      <c r="L10" s="1128"/>
      <c r="M10" s="1129"/>
      <c r="N10" s="1129"/>
      <c r="O10" s="1130"/>
      <c r="P10" s="3368"/>
      <c r="Q10" s="1787" t="str">
        <f t="shared" si="6"/>
        <v>土地使用年限（年）</v>
      </c>
      <c r="R10" s="766" t="s">
        <v>17</v>
      </c>
      <c r="S10" s="767">
        <f t="shared" si="0"/>
        <v>100</v>
      </c>
      <c r="T10" s="766" t="s">
        <v>17</v>
      </c>
      <c r="U10" s="767">
        <f t="shared" si="1"/>
        <v>100</v>
      </c>
      <c r="V10" s="766" t="s">
        <v>17</v>
      </c>
      <c r="W10" s="767">
        <f t="shared" si="2"/>
        <v>100</v>
      </c>
      <c r="X10" s="768"/>
      <c r="Y10" s="3224"/>
      <c r="Z10" s="55" t="str">
        <f t="shared" si="7"/>
        <v>土地使用年限（年）</v>
      </c>
      <c r="AA10" s="769">
        <f t="shared" si="3"/>
        <v>1</v>
      </c>
      <c r="AB10" s="769">
        <f t="shared" si="4"/>
        <v>1</v>
      </c>
      <c r="AC10" s="769">
        <f t="shared" si="5"/>
        <v>1</v>
      </c>
    </row>
    <row r="11" spans="1:29" ht="15">
      <c r="A11" s="424"/>
      <c r="B11" s="418" t="s">
        <v>2545</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31"/>
      <c r="M11" s="1124"/>
      <c r="N11" s="1124"/>
      <c r="O11" s="1132"/>
      <c r="P11" s="3368"/>
      <c r="Q11" s="1787" t="str">
        <f t="shared" si="6"/>
        <v>容积率</v>
      </c>
      <c r="R11" s="766" t="s">
        <v>17</v>
      </c>
      <c r="S11" s="767" t="e">
        <f t="shared" si="0"/>
        <v>#N/A</v>
      </c>
      <c r="T11" s="766" t="s">
        <v>17</v>
      </c>
      <c r="U11" s="767" t="e">
        <f t="shared" si="1"/>
        <v>#N/A</v>
      </c>
      <c r="V11" s="766" t="s">
        <v>17</v>
      </c>
      <c r="W11" s="767" t="e">
        <f t="shared" si="2"/>
        <v>#N/A</v>
      </c>
      <c r="X11" s="768"/>
      <c r="Y11" s="3224"/>
      <c r="Z11" s="55" t="str">
        <f t="shared" si="7"/>
        <v>容积率</v>
      </c>
      <c r="AA11" s="769" t="e">
        <f t="shared" si="3"/>
        <v>#N/A</v>
      </c>
      <c r="AB11" s="769" t="e">
        <f t="shared" si="4"/>
        <v>#N/A</v>
      </c>
      <c r="AC11" s="769" t="e">
        <f t="shared" si="5"/>
        <v>#N/A</v>
      </c>
    </row>
    <row r="12" spans="1:29" s="116" customFormat="1" ht="15">
      <c r="A12" s="427"/>
      <c r="B12" s="2590">
        <v>111</v>
      </c>
      <c r="C12" s="428"/>
      <c r="D12" s="429">
        <v>100</v>
      </c>
      <c r="E12" s="430"/>
      <c r="F12" s="133">
        <f>SUMIF(64:64,E12,65:65)-SUMIF(64:64,C12,65:65)+100</f>
        <v>100</v>
      </c>
      <c r="G12" s="2682"/>
      <c r="H12" s="133">
        <f>SUMIF(64:64,G12,65:65)-SUMIF(64:64,C12,65:65)+100</f>
        <v>100</v>
      </c>
      <c r="I12" s="465"/>
      <c r="J12" s="133">
        <f>SUMIF(64:64,I12,65:65)-SUMIF(64:64,C12,65:65)+100</f>
        <v>100</v>
      </c>
      <c r="K12" s="609"/>
      <c r="L12" s="1125"/>
      <c r="M12" s="1126"/>
      <c r="N12" s="1126"/>
      <c r="O12" s="1127"/>
      <c r="P12" s="3368"/>
      <c r="Q12" s="1787">
        <f t="shared" si="6"/>
        <v>111</v>
      </c>
      <c r="R12" s="766" t="s">
        <v>17</v>
      </c>
      <c r="S12" s="767">
        <f t="shared" si="0"/>
        <v>100</v>
      </c>
      <c r="T12" s="766" t="s">
        <v>17</v>
      </c>
      <c r="U12" s="767">
        <f t="shared" si="1"/>
        <v>100</v>
      </c>
      <c r="V12" s="766" t="s">
        <v>17</v>
      </c>
      <c r="W12" s="767">
        <f t="shared" si="2"/>
        <v>100</v>
      </c>
      <c r="X12" s="768"/>
      <c r="Y12" s="3224"/>
      <c r="Z12" s="55">
        <f t="shared" si="7"/>
        <v>111</v>
      </c>
      <c r="AA12" s="769">
        <f>D12/F12</f>
        <v>1</v>
      </c>
      <c r="AB12" s="769">
        <f>D12/H12</f>
        <v>1</v>
      </c>
      <c r="AC12" s="769">
        <f>D12/J12</f>
        <v>1</v>
      </c>
    </row>
    <row r="13" spans="1:29" ht="15">
      <c r="A13" s="424"/>
      <c r="B13" s="2590">
        <v>111</v>
      </c>
      <c r="C13" s="430"/>
      <c r="D13" s="431">
        <v>100</v>
      </c>
      <c r="E13" s="430"/>
      <c r="F13" s="133">
        <f>SUMIF(66:66,E13,67:67)-SUMIF(66:66,C13,67:67)+100</f>
        <v>100</v>
      </c>
      <c r="G13" s="2682"/>
      <c r="H13" s="431">
        <f>SUMIF(66:66,G13,67:67)-SUMIF(66:66,C13,67:67)+100</f>
        <v>100</v>
      </c>
      <c r="I13" s="465"/>
      <c r="J13" s="431">
        <f>SUMIF(66:66,I13,67:67)-SUMIF(66:66,C13,67:67)+100</f>
        <v>100</v>
      </c>
      <c r="K13" s="609"/>
      <c r="L13" s="1133"/>
      <c r="M13" s="1124"/>
      <c r="N13" s="1124"/>
      <c r="O13" s="1132"/>
      <c r="P13" s="3368"/>
      <c r="Q13" s="1787">
        <f t="shared" si="6"/>
        <v>111</v>
      </c>
      <c r="R13" s="766" t="s">
        <v>17</v>
      </c>
      <c r="S13" s="767">
        <f t="shared" si="0"/>
        <v>100</v>
      </c>
      <c r="T13" s="766" t="s">
        <v>17</v>
      </c>
      <c r="U13" s="767">
        <f t="shared" si="1"/>
        <v>100</v>
      </c>
      <c r="V13" s="766" t="s">
        <v>17</v>
      </c>
      <c r="W13" s="767">
        <f t="shared" si="2"/>
        <v>100</v>
      </c>
      <c r="X13" s="768"/>
      <c r="Y13" s="3224"/>
      <c r="Z13" s="55">
        <f t="shared" si="7"/>
        <v>111</v>
      </c>
      <c r="AA13" s="769">
        <f t="shared" si="3"/>
        <v>1</v>
      </c>
      <c r="AB13" s="769">
        <f t="shared" si="4"/>
        <v>1</v>
      </c>
      <c r="AC13" s="769">
        <f t="shared" si="5"/>
        <v>1</v>
      </c>
    </row>
    <row r="14" spans="1:29" ht="15.75" thickBot="1">
      <c r="A14" s="432"/>
      <c r="B14" s="2592">
        <v>111</v>
      </c>
      <c r="C14" s="433"/>
      <c r="D14" s="434">
        <v>100</v>
      </c>
      <c r="E14" s="433"/>
      <c r="F14" s="434">
        <f>SUMIF(68:68,E14,69:69)-SUMIF(68:68,C14,69:69)+100</f>
        <v>100</v>
      </c>
      <c r="G14" s="2682"/>
      <c r="H14" s="434">
        <f>SUMIF(68:68,G14,69:69)-SUMIF(68:68,C14,69:69)+100</f>
        <v>100</v>
      </c>
      <c r="I14" s="465"/>
      <c r="J14" s="434">
        <f>SUMIF(68:68,I14,69:69)-SUMIF(68:68,C14,69:69)+100</f>
        <v>100</v>
      </c>
      <c r="K14" s="609"/>
      <c r="L14" s="1133"/>
      <c r="M14" s="1124"/>
      <c r="N14" s="1124"/>
      <c r="O14" s="1132"/>
      <c r="P14" s="3368"/>
      <c r="Q14" s="1787">
        <f t="shared" si="6"/>
        <v>111</v>
      </c>
      <c r="R14" s="766" t="s">
        <v>17</v>
      </c>
      <c r="S14" s="767">
        <f t="shared" si="0"/>
        <v>100</v>
      </c>
      <c r="T14" s="766" t="s">
        <v>17</v>
      </c>
      <c r="U14" s="767">
        <f t="shared" si="1"/>
        <v>100</v>
      </c>
      <c r="V14" s="766" t="s">
        <v>17</v>
      </c>
      <c r="W14" s="767">
        <f t="shared" si="2"/>
        <v>100</v>
      </c>
      <c r="X14" s="768"/>
      <c r="Y14" s="3224"/>
      <c r="Z14" s="55">
        <f t="shared" si="7"/>
        <v>111</v>
      </c>
      <c r="AA14" s="769">
        <f t="shared" si="3"/>
        <v>1</v>
      </c>
      <c r="AB14" s="769">
        <f t="shared" si="4"/>
        <v>1</v>
      </c>
      <c r="AC14" s="769">
        <f t="shared" si="5"/>
        <v>1</v>
      </c>
    </row>
    <row r="15" spans="1:29" ht="15">
      <c r="A15" s="436" t="s">
        <v>2546</v>
      </c>
      <c r="B15" s="69" t="s">
        <v>2690</v>
      </c>
      <c r="C15" s="2683">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3"/>
      <c r="M15" s="1124"/>
      <c r="N15" s="1124"/>
      <c r="O15" s="1132"/>
      <c r="P15" s="3383" t="s">
        <v>2547</v>
      </c>
      <c r="Q15" s="1802" t="str">
        <f t="shared" si="6"/>
        <v>产业集聚程度</v>
      </c>
      <c r="R15" s="770" t="s">
        <v>17</v>
      </c>
      <c r="S15" s="771">
        <f t="shared" si="0"/>
        <v>100</v>
      </c>
      <c r="T15" s="770" t="s">
        <v>17</v>
      </c>
      <c r="U15" s="771">
        <f t="shared" si="1"/>
        <v>100</v>
      </c>
      <c r="V15" s="770" t="s">
        <v>17</v>
      </c>
      <c r="W15" s="771">
        <f t="shared" si="2"/>
        <v>100</v>
      </c>
      <c r="X15" s="1805"/>
      <c r="Y15" s="3383" t="s">
        <v>2547</v>
      </c>
      <c r="Z15" s="1806" t="str">
        <f t="shared" si="7"/>
        <v>产业集聚程度</v>
      </c>
      <c r="AA15" s="1803">
        <f t="shared" si="3"/>
        <v>1</v>
      </c>
      <c r="AB15" s="1803">
        <f t="shared" si="4"/>
        <v>1</v>
      </c>
      <c r="AC15" s="1803">
        <f t="shared" si="5"/>
        <v>1</v>
      </c>
    </row>
    <row r="16" spans="1:29" ht="15">
      <c r="A16" s="424"/>
      <c r="B16" s="442"/>
      <c r="C16" s="443"/>
      <c r="D16" s="444"/>
      <c r="E16" s="443"/>
      <c r="F16" s="445"/>
      <c r="G16" s="443"/>
      <c r="H16" s="446"/>
      <c r="I16" s="443"/>
      <c r="J16" s="444"/>
      <c r="K16" s="611"/>
      <c r="L16" s="1133"/>
      <c r="M16" s="1124"/>
      <c r="N16" s="1124"/>
      <c r="O16" s="1132"/>
      <c r="P16" s="3384"/>
      <c r="Q16" s="1802"/>
      <c r="R16" s="770"/>
      <c r="S16" s="771"/>
      <c r="T16" s="770"/>
      <c r="U16" s="771"/>
      <c r="V16" s="770"/>
      <c r="W16" s="771"/>
      <c r="X16" s="1805"/>
      <c r="Y16" s="3384"/>
      <c r="Z16" s="1806"/>
      <c r="AA16" s="1803">
        <v>1</v>
      </c>
      <c r="AB16" s="1803">
        <v>1</v>
      </c>
      <c r="AC16" s="1803">
        <v>1</v>
      </c>
    </row>
    <row r="17" spans="1:29" ht="15">
      <c r="A17" s="424"/>
      <c r="B17" s="447" t="s">
        <v>2090</v>
      </c>
      <c r="C17" s="2597">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3"/>
      <c r="M17" s="1124"/>
      <c r="N17" s="1124"/>
      <c r="O17" s="1132"/>
      <c r="P17" s="3384"/>
      <c r="Q17" s="1802" t="str">
        <f>B17</f>
        <v>交通便捷度</v>
      </c>
      <c r="R17" s="770" t="s">
        <v>17</v>
      </c>
      <c r="S17" s="771">
        <f>F17</f>
        <v>100</v>
      </c>
      <c r="T17" s="770" t="s">
        <v>17</v>
      </c>
      <c r="U17" s="771">
        <f>H17</f>
        <v>100</v>
      </c>
      <c r="V17" s="770" t="s">
        <v>17</v>
      </c>
      <c r="W17" s="771">
        <f>J17</f>
        <v>100</v>
      </c>
      <c r="X17" s="1805"/>
      <c r="Y17" s="3384"/>
      <c r="Z17" s="1806" t="str">
        <f>Q17</f>
        <v>交通便捷度</v>
      </c>
      <c r="AA17" s="1803">
        <f t="shared" si="3"/>
        <v>1</v>
      </c>
      <c r="AB17" s="1803">
        <f t="shared" si="4"/>
        <v>1</v>
      </c>
      <c r="AC17" s="1803">
        <f t="shared" si="5"/>
        <v>1</v>
      </c>
    </row>
    <row r="18" spans="1:29" ht="15">
      <c r="A18" s="424"/>
      <c r="B18" s="452"/>
      <c r="C18" s="2598"/>
      <c r="D18" s="446"/>
      <c r="E18" s="2600"/>
      <c r="F18" s="449"/>
      <c r="G18" s="2599"/>
      <c r="H18" s="444"/>
      <c r="I18" s="2600"/>
      <c r="J18" s="444"/>
      <c r="K18" s="611"/>
      <c r="L18" s="1133"/>
      <c r="M18" s="1124"/>
      <c r="N18" s="1124"/>
      <c r="O18" s="1132"/>
      <c r="P18" s="3384"/>
      <c r="Q18" s="1802"/>
      <c r="R18" s="770"/>
      <c r="S18" s="771"/>
      <c r="T18" s="770"/>
      <c r="U18" s="771"/>
      <c r="V18" s="770"/>
      <c r="W18" s="771"/>
      <c r="X18" s="1805"/>
      <c r="Y18" s="3384"/>
      <c r="Z18" s="1806"/>
      <c r="AA18" s="1803">
        <v>1</v>
      </c>
      <c r="AB18" s="1803">
        <v>1</v>
      </c>
      <c r="AC18" s="1803">
        <v>1</v>
      </c>
    </row>
    <row r="19" spans="1:29" ht="15">
      <c r="A19" s="424"/>
      <c r="B19" s="447" t="s">
        <v>2675</v>
      </c>
      <c r="C19" s="2597">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3"/>
      <c r="M19" s="1124"/>
      <c r="N19" s="1124"/>
      <c r="O19" s="1132"/>
      <c r="P19" s="3384"/>
      <c r="Q19" s="1802" t="str">
        <f>B19</f>
        <v>公共配套设施</v>
      </c>
      <c r="R19" s="770" t="s">
        <v>17</v>
      </c>
      <c r="S19" s="771">
        <f>F19</f>
        <v>100</v>
      </c>
      <c r="T19" s="770" t="s">
        <v>17</v>
      </c>
      <c r="U19" s="771">
        <f>H19</f>
        <v>100</v>
      </c>
      <c r="V19" s="770" t="s">
        <v>17</v>
      </c>
      <c r="W19" s="771">
        <f>J19</f>
        <v>100</v>
      </c>
      <c r="X19" s="1805"/>
      <c r="Y19" s="3384"/>
      <c r="Z19" s="1806" t="str">
        <f>Q19</f>
        <v>公共配套设施</v>
      </c>
      <c r="AA19" s="1803">
        <f t="shared" si="3"/>
        <v>1</v>
      </c>
      <c r="AB19" s="1803">
        <f t="shared" si="4"/>
        <v>1</v>
      </c>
      <c r="AC19" s="1803">
        <f t="shared" si="5"/>
        <v>1</v>
      </c>
    </row>
    <row r="20" spans="1:29" ht="15">
      <c r="A20" s="424"/>
      <c r="B20" s="452"/>
      <c r="C20" s="443"/>
      <c r="D20" s="444"/>
      <c r="E20" s="2595"/>
      <c r="F20" s="445"/>
      <c r="G20" s="2594"/>
      <c r="H20" s="444"/>
      <c r="I20" s="2595"/>
      <c r="J20" s="444"/>
      <c r="K20" s="611"/>
      <c r="L20" s="1133"/>
      <c r="M20" s="1124"/>
      <c r="N20" s="1124"/>
      <c r="O20" s="1132"/>
      <c r="P20" s="3384"/>
      <c r="Q20" s="1802"/>
      <c r="R20" s="770"/>
      <c r="S20" s="771"/>
      <c r="T20" s="770"/>
      <c r="U20" s="771"/>
      <c r="V20" s="770"/>
      <c r="W20" s="771"/>
      <c r="X20" s="1805"/>
      <c r="Y20" s="3384"/>
      <c r="Z20" s="1806"/>
      <c r="AA20" s="1803">
        <v>1</v>
      </c>
      <c r="AB20" s="1803">
        <v>1</v>
      </c>
      <c r="AC20" s="1803">
        <v>1</v>
      </c>
    </row>
    <row r="21" spans="1:29" ht="15">
      <c r="A21" s="424"/>
      <c r="B21" s="1377" t="s">
        <v>2676</v>
      </c>
      <c r="C21" s="2597">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3"/>
      <c r="M21" s="1124"/>
      <c r="N21" s="1124"/>
      <c r="O21" s="1132"/>
      <c r="P21" s="3384"/>
      <c r="Q21" s="1802" t="str">
        <f>B21</f>
        <v>基础设施水平</v>
      </c>
      <c r="R21" s="770" t="s">
        <v>17</v>
      </c>
      <c r="S21" s="771">
        <f>F21</f>
        <v>100</v>
      </c>
      <c r="T21" s="770" t="s">
        <v>17</v>
      </c>
      <c r="U21" s="771">
        <f>H21</f>
        <v>100</v>
      </c>
      <c r="V21" s="770" t="s">
        <v>17</v>
      </c>
      <c r="W21" s="771">
        <f>J21</f>
        <v>100</v>
      </c>
      <c r="X21" s="1805"/>
      <c r="Y21" s="3384"/>
      <c r="Z21" s="1806" t="str">
        <f>Q21</f>
        <v>基础设施水平</v>
      </c>
      <c r="AA21" s="1803">
        <f t="shared" ref="AA21" si="8">D21/F21</f>
        <v>1</v>
      </c>
      <c r="AB21" s="1803">
        <f t="shared" ref="AB21" si="9">D21/H21</f>
        <v>1</v>
      </c>
      <c r="AC21" s="1803">
        <f t="shared" ref="AC21" si="10">D21/J21</f>
        <v>1</v>
      </c>
    </row>
    <row r="22" spans="1:29" ht="15">
      <c r="A22" s="424"/>
      <c r="B22" s="1377"/>
      <c r="C22" s="2598"/>
      <c r="D22" s="444"/>
      <c r="E22" s="443"/>
      <c r="F22" s="445"/>
      <c r="G22" s="443"/>
      <c r="H22" s="444"/>
      <c r="I22" s="443"/>
      <c r="J22" s="444"/>
      <c r="K22" s="1376"/>
      <c r="L22" s="1133"/>
      <c r="M22" s="1124"/>
      <c r="N22" s="1124"/>
      <c r="O22" s="1132"/>
      <c r="P22" s="3384"/>
      <c r="Q22" s="1802"/>
      <c r="R22" s="770"/>
      <c r="S22" s="771"/>
      <c r="T22" s="770"/>
      <c r="U22" s="771"/>
      <c r="V22" s="770"/>
      <c r="W22" s="771"/>
      <c r="X22" s="1805"/>
      <c r="Y22" s="3384"/>
      <c r="Z22" s="1806"/>
      <c r="AA22" s="1803">
        <v>1</v>
      </c>
      <c r="AB22" s="1803">
        <v>1</v>
      </c>
      <c r="AC22" s="1803">
        <v>1</v>
      </c>
    </row>
    <row r="23" spans="1:29" ht="15">
      <c r="A23" s="424"/>
      <c r="B23" s="447" t="s">
        <v>2677</v>
      </c>
      <c r="C23" s="2597">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3"/>
      <c r="M23" s="1124"/>
      <c r="N23" s="1124"/>
      <c r="O23" s="1132"/>
      <c r="P23" s="3384"/>
      <c r="Q23" s="1802" t="str">
        <f>B23</f>
        <v>环境质量</v>
      </c>
      <c r="R23" s="770" t="s">
        <v>17</v>
      </c>
      <c r="S23" s="771">
        <f>F23</f>
        <v>100</v>
      </c>
      <c r="T23" s="770" t="s">
        <v>17</v>
      </c>
      <c r="U23" s="771">
        <f>H23</f>
        <v>100</v>
      </c>
      <c r="V23" s="770" t="s">
        <v>17</v>
      </c>
      <c r="W23" s="771">
        <f>J23</f>
        <v>100</v>
      </c>
      <c r="X23" s="1805"/>
      <c r="Y23" s="3384"/>
      <c r="Z23" s="1806" t="str">
        <f>Q23</f>
        <v>环境质量</v>
      </c>
      <c r="AA23" s="1803">
        <f t="shared" si="3"/>
        <v>1</v>
      </c>
      <c r="AB23" s="1803">
        <f t="shared" si="4"/>
        <v>1</v>
      </c>
      <c r="AC23" s="1803">
        <f t="shared" si="5"/>
        <v>1</v>
      </c>
    </row>
    <row r="24" spans="1:29" ht="15">
      <c r="A24" s="424"/>
      <c r="B24" s="1377"/>
      <c r="C24" s="443"/>
      <c r="D24" s="444"/>
      <c r="E24" s="2595"/>
      <c r="F24" s="445"/>
      <c r="G24" s="2594"/>
      <c r="H24" s="444"/>
      <c r="I24" s="2595"/>
      <c r="J24" s="444"/>
      <c r="K24" s="611"/>
      <c r="L24" s="1133"/>
      <c r="M24" s="1124"/>
      <c r="N24" s="1124"/>
      <c r="O24" s="1132"/>
      <c r="P24" s="3384"/>
      <c r="Q24" s="1802"/>
      <c r="R24" s="770"/>
      <c r="S24" s="771"/>
      <c r="T24" s="770"/>
      <c r="U24" s="771"/>
      <c r="V24" s="770"/>
      <c r="W24" s="771"/>
      <c r="X24" s="1805"/>
      <c r="Y24" s="3384"/>
      <c r="Z24" s="1806"/>
      <c r="AA24" s="1803">
        <v>1</v>
      </c>
      <c r="AB24" s="1803">
        <v>1</v>
      </c>
      <c r="AC24" s="1803">
        <v>1</v>
      </c>
    </row>
    <row r="25" spans="1:29" ht="15">
      <c r="A25" s="400"/>
      <c r="B25" s="1379">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3"/>
      <c r="M25" s="1124"/>
      <c r="N25" s="1124"/>
      <c r="O25" s="1132"/>
      <c r="P25" s="3384"/>
      <c r="Q25" s="1802">
        <f>B25</f>
        <v>111</v>
      </c>
      <c r="R25" s="770" t="s">
        <v>17</v>
      </c>
      <c r="S25" s="771">
        <f>F25</f>
        <v>100</v>
      </c>
      <c r="T25" s="770" t="s">
        <v>17</v>
      </c>
      <c r="U25" s="771">
        <f>H25</f>
        <v>100</v>
      </c>
      <c r="V25" s="770" t="s">
        <v>17</v>
      </c>
      <c r="W25" s="771">
        <f>J25</f>
        <v>100</v>
      </c>
      <c r="X25" s="1805"/>
      <c r="Y25" s="3384"/>
      <c r="Z25" s="1806">
        <f>Q25</f>
        <v>111</v>
      </c>
      <c r="AA25" s="1803">
        <f t="shared" si="3"/>
        <v>1</v>
      </c>
      <c r="AB25" s="1803">
        <f t="shared" si="4"/>
        <v>1</v>
      </c>
      <c r="AC25" s="1803">
        <f t="shared" si="5"/>
        <v>1</v>
      </c>
    </row>
    <row r="26" spans="1:29" ht="15">
      <c r="A26" s="424"/>
      <c r="B26" s="1379">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3"/>
      <c r="M26" s="1124"/>
      <c r="N26" s="1124"/>
      <c r="O26" s="1132"/>
      <c r="P26" s="3384"/>
      <c r="Q26" s="1802">
        <f t="shared" ref="Q26:Q40" si="11">B26</f>
        <v>111</v>
      </c>
      <c r="R26" s="770" t="s">
        <v>17</v>
      </c>
      <c r="S26" s="771">
        <f>F26</f>
        <v>100</v>
      </c>
      <c r="T26" s="770" t="s">
        <v>17</v>
      </c>
      <c r="U26" s="771">
        <f>H26</f>
        <v>100</v>
      </c>
      <c r="V26" s="770" t="s">
        <v>17</v>
      </c>
      <c r="W26" s="771">
        <f>J26</f>
        <v>100</v>
      </c>
      <c r="X26" s="1805"/>
      <c r="Y26" s="3384"/>
      <c r="Z26" s="1806">
        <f>Q26</f>
        <v>111</v>
      </c>
      <c r="AA26" s="1803">
        <f t="shared" si="3"/>
        <v>1</v>
      </c>
      <c r="AB26" s="1803">
        <f t="shared" si="4"/>
        <v>1</v>
      </c>
      <c r="AC26" s="1803">
        <f t="shared" si="5"/>
        <v>1</v>
      </c>
    </row>
    <row r="27" spans="1:29" s="116" customFormat="1" ht="15">
      <c r="A27" s="427"/>
      <c r="B27" s="1379">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5"/>
      <c r="M27" s="1126"/>
      <c r="N27" s="1126"/>
      <c r="O27" s="1127"/>
      <c r="P27" s="3384"/>
      <c r="Q27" s="1787">
        <f t="shared" si="11"/>
        <v>111</v>
      </c>
      <c r="R27" s="766" t="s">
        <v>17</v>
      </c>
      <c r="S27" s="767">
        <f>F27</f>
        <v>100</v>
      </c>
      <c r="T27" s="766" t="s">
        <v>17</v>
      </c>
      <c r="U27" s="767">
        <f>H27</f>
        <v>100</v>
      </c>
      <c r="V27" s="766" t="s">
        <v>17</v>
      </c>
      <c r="W27" s="767">
        <f>J27</f>
        <v>100</v>
      </c>
      <c r="X27" s="768"/>
      <c r="Y27" s="3384"/>
      <c r="Z27" s="55">
        <f>Q27</f>
        <v>111</v>
      </c>
      <c r="AA27" s="1803">
        <f>D27/F27</f>
        <v>1</v>
      </c>
      <c r="AB27" s="1803">
        <f>D27/H27</f>
        <v>1</v>
      </c>
      <c r="AC27" s="1803">
        <f>D27/J27</f>
        <v>1</v>
      </c>
    </row>
    <row r="28" spans="1:29" ht="15.75" thickBot="1">
      <c r="A28" s="432"/>
      <c r="B28" s="1379">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3"/>
      <c r="M28" s="1124"/>
      <c r="N28" s="1124"/>
      <c r="O28" s="1132"/>
      <c r="P28" s="3384"/>
      <c r="Q28" s="1802">
        <f t="shared" si="11"/>
        <v>111</v>
      </c>
      <c r="R28" s="770" t="s">
        <v>17</v>
      </c>
      <c r="S28" s="771">
        <f t="shared" ref="S28:S40" si="12">F28</f>
        <v>100</v>
      </c>
      <c r="T28" s="770" t="s">
        <v>17</v>
      </c>
      <c r="U28" s="771">
        <f t="shared" ref="U28:U40" si="13">H28</f>
        <v>100</v>
      </c>
      <c r="V28" s="770" t="s">
        <v>17</v>
      </c>
      <c r="W28" s="771">
        <f t="shared" ref="W28:W40" si="14">J28</f>
        <v>100</v>
      </c>
      <c r="X28" s="1805"/>
      <c r="Y28" s="3384"/>
      <c r="Z28" s="1806">
        <f t="shared" ref="Z28:Z40" si="15">Q28</f>
        <v>111</v>
      </c>
      <c r="AA28" s="1803">
        <f t="shared" si="3"/>
        <v>1</v>
      </c>
      <c r="AB28" s="1803">
        <f t="shared" si="4"/>
        <v>1</v>
      </c>
      <c r="AC28" s="1803">
        <f t="shared" si="5"/>
        <v>1</v>
      </c>
    </row>
    <row r="29" spans="1:29" ht="15">
      <c r="A29" s="462" t="s">
        <v>2550</v>
      </c>
      <c r="B29" s="71" t="s">
        <v>2680</v>
      </c>
      <c r="C29" s="2669"/>
      <c r="D29" s="463">
        <v>100</v>
      </c>
      <c r="E29" s="2669"/>
      <c r="F29" s="457">
        <f>SUMIF(88:88,E29,89:89)-SUMIF(88:88,C29,89:89)+100</f>
        <v>100</v>
      </c>
      <c r="G29" s="2669"/>
      <c r="H29" s="431">
        <f>SUMIF(88:88,G29,89:89)-SUMIF(88:88,C29,89:89)+100</f>
        <v>100</v>
      </c>
      <c r="I29" s="2669"/>
      <c r="J29" s="463">
        <f>SUMIF(88:88,I29,89:89)-SUMIF(88:88,C29,89:89)+100</f>
        <v>100</v>
      </c>
      <c r="K29" s="608"/>
      <c r="L29" s="1133"/>
      <c r="M29" s="1124"/>
      <c r="N29" s="1124"/>
      <c r="O29" s="1132"/>
      <c r="P29" s="3385" t="s">
        <v>2552</v>
      </c>
      <c r="Q29" s="1802" t="str">
        <f t="shared" si="11"/>
        <v>建筑类型</v>
      </c>
      <c r="R29" s="770" t="s">
        <v>17</v>
      </c>
      <c r="S29" s="771">
        <f t="shared" si="12"/>
        <v>100</v>
      </c>
      <c r="T29" s="770" t="s">
        <v>17</v>
      </c>
      <c r="U29" s="771">
        <f t="shared" si="13"/>
        <v>100</v>
      </c>
      <c r="V29" s="770" t="s">
        <v>17</v>
      </c>
      <c r="W29" s="771">
        <f t="shared" si="14"/>
        <v>100</v>
      </c>
      <c r="X29" s="1805"/>
      <c r="Y29" s="3386" t="s">
        <v>2552</v>
      </c>
      <c r="Z29" s="1806" t="str">
        <f t="shared" si="15"/>
        <v>建筑类型</v>
      </c>
      <c r="AA29" s="1803">
        <f t="shared" si="3"/>
        <v>1</v>
      </c>
      <c r="AB29" s="1803">
        <f t="shared" si="4"/>
        <v>1</v>
      </c>
      <c r="AC29" s="1803">
        <f t="shared" si="5"/>
        <v>1</v>
      </c>
    </row>
    <row r="30" spans="1:29" s="467" customFormat="1" ht="15">
      <c r="A30" s="464"/>
      <c r="B30" s="418" t="s">
        <v>2553</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31"/>
      <c r="M30" s="1134"/>
      <c r="N30" s="1134"/>
      <c r="O30" s="1135"/>
      <c r="P30" s="3386"/>
      <c r="Q30" s="772" t="str">
        <f t="shared" si="11"/>
        <v>项目建筑规模</v>
      </c>
      <c r="R30" s="773" t="s">
        <v>17</v>
      </c>
      <c r="S30" s="774" t="e">
        <f t="shared" si="12"/>
        <v>#N/A</v>
      </c>
      <c r="T30" s="773" t="s">
        <v>17</v>
      </c>
      <c r="U30" s="774" t="e">
        <f t="shared" si="13"/>
        <v>#N/A</v>
      </c>
      <c r="V30" s="773" t="s">
        <v>17</v>
      </c>
      <c r="W30" s="774" t="e">
        <f t="shared" si="14"/>
        <v>#N/A</v>
      </c>
      <c r="X30" s="775"/>
      <c r="Y30" s="3386"/>
      <c r="Z30" s="776" t="str">
        <f t="shared" si="15"/>
        <v>项目建筑规模</v>
      </c>
      <c r="AA30" s="1803" t="e">
        <f t="shared" si="3"/>
        <v>#N/A</v>
      </c>
      <c r="AB30" s="1803" t="e">
        <f t="shared" si="4"/>
        <v>#N/A</v>
      </c>
      <c r="AC30" s="1803" t="e">
        <f t="shared" si="5"/>
        <v>#N/A</v>
      </c>
    </row>
    <row r="31" spans="1:29" ht="15">
      <c r="A31" s="468"/>
      <c r="B31" s="418" t="s">
        <v>2554</v>
      </c>
      <c r="C31" s="456"/>
      <c r="D31" s="431">
        <v>100</v>
      </c>
      <c r="E31" s="456"/>
      <c r="F31" s="457">
        <f>SUMIF(93:93,E31,94:94)-SUMIF(93:93,C31,94:94)+100</f>
        <v>100</v>
      </c>
      <c r="G31" s="456"/>
      <c r="H31" s="431">
        <f>SUMIF(93:93,G31,94:94)-SUMIF(93:93,C31,94:94)+100</f>
        <v>100</v>
      </c>
      <c r="I31" s="456"/>
      <c r="J31" s="431">
        <f>SUMIF(93:93,I31,94:94)-SUMIF(93:93,C31,94:94)+100</f>
        <v>100</v>
      </c>
      <c r="K31" s="608"/>
      <c r="L31" s="1133"/>
      <c r="M31" s="1124"/>
      <c r="N31" s="1124"/>
      <c r="O31" s="1132"/>
      <c r="P31" s="3386"/>
      <c r="Q31" s="1802" t="str">
        <f t="shared" si="11"/>
        <v>建筑结构</v>
      </c>
      <c r="R31" s="770" t="s">
        <v>17</v>
      </c>
      <c r="S31" s="771">
        <f t="shared" si="12"/>
        <v>100</v>
      </c>
      <c r="T31" s="770" t="s">
        <v>17</v>
      </c>
      <c r="U31" s="771">
        <f t="shared" si="13"/>
        <v>100</v>
      </c>
      <c r="V31" s="770" t="s">
        <v>17</v>
      </c>
      <c r="W31" s="771">
        <f t="shared" si="14"/>
        <v>100</v>
      </c>
      <c r="X31" s="1805"/>
      <c r="Y31" s="3386"/>
      <c r="Z31" s="1806" t="str">
        <f t="shared" si="15"/>
        <v>建筑结构</v>
      </c>
      <c r="AA31" s="1803">
        <f t="shared" si="3"/>
        <v>1</v>
      </c>
      <c r="AB31" s="1803">
        <f t="shared" si="4"/>
        <v>1</v>
      </c>
      <c r="AC31" s="1803">
        <f t="shared" si="5"/>
        <v>1</v>
      </c>
    </row>
    <row r="32" spans="1:29" ht="15">
      <c r="A32" s="468"/>
      <c r="B32" s="418" t="s">
        <v>2648</v>
      </c>
      <c r="C32" s="456"/>
      <c r="D32" s="431">
        <v>100</v>
      </c>
      <c r="E32" s="456"/>
      <c r="F32" s="457">
        <f>SUMIF(95:95,E32,96:96)-SUMIF(95:95,C32,96:96)+100</f>
        <v>100</v>
      </c>
      <c r="G32" s="456"/>
      <c r="H32" s="431">
        <f>SUMIF(95:95,G32,96:96)-SUMIF(95:95,C32,96:96)+100</f>
        <v>100</v>
      </c>
      <c r="I32" s="456"/>
      <c r="J32" s="431">
        <f>SUMIF(95:95,I32,96:96)-SUMIF(95:95,C32,96:96)+100</f>
        <v>100</v>
      </c>
      <c r="K32" s="608"/>
      <c r="L32" s="1133"/>
      <c r="M32" s="1124"/>
      <c r="N32" s="1124"/>
      <c r="O32" s="1132"/>
      <c r="P32" s="3386"/>
      <c r="Q32" s="1802" t="str">
        <f t="shared" si="11"/>
        <v>公共部分装修</v>
      </c>
      <c r="R32" s="770" t="s">
        <v>17</v>
      </c>
      <c r="S32" s="771">
        <f t="shared" si="12"/>
        <v>100</v>
      </c>
      <c r="T32" s="770" t="s">
        <v>17</v>
      </c>
      <c r="U32" s="771">
        <f t="shared" si="13"/>
        <v>100</v>
      </c>
      <c r="V32" s="770" t="s">
        <v>17</v>
      </c>
      <c r="W32" s="771">
        <f t="shared" si="14"/>
        <v>100</v>
      </c>
      <c r="X32" s="1805"/>
      <c r="Y32" s="3386"/>
      <c r="Z32" s="1806" t="str">
        <f t="shared" si="15"/>
        <v>公共部分装修</v>
      </c>
      <c r="AA32" s="1803">
        <f t="shared" si="3"/>
        <v>1</v>
      </c>
      <c r="AB32" s="1803">
        <f t="shared" si="4"/>
        <v>1</v>
      </c>
      <c r="AC32" s="1803">
        <f t="shared" si="5"/>
        <v>1</v>
      </c>
    </row>
    <row r="33" spans="1:29" ht="15">
      <c r="A33" s="468"/>
      <c r="B33" s="418" t="s">
        <v>2649</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3"/>
      <c r="M33" s="1124"/>
      <c r="N33" s="1124"/>
      <c r="O33" s="1132"/>
      <c r="P33" s="3386"/>
      <c r="Q33" s="1802" t="str">
        <f t="shared" si="11"/>
        <v>成新度</v>
      </c>
      <c r="R33" s="770" t="s">
        <v>17</v>
      </c>
      <c r="S33" s="771" t="e">
        <f t="shared" si="12"/>
        <v>#N/A</v>
      </c>
      <c r="T33" s="770" t="s">
        <v>17</v>
      </c>
      <c r="U33" s="771" t="e">
        <f t="shared" si="13"/>
        <v>#N/A</v>
      </c>
      <c r="V33" s="770" t="s">
        <v>17</v>
      </c>
      <c r="W33" s="771" t="e">
        <f t="shared" si="14"/>
        <v>#N/A</v>
      </c>
      <c r="X33" s="1805"/>
      <c r="Y33" s="3386"/>
      <c r="Z33" s="1806" t="str">
        <f t="shared" si="15"/>
        <v>成新度</v>
      </c>
      <c r="AA33" s="1803" t="e">
        <f t="shared" si="3"/>
        <v>#N/A</v>
      </c>
      <c r="AB33" s="1803" t="e">
        <f t="shared" si="4"/>
        <v>#N/A</v>
      </c>
      <c r="AC33" s="1803" t="e">
        <f t="shared" si="5"/>
        <v>#N/A</v>
      </c>
    </row>
    <row r="34" spans="1:29" s="116" customFormat="1" ht="15">
      <c r="A34" s="469"/>
      <c r="B34" s="418" t="s">
        <v>2682</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125"/>
      <c r="M34" s="1126"/>
      <c r="N34" s="1126"/>
      <c r="O34" s="1127"/>
      <c r="P34" s="3386"/>
      <c r="Q34" s="1787" t="str">
        <f t="shared" si="11"/>
        <v>物业管理</v>
      </c>
      <c r="R34" s="766" t="s">
        <v>17</v>
      </c>
      <c r="S34" s="767">
        <f t="shared" si="12"/>
        <v>100</v>
      </c>
      <c r="T34" s="766" t="s">
        <v>17</v>
      </c>
      <c r="U34" s="767">
        <f t="shared" si="13"/>
        <v>100</v>
      </c>
      <c r="V34" s="766" t="s">
        <v>17</v>
      </c>
      <c r="W34" s="767">
        <f t="shared" si="14"/>
        <v>100</v>
      </c>
      <c r="X34" s="768"/>
      <c r="Y34" s="3386"/>
      <c r="Z34" s="55" t="str">
        <f t="shared" si="15"/>
        <v>物业管理</v>
      </c>
      <c r="AA34" s="769">
        <f t="shared" si="3"/>
        <v>1</v>
      </c>
      <c r="AB34" s="769">
        <f t="shared" si="4"/>
        <v>1</v>
      </c>
      <c r="AC34" s="769">
        <f t="shared" si="5"/>
        <v>1</v>
      </c>
    </row>
    <row r="35" spans="1:29" ht="15">
      <c r="A35" s="468"/>
      <c r="B35" s="418" t="s">
        <v>2650</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3"/>
      <c r="M35" s="1124"/>
      <c r="N35" s="1124"/>
      <c r="O35" s="1132"/>
      <c r="P35" s="3386" t="s">
        <v>2552</v>
      </c>
      <c r="Q35" s="1802" t="str">
        <f t="shared" si="11"/>
        <v>市政基础设施</v>
      </c>
      <c r="R35" s="770" t="s">
        <v>17</v>
      </c>
      <c r="S35" s="771">
        <f t="shared" si="12"/>
        <v>100</v>
      </c>
      <c r="T35" s="770" t="s">
        <v>17</v>
      </c>
      <c r="U35" s="771">
        <f t="shared" si="13"/>
        <v>100</v>
      </c>
      <c r="V35" s="770" t="s">
        <v>17</v>
      </c>
      <c r="W35" s="771">
        <f t="shared" si="14"/>
        <v>100</v>
      </c>
      <c r="X35" s="1805"/>
      <c r="Y35" s="3386" t="s">
        <v>2552</v>
      </c>
      <c r="Z35" s="1806" t="str">
        <f t="shared" si="15"/>
        <v>市政基础设施</v>
      </c>
      <c r="AA35" s="1803">
        <f t="shared" si="3"/>
        <v>1</v>
      </c>
      <c r="AB35" s="1803">
        <f t="shared" si="4"/>
        <v>1</v>
      </c>
      <c r="AC35" s="1803">
        <f t="shared" si="5"/>
        <v>1</v>
      </c>
    </row>
    <row r="36" spans="1:29" ht="15">
      <c r="A36" s="468"/>
      <c r="B36" s="418" t="s">
        <v>2655</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3"/>
      <c r="M36" s="1124"/>
      <c r="N36" s="1124"/>
      <c r="O36" s="1132"/>
      <c r="P36" s="3386"/>
      <c r="Q36" s="1802" t="str">
        <f t="shared" si="11"/>
        <v>内部装修</v>
      </c>
      <c r="R36" s="770" t="s">
        <v>17</v>
      </c>
      <c r="S36" s="771">
        <f t="shared" si="12"/>
        <v>100</v>
      </c>
      <c r="T36" s="770" t="s">
        <v>17</v>
      </c>
      <c r="U36" s="771">
        <f t="shared" si="13"/>
        <v>100</v>
      </c>
      <c r="V36" s="770" t="s">
        <v>17</v>
      </c>
      <c r="W36" s="771">
        <f t="shared" si="14"/>
        <v>100</v>
      </c>
      <c r="X36" s="1805"/>
      <c r="Y36" s="3386"/>
      <c r="Z36" s="1806" t="str">
        <f t="shared" si="15"/>
        <v>内部装修</v>
      </c>
      <c r="AA36" s="1803">
        <f t="shared" si="3"/>
        <v>1</v>
      </c>
      <c r="AB36" s="1803">
        <f t="shared" si="4"/>
        <v>1</v>
      </c>
      <c r="AC36" s="1803">
        <f t="shared" si="5"/>
        <v>1</v>
      </c>
    </row>
    <row r="37" spans="1:29" ht="15">
      <c r="A37" s="468"/>
      <c r="B37" s="418" t="s">
        <v>2691</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3"/>
      <c r="M37" s="1124"/>
      <c r="N37" s="1124"/>
      <c r="O37" s="1132"/>
      <c r="P37" s="3386"/>
      <c r="Q37" s="1802" t="str">
        <f t="shared" si="11"/>
        <v>内部装修状况</v>
      </c>
      <c r="R37" s="770" t="s">
        <v>17</v>
      </c>
      <c r="S37" s="771">
        <f t="shared" si="12"/>
        <v>100</v>
      </c>
      <c r="T37" s="770" t="s">
        <v>17</v>
      </c>
      <c r="U37" s="771">
        <f t="shared" si="13"/>
        <v>100</v>
      </c>
      <c r="V37" s="770" t="s">
        <v>17</v>
      </c>
      <c r="W37" s="771">
        <f t="shared" si="14"/>
        <v>100</v>
      </c>
      <c r="X37" s="1805"/>
      <c r="Y37" s="3386"/>
      <c r="Z37" s="1806" t="str">
        <f t="shared" si="15"/>
        <v>内部装修状况</v>
      </c>
      <c r="AA37" s="1803">
        <f t="shared" si="3"/>
        <v>1</v>
      </c>
      <c r="AB37" s="1803">
        <f t="shared" si="4"/>
        <v>1</v>
      </c>
      <c r="AC37" s="1803">
        <f t="shared" si="5"/>
        <v>1</v>
      </c>
    </row>
    <row r="38" spans="1:29" s="467" customFormat="1" ht="15">
      <c r="A38" s="464"/>
      <c r="B38" s="1379">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1"/>
      <c r="M38" s="1134"/>
      <c r="N38" s="1134"/>
      <c r="O38" s="1135"/>
      <c r="P38" s="3386"/>
      <c r="Q38" s="772">
        <f t="shared" si="11"/>
        <v>111</v>
      </c>
      <c r="R38" s="773" t="s">
        <v>17</v>
      </c>
      <c r="S38" s="774">
        <f t="shared" si="12"/>
        <v>100</v>
      </c>
      <c r="T38" s="773" t="s">
        <v>17</v>
      </c>
      <c r="U38" s="774">
        <f t="shared" si="13"/>
        <v>100</v>
      </c>
      <c r="V38" s="773" t="s">
        <v>17</v>
      </c>
      <c r="W38" s="774">
        <f t="shared" si="14"/>
        <v>100</v>
      </c>
      <c r="X38" s="775"/>
      <c r="Y38" s="3386"/>
      <c r="Z38" s="776">
        <f t="shared" si="15"/>
        <v>111</v>
      </c>
      <c r="AA38" s="1803">
        <f t="shared" si="3"/>
        <v>1</v>
      </c>
      <c r="AB38" s="1803">
        <f t="shared" si="4"/>
        <v>1</v>
      </c>
      <c r="AC38" s="1803">
        <f t="shared" si="5"/>
        <v>1</v>
      </c>
    </row>
    <row r="39" spans="1:29" ht="15">
      <c r="A39" s="468"/>
      <c r="B39" s="1379">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3"/>
      <c r="M39" s="1124"/>
      <c r="N39" s="1124"/>
      <c r="O39" s="1132"/>
      <c r="P39" s="3386"/>
      <c r="Q39" s="1802">
        <f t="shared" si="11"/>
        <v>111</v>
      </c>
      <c r="R39" s="770" t="s">
        <v>17</v>
      </c>
      <c r="S39" s="771">
        <f t="shared" si="12"/>
        <v>100</v>
      </c>
      <c r="T39" s="770" t="s">
        <v>17</v>
      </c>
      <c r="U39" s="771">
        <f t="shared" si="13"/>
        <v>100</v>
      </c>
      <c r="V39" s="770" t="s">
        <v>17</v>
      </c>
      <c r="W39" s="771">
        <f t="shared" si="14"/>
        <v>100</v>
      </c>
      <c r="X39" s="1805"/>
      <c r="Y39" s="3386"/>
      <c r="Z39" s="1806">
        <f t="shared" si="15"/>
        <v>111</v>
      </c>
      <c r="AA39" s="1803">
        <f t="shared" si="3"/>
        <v>1</v>
      </c>
      <c r="AB39" s="1803">
        <f t="shared" si="4"/>
        <v>1</v>
      </c>
      <c r="AC39" s="1803">
        <f t="shared" si="5"/>
        <v>1</v>
      </c>
    </row>
    <row r="40" spans="1:29" ht="15.75" thickBot="1">
      <c r="A40" s="474"/>
      <c r="B40" s="2592">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3"/>
      <c r="M40" s="1124"/>
      <c r="N40" s="1124"/>
      <c r="O40" s="1132"/>
      <c r="P40" s="3405"/>
      <c r="Q40" s="1802">
        <f t="shared" si="11"/>
        <v>111</v>
      </c>
      <c r="R40" s="770" t="s">
        <v>17</v>
      </c>
      <c r="S40" s="771">
        <f t="shared" si="12"/>
        <v>100</v>
      </c>
      <c r="T40" s="770" t="s">
        <v>17</v>
      </c>
      <c r="U40" s="771">
        <f t="shared" si="13"/>
        <v>100</v>
      </c>
      <c r="V40" s="770" t="s">
        <v>17</v>
      </c>
      <c r="W40" s="771">
        <f t="shared" si="14"/>
        <v>100</v>
      </c>
      <c r="X40" s="1805"/>
      <c r="Y40" s="3405"/>
      <c r="Z40" s="1806">
        <f t="shared" si="15"/>
        <v>111</v>
      </c>
      <c r="AA40" s="1803">
        <f t="shared" si="3"/>
        <v>1</v>
      </c>
      <c r="AB40" s="1803">
        <f t="shared" si="4"/>
        <v>1</v>
      </c>
      <c r="AC40" s="1803">
        <f t="shared" si="5"/>
        <v>1</v>
      </c>
    </row>
    <row r="41" spans="1:29" ht="15">
      <c r="A41" s="475" t="s">
        <v>2564</v>
      </c>
      <c r="B41" s="476"/>
      <c r="C41" s="1400" t="s">
        <v>1</v>
      </c>
      <c r="D41" s="1401"/>
      <c r="E41" s="1402"/>
      <c r="F41" s="1403"/>
      <c r="G41" s="1404"/>
      <c r="H41" s="1405"/>
      <c r="I41" s="1402"/>
      <c r="J41" s="1405"/>
      <c r="K41" s="779"/>
      <c r="L41" s="1136"/>
      <c r="M41" s="1137"/>
      <c r="N41" s="1124"/>
      <c r="O41" s="1137"/>
      <c r="P41" s="3368" t="str">
        <f>A41</f>
        <v>成交单价（元/平方米）</v>
      </c>
      <c r="Q41" s="3368"/>
      <c r="R41" s="3406">
        <f>E41</f>
        <v>0</v>
      </c>
      <c r="S41" s="3406"/>
      <c r="T41" s="3406">
        <f>G41</f>
        <v>0</v>
      </c>
      <c r="U41" s="3406"/>
      <c r="V41" s="3406">
        <f>I41</f>
        <v>0</v>
      </c>
      <c r="W41" s="3406"/>
      <c r="X41" s="755"/>
      <c r="Y41" s="777"/>
      <c r="Z41" s="755"/>
      <c r="AA41" s="755"/>
      <c r="AB41" s="755"/>
      <c r="AC41" s="755"/>
    </row>
    <row r="42" spans="1:29" ht="15.75" thickBot="1">
      <c r="A42" s="482" t="s">
        <v>2656</v>
      </c>
      <c r="B42" s="483"/>
      <c r="C42" s="1406" t="e">
        <f>R43</f>
        <v>#DIV/0!</v>
      </c>
      <c r="D42" s="1407"/>
      <c r="E42" s="1408" t="e">
        <f>R42</f>
        <v>#DIV/0!</v>
      </c>
      <c r="F42" s="1408"/>
      <c r="G42" s="1406" t="e">
        <f>T42</f>
        <v>#DIV/0!</v>
      </c>
      <c r="H42" s="1407"/>
      <c r="I42" s="1408" t="e">
        <f>V42</f>
        <v>#DIV/0!</v>
      </c>
      <c r="J42" s="1407"/>
      <c r="K42" s="780"/>
      <c r="L42" s="1136"/>
      <c r="M42" s="1137"/>
      <c r="N42" s="1124"/>
      <c r="O42" s="1137"/>
      <c r="P42" s="3368" t="str">
        <f>A42</f>
        <v>比较价值（元/平方米）</v>
      </c>
      <c r="Q42" s="3368"/>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755"/>
      <c r="Y42" s="755"/>
      <c r="Z42" s="755"/>
      <c r="AA42" s="755"/>
      <c r="AB42" s="755"/>
      <c r="AC42" s="755"/>
    </row>
    <row r="43" spans="1:29" ht="15.75" thickBot="1">
      <c r="A43" s="488" t="s">
        <v>2657</v>
      </c>
      <c r="B43" s="489"/>
      <c r="C43" s="1410" t="e">
        <f>R43</f>
        <v>#DIV/0!</v>
      </c>
      <c r="D43" s="1410"/>
      <c r="E43" s="1410"/>
      <c r="F43" s="1410"/>
      <c r="G43" s="1410"/>
      <c r="H43" s="1410"/>
      <c r="I43" s="1410"/>
      <c r="J43" s="1410"/>
      <c r="K43" s="781"/>
      <c r="L43" s="1136"/>
      <c r="M43" s="1137"/>
      <c r="N43" s="1137"/>
      <c r="O43" s="1137"/>
      <c r="P43" s="3388" t="str">
        <f>A43</f>
        <v>估价对象XX用房的比较价值（楼面单价，元/平方米）</v>
      </c>
      <c r="Q43" s="3389"/>
      <c r="R43" s="3407" t="e">
        <f>IF(F1="售价",ROUND(AVERAGE(R42:V42),0),ROUND(AVERAGE(R42:V42),1))</f>
        <v>#DIV/0!</v>
      </c>
      <c r="S43" s="3407"/>
      <c r="T43" s="3407"/>
      <c r="U43" s="3407"/>
      <c r="V43" s="3407"/>
      <c r="W43" s="3407"/>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3" t="s">
        <v>2658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8"/>
      <c r="L46" s="1099"/>
      <c r="M46" s="1137"/>
      <c r="N46" s="1137"/>
      <c r="O46" s="1137"/>
    </row>
    <row r="47" spans="1:29" ht="13.5" customHeight="1">
      <c r="A47" s="1137"/>
      <c r="B47" s="1137"/>
      <c r="C47" s="493" t="s">
        <v>2659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8"/>
      <c r="L47" s="1099"/>
      <c r="M47" s="1137"/>
      <c r="N47" s="1137"/>
      <c r="O47" s="1137"/>
    </row>
    <row r="48" spans="1:29" s="498" customFormat="1" ht="13.5" customHeight="1">
      <c r="A48" s="1138"/>
      <c r="B48" s="1138"/>
      <c r="C48" s="493" t="s">
        <v>2660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1"/>
      <c r="L48" s="1142"/>
      <c r="M48" s="1138"/>
      <c r="N48" s="1138"/>
      <c r="O48" s="1138"/>
    </row>
    <row r="49" spans="1:17" s="498"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2661</v>
      </c>
      <c r="B51" s="755"/>
      <c r="C51" s="760"/>
      <c r="D51" s="760"/>
      <c r="E51" s="760"/>
      <c r="F51" s="761"/>
      <c r="G51" s="761"/>
      <c r="H51" s="760"/>
      <c r="I51" s="760"/>
      <c r="J51" s="760"/>
      <c r="K51" s="1153"/>
      <c r="L51" s="1154"/>
      <c r="M51" s="1152"/>
      <c r="N51" s="1152"/>
      <c r="O51" s="1152"/>
      <c r="P51" s="499"/>
      <c r="Q51" s="500"/>
    </row>
    <row r="52" spans="1:17" s="504" customFormat="1" ht="15">
      <c r="A52" s="501" t="s">
        <v>2535</v>
      </c>
      <c r="B52" s="502"/>
      <c r="C52" s="1566" t="str">
        <f>YEAR(C7)&amp;"-"&amp;MONTH(C7)</f>
        <v>2018-8</v>
      </c>
      <c r="D52" s="1567">
        <f>EDATE(C52,-1)</f>
        <v>43282</v>
      </c>
      <c r="E52" s="1567">
        <f t="shared" ref="E52:O52" si="16">EDATE(D52,-1)</f>
        <v>43252</v>
      </c>
      <c r="F52" s="1567">
        <f t="shared" si="16"/>
        <v>43221</v>
      </c>
      <c r="G52" s="1567">
        <f t="shared" si="16"/>
        <v>43191</v>
      </c>
      <c r="H52" s="1567">
        <f t="shared" si="16"/>
        <v>43160</v>
      </c>
      <c r="I52" s="1567">
        <f t="shared" si="16"/>
        <v>43132</v>
      </c>
      <c r="J52" s="1567">
        <f t="shared" si="16"/>
        <v>43101</v>
      </c>
      <c r="K52" s="1567">
        <f t="shared" si="16"/>
        <v>43070</v>
      </c>
      <c r="L52" s="1567">
        <f t="shared" si="16"/>
        <v>43040</v>
      </c>
      <c r="M52" s="1567">
        <f t="shared" si="16"/>
        <v>43009</v>
      </c>
      <c r="N52" s="1567">
        <f t="shared" si="16"/>
        <v>42979</v>
      </c>
      <c r="O52" s="1567">
        <f t="shared" si="16"/>
        <v>42948</v>
      </c>
      <c r="P52" s="503"/>
    </row>
    <row r="53" spans="1:17" s="116" customFormat="1" ht="15">
      <c r="A53" s="505"/>
      <c r="B53" s="506"/>
      <c r="C53" s="1565">
        <v>100</v>
      </c>
      <c r="D53" s="508"/>
      <c r="E53" s="508"/>
      <c r="F53" s="508"/>
      <c r="G53" s="508"/>
      <c r="H53" s="508"/>
      <c r="I53" s="508"/>
      <c r="J53" s="508"/>
      <c r="K53" s="508"/>
      <c r="L53" s="508"/>
      <c r="M53" s="509"/>
      <c r="N53" s="508"/>
      <c r="O53" s="510"/>
      <c r="P53" s="500"/>
    </row>
    <row r="54" spans="1:17" s="116" customFormat="1" ht="15.75" thickBot="1">
      <c r="A54" s="511" t="s">
        <v>2572</v>
      </c>
      <c r="B54" s="512"/>
      <c r="C54" s="513"/>
      <c r="D54" s="514"/>
      <c r="E54" s="514"/>
      <c r="F54" s="514"/>
      <c r="G54" s="514"/>
      <c r="H54" s="514"/>
      <c r="I54" s="514"/>
      <c r="J54" s="514"/>
      <c r="K54" s="514"/>
      <c r="L54" s="514"/>
      <c r="M54" s="515"/>
      <c r="N54" s="514"/>
      <c r="O54" s="516"/>
      <c r="P54" s="500"/>
      <c r="Q54" s="500"/>
    </row>
    <row r="55" spans="1:17" s="116" customFormat="1" ht="15">
      <c r="A55" s="517" t="s">
        <v>2537</v>
      </c>
      <c r="B55" s="506"/>
      <c r="C55" s="518" t="s">
        <v>2639</v>
      </c>
      <c r="D55" s="519"/>
      <c r="E55" s="519"/>
      <c r="F55" s="519"/>
      <c r="G55" s="519"/>
      <c r="H55" s="519"/>
      <c r="I55" s="519"/>
      <c r="J55" s="519"/>
      <c r="K55" s="519"/>
      <c r="L55" s="520"/>
      <c r="M55" s="521"/>
      <c r="N55" s="1144"/>
      <c r="O55" s="1144"/>
      <c r="P55" s="522"/>
      <c r="Q55" s="500"/>
    </row>
    <row r="56" spans="1:17" s="116" customFormat="1" ht="15.75" thickBot="1">
      <c r="A56" s="517"/>
      <c r="B56" s="506"/>
      <c r="C56" s="635">
        <v>100</v>
      </c>
      <c r="D56" s="508"/>
      <c r="E56" s="508"/>
      <c r="F56" s="508"/>
      <c r="G56" s="508"/>
      <c r="H56" s="508"/>
      <c r="I56" s="508"/>
      <c r="J56" s="508"/>
      <c r="K56" s="508"/>
      <c r="L56" s="508"/>
      <c r="M56" s="510"/>
      <c r="N56" s="1144"/>
      <c r="O56" s="1144"/>
      <c r="P56" s="500"/>
      <c r="Q56" s="500"/>
    </row>
    <row r="57" spans="1:17">
      <c r="A57" s="523" t="s">
        <v>2575</v>
      </c>
      <c r="B57" s="524" t="s">
        <v>2541</v>
      </c>
      <c r="C57" s="525">
        <f>C9</f>
        <v>0</v>
      </c>
      <c r="D57" s="526"/>
      <c r="E57" s="526"/>
      <c r="F57" s="526"/>
      <c r="G57" s="526"/>
      <c r="H57" s="526"/>
      <c r="I57" s="526"/>
      <c r="J57" s="526"/>
      <c r="K57" s="527"/>
      <c r="L57" s="528"/>
      <c r="M57" s="529"/>
      <c r="N57" s="1145"/>
      <c r="O57" s="1145"/>
      <c r="P57" s="45"/>
      <c r="Q57" s="500"/>
    </row>
    <row r="58" spans="1:17" ht="15.75" thickBot="1">
      <c r="A58" s="530"/>
      <c r="B58" s="531"/>
      <c r="C58" s="532">
        <v>100</v>
      </c>
      <c r="D58" s="532"/>
      <c r="E58" s="532"/>
      <c r="F58" s="532"/>
      <c r="G58" s="532"/>
      <c r="H58" s="532"/>
      <c r="I58" s="532"/>
      <c r="J58" s="532"/>
      <c r="K58" s="532"/>
      <c r="L58" s="532"/>
      <c r="M58" s="533"/>
      <c r="N58" s="1146"/>
      <c r="O58" s="1146"/>
      <c r="P58" s="45"/>
      <c r="Q58" s="500"/>
    </row>
    <row r="59" spans="1:17" ht="27.75" thickTop="1">
      <c r="A59" s="530"/>
      <c r="B59" s="534" t="s">
        <v>2544</v>
      </c>
      <c r="C59" s="535" t="s">
        <v>2576</v>
      </c>
      <c r="D59" s="535" t="s">
        <v>2577</v>
      </c>
      <c r="E59" s="535" t="s">
        <v>2578</v>
      </c>
      <c r="F59" s="535" t="s">
        <v>2579</v>
      </c>
      <c r="G59" s="535" t="s">
        <v>2580</v>
      </c>
      <c r="H59" s="535" t="s">
        <v>2581</v>
      </c>
      <c r="I59" s="535" t="s">
        <v>2582</v>
      </c>
      <c r="J59" s="535"/>
      <c r="K59" s="536"/>
      <c r="L59" s="537"/>
      <c r="M59" s="538"/>
      <c r="N59" s="1145"/>
      <c r="O59" s="1145"/>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6"/>
      <c r="O60" s="1146"/>
      <c r="P60" s="45"/>
      <c r="Q60" s="500"/>
    </row>
    <row r="61" spans="1:17" ht="15.75" thickTop="1">
      <c r="A61" s="530"/>
      <c r="B61" s="542" t="s">
        <v>2545</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6"/>
      <c r="O61" s="1146"/>
      <c r="P61" s="45"/>
      <c r="Q61" s="500"/>
    </row>
    <row r="62" spans="1:17" ht="15">
      <c r="A62" s="530"/>
      <c r="B62" s="544"/>
      <c r="C62" s="545"/>
      <c r="D62" s="545"/>
      <c r="E62" s="545"/>
      <c r="F62" s="545"/>
      <c r="G62" s="545"/>
      <c r="H62" s="545"/>
      <c r="I62" s="545"/>
      <c r="J62" s="545"/>
      <c r="K62" s="546"/>
      <c r="L62" s="547"/>
      <c r="M62" s="548"/>
      <c r="N62" s="1145"/>
      <c r="O62" s="1145"/>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6"/>
      <c r="O63" s="1146"/>
      <c r="P63" s="45"/>
      <c r="Q63" s="500"/>
    </row>
    <row r="64" spans="1:17" s="467" customFormat="1" ht="15.75" thickTop="1">
      <c r="A64" s="549"/>
      <c r="B64" s="534">
        <f>B12</f>
        <v>111</v>
      </c>
      <c r="C64" s="550"/>
      <c r="D64" s="550"/>
      <c r="E64" s="550"/>
      <c r="F64" s="550"/>
      <c r="G64" s="550"/>
      <c r="H64" s="551"/>
      <c r="I64" s="551"/>
      <c r="J64" s="551"/>
      <c r="K64" s="551"/>
      <c r="L64" s="552"/>
      <c r="M64" s="553"/>
      <c r="N64" s="1147"/>
      <c r="O64" s="1147"/>
      <c r="P64" s="554"/>
      <c r="Q64" s="555"/>
    </row>
    <row r="65" spans="1:17" s="467" customFormat="1" ht="15.75" thickBot="1">
      <c r="A65" s="549"/>
      <c r="B65" s="539"/>
      <c r="C65" s="556"/>
      <c r="D65" s="532"/>
      <c r="E65" s="532"/>
      <c r="F65" s="532"/>
      <c r="G65" s="532"/>
      <c r="H65" s="532"/>
      <c r="I65" s="532"/>
      <c r="J65" s="532"/>
      <c r="K65" s="532"/>
      <c r="L65" s="532"/>
      <c r="M65" s="533"/>
      <c r="N65" s="1146"/>
      <c r="O65" s="1146"/>
      <c r="P65" s="554"/>
      <c r="Q65" s="555"/>
    </row>
    <row r="66" spans="1:17" s="467" customFormat="1" ht="15.75" thickTop="1">
      <c r="A66" s="549"/>
      <c r="B66" s="534">
        <f>B13</f>
        <v>111</v>
      </c>
      <c r="C66" s="550"/>
      <c r="D66" s="550"/>
      <c r="E66" s="550"/>
      <c r="F66" s="550"/>
      <c r="G66" s="550"/>
      <c r="H66" s="551"/>
      <c r="I66" s="551"/>
      <c r="J66" s="551"/>
      <c r="K66" s="551"/>
      <c r="L66" s="552"/>
      <c r="M66" s="553"/>
      <c r="N66" s="1147"/>
      <c r="O66" s="1147"/>
      <c r="P66" s="466"/>
      <c r="Q66" s="557"/>
    </row>
    <row r="67" spans="1:17" s="467" customFormat="1" ht="15.75" thickBot="1">
      <c r="A67" s="549"/>
      <c r="B67" s="539"/>
      <c r="C67" s="556"/>
      <c r="D67" s="532"/>
      <c r="E67" s="532"/>
      <c r="F67" s="532"/>
      <c r="G67" s="556"/>
      <c r="H67" s="558"/>
      <c r="I67" s="558"/>
      <c r="J67" s="558"/>
      <c r="K67" s="558"/>
      <c r="L67" s="558"/>
      <c r="M67" s="559"/>
      <c r="N67" s="1147"/>
      <c r="O67" s="1147"/>
      <c r="P67" s="554"/>
      <c r="Q67" s="555"/>
    </row>
    <row r="68" spans="1:17" s="467" customFormat="1" ht="15.75" thickTop="1">
      <c r="A68" s="549"/>
      <c r="B68" s="542">
        <f>B14</f>
        <v>111</v>
      </c>
      <c r="C68" s="519"/>
      <c r="D68" s="519"/>
      <c r="E68" s="519"/>
      <c r="F68" s="519"/>
      <c r="G68" s="519"/>
      <c r="H68" s="560"/>
      <c r="I68" s="560"/>
      <c r="J68" s="560"/>
      <c r="K68" s="560"/>
      <c r="L68" s="561"/>
      <c r="M68" s="562"/>
      <c r="N68" s="1147"/>
      <c r="O68" s="1147"/>
      <c r="P68" s="563"/>
      <c r="Q68" s="555"/>
    </row>
    <row r="69" spans="1:17" s="467" customFormat="1" ht="15.75" thickBot="1">
      <c r="A69" s="564"/>
      <c r="B69" s="565"/>
      <c r="C69" s="566"/>
      <c r="D69" s="566"/>
      <c r="E69" s="566"/>
      <c r="F69" s="566"/>
      <c r="G69" s="566"/>
      <c r="H69" s="567"/>
      <c r="I69" s="567"/>
      <c r="J69" s="567"/>
      <c r="K69" s="567"/>
      <c r="L69" s="567"/>
      <c r="M69" s="568"/>
      <c r="N69" s="1147"/>
      <c r="O69" s="1147"/>
      <c r="P69" s="554"/>
      <c r="Q69" s="555"/>
    </row>
    <row r="70" spans="1:17">
      <c r="A70" s="523" t="s">
        <v>2546</v>
      </c>
      <c r="B70" s="524" t="s">
        <v>2692</v>
      </c>
      <c r="C70" s="569" t="s">
        <v>2584</v>
      </c>
      <c r="D70" s="569" t="s">
        <v>2585</v>
      </c>
      <c r="E70" s="569" t="s">
        <v>2586</v>
      </c>
      <c r="F70" s="569" t="s">
        <v>2587</v>
      </c>
      <c r="G70" s="569" t="s">
        <v>2588</v>
      </c>
      <c r="H70" s="525"/>
      <c r="I70" s="525"/>
      <c r="J70" s="525"/>
      <c r="K70" s="570"/>
      <c r="L70" s="571"/>
      <c r="M70" s="572"/>
      <c r="N70" s="1145"/>
      <c r="O70" s="1145"/>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6"/>
      <c r="O71" s="1146"/>
      <c r="P71" s="45"/>
      <c r="Q71" s="500"/>
    </row>
    <row r="72" spans="1:17" ht="15.75" thickTop="1">
      <c r="A72" s="530"/>
      <c r="B72" s="534" t="s">
        <v>2589</v>
      </c>
      <c r="C72" s="574" t="s">
        <v>2584</v>
      </c>
      <c r="D72" s="574" t="s">
        <v>2585</v>
      </c>
      <c r="E72" s="574" t="s">
        <v>2586</v>
      </c>
      <c r="F72" s="574" t="s">
        <v>2587</v>
      </c>
      <c r="G72" s="574" t="s">
        <v>2588</v>
      </c>
      <c r="H72" s="535"/>
      <c r="I72" s="535"/>
      <c r="J72" s="535"/>
      <c r="K72" s="536"/>
      <c r="L72" s="537"/>
      <c r="M72" s="538"/>
      <c r="N72" s="1145"/>
      <c r="O72" s="1145"/>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6"/>
      <c r="O73" s="1146"/>
      <c r="P73" s="45"/>
      <c r="Q73" s="500"/>
    </row>
    <row r="74" spans="1:17" ht="15.75" thickTop="1">
      <c r="A74" s="530"/>
      <c r="B74" s="534" t="s">
        <v>2590</v>
      </c>
      <c r="C74" s="574" t="s">
        <v>2584</v>
      </c>
      <c r="D74" s="574" t="s">
        <v>2585</v>
      </c>
      <c r="E74" s="574" t="s">
        <v>2586</v>
      </c>
      <c r="F74" s="574" t="s">
        <v>2587</v>
      </c>
      <c r="G74" s="574" t="s">
        <v>2588</v>
      </c>
      <c r="H74" s="535"/>
      <c r="I74" s="535"/>
      <c r="J74" s="535"/>
      <c r="K74" s="536"/>
      <c r="L74" s="537"/>
      <c r="M74" s="538"/>
      <c r="N74" s="1145"/>
      <c r="O74" s="1145"/>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6"/>
      <c r="O75" s="1146"/>
      <c r="P75" s="45"/>
      <c r="Q75" s="500"/>
    </row>
    <row r="76" spans="1:17" ht="15.75" thickTop="1">
      <c r="A76" s="530"/>
      <c r="B76" s="542" t="s">
        <v>2676</v>
      </c>
      <c r="C76" s="656" t="s">
        <v>2662</v>
      </c>
      <c r="D76" s="656" t="s">
        <v>2663</v>
      </c>
      <c r="E76" s="656" t="s">
        <v>2664</v>
      </c>
      <c r="F76" s="656" t="s">
        <v>2665</v>
      </c>
      <c r="G76" s="656" t="s">
        <v>2666</v>
      </c>
      <c r="H76" s="535"/>
      <c r="I76" s="535"/>
      <c r="J76" s="535"/>
      <c r="K76" s="535"/>
      <c r="L76" s="535"/>
      <c r="M76" s="1375"/>
      <c r="N76" s="1146"/>
      <c r="O76" s="1146"/>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6"/>
      <c r="O77" s="1146"/>
      <c r="P77" s="45"/>
      <c r="Q77" s="500"/>
    </row>
    <row r="78" spans="1:17" ht="15.75" thickTop="1">
      <c r="A78" s="530"/>
      <c r="B78" s="534" t="s">
        <v>2685</v>
      </c>
      <c r="C78" s="574" t="s">
        <v>2584</v>
      </c>
      <c r="D78" s="574" t="s">
        <v>2585</v>
      </c>
      <c r="E78" s="574" t="s">
        <v>2586</v>
      </c>
      <c r="F78" s="574" t="s">
        <v>2587</v>
      </c>
      <c r="G78" s="574" t="s">
        <v>2588</v>
      </c>
      <c r="H78" s="535"/>
      <c r="I78" s="535"/>
      <c r="J78" s="535"/>
      <c r="K78" s="536"/>
      <c r="L78" s="537"/>
      <c r="M78" s="538"/>
      <c r="N78" s="1145"/>
      <c r="O78" s="1145"/>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6"/>
      <c r="O79" s="1146"/>
      <c r="P79" s="45"/>
      <c r="Q79" s="500"/>
    </row>
    <row r="80" spans="1:17" s="116" customFormat="1" ht="15.75" thickTop="1">
      <c r="A80" s="575"/>
      <c r="B80" s="534">
        <f>B25</f>
        <v>111</v>
      </c>
      <c r="C80" s="550"/>
      <c r="D80" s="550"/>
      <c r="E80" s="550"/>
      <c r="F80" s="550"/>
      <c r="G80" s="550"/>
      <c r="H80" s="550"/>
      <c r="I80" s="550"/>
      <c r="J80" s="550"/>
      <c r="K80" s="550"/>
      <c r="L80" s="576"/>
      <c r="M80" s="577"/>
      <c r="N80" s="1144"/>
      <c r="O80" s="1144"/>
      <c r="P80" s="45"/>
      <c r="Q80" s="500"/>
    </row>
    <row r="81" spans="1:17" s="116" customFormat="1" ht="15.75" thickBot="1">
      <c r="A81" s="575"/>
      <c r="B81" s="539"/>
      <c r="C81" s="556"/>
      <c r="D81" s="532"/>
      <c r="E81" s="532"/>
      <c r="F81" s="532"/>
      <c r="G81" s="532"/>
      <c r="H81" s="532"/>
      <c r="I81" s="532"/>
      <c r="J81" s="532"/>
      <c r="K81" s="532"/>
      <c r="L81" s="532"/>
      <c r="M81" s="533"/>
      <c r="N81" s="1146"/>
      <c r="O81" s="1146"/>
      <c r="P81" s="45"/>
      <c r="Q81" s="500"/>
    </row>
    <row r="82" spans="1:17" s="116" customFormat="1" ht="15.75" thickTop="1">
      <c r="A82" s="575"/>
      <c r="B82" s="534">
        <f>B26</f>
        <v>111</v>
      </c>
      <c r="C82" s="550"/>
      <c r="D82" s="550"/>
      <c r="E82" s="550"/>
      <c r="F82" s="550"/>
      <c r="G82" s="550"/>
      <c r="H82" s="550"/>
      <c r="I82" s="550"/>
      <c r="J82" s="550"/>
      <c r="K82" s="550"/>
      <c r="L82" s="576"/>
      <c r="M82" s="577"/>
      <c r="N82" s="1144"/>
      <c r="O82" s="1144"/>
      <c r="P82" s="45"/>
      <c r="Q82" s="500"/>
    </row>
    <row r="83" spans="1:17" s="116" customFormat="1" ht="15.75" thickBot="1">
      <c r="A83" s="575"/>
      <c r="B83" s="539"/>
      <c r="C83" s="556"/>
      <c r="D83" s="532"/>
      <c r="E83" s="532"/>
      <c r="F83" s="532"/>
      <c r="G83" s="532"/>
      <c r="H83" s="532"/>
      <c r="I83" s="532"/>
      <c r="J83" s="532"/>
      <c r="K83" s="532"/>
      <c r="L83" s="532"/>
      <c r="M83" s="533"/>
      <c r="N83" s="1146"/>
      <c r="O83" s="1146"/>
      <c r="P83" s="45"/>
      <c r="Q83" s="500"/>
    </row>
    <row r="84" spans="1:17" s="467" customFormat="1" ht="15.75" thickTop="1">
      <c r="A84" s="549"/>
      <c r="B84" s="534">
        <f>B27</f>
        <v>111</v>
      </c>
      <c r="C84" s="550"/>
      <c r="D84" s="550"/>
      <c r="E84" s="550"/>
      <c r="F84" s="550"/>
      <c r="G84" s="550"/>
      <c r="H84" s="550"/>
      <c r="I84" s="550"/>
      <c r="J84" s="550"/>
      <c r="K84" s="550"/>
      <c r="L84" s="576"/>
      <c r="M84" s="577"/>
      <c r="N84" s="1147"/>
      <c r="O84" s="1147"/>
      <c r="P84" s="554"/>
      <c r="Q84" s="555"/>
    </row>
    <row r="85" spans="1:17" s="467" customFormat="1" ht="15.75" thickBot="1">
      <c r="A85" s="549"/>
      <c r="B85" s="539"/>
      <c r="C85" s="556"/>
      <c r="D85" s="532"/>
      <c r="E85" s="532"/>
      <c r="F85" s="532"/>
      <c r="G85" s="532"/>
      <c r="H85" s="532"/>
      <c r="I85" s="532"/>
      <c r="J85" s="532"/>
      <c r="K85" s="532"/>
      <c r="L85" s="532"/>
      <c r="M85" s="533"/>
      <c r="N85" s="1147"/>
      <c r="O85" s="1147"/>
      <c r="P85" s="554"/>
      <c r="Q85" s="555"/>
    </row>
    <row r="86" spans="1:17" ht="15.75" thickTop="1">
      <c r="A86" s="530"/>
      <c r="B86" s="542">
        <f>B28</f>
        <v>111</v>
      </c>
      <c r="C86" s="519"/>
      <c r="D86" s="519"/>
      <c r="E86" s="519"/>
      <c r="F86" s="519"/>
      <c r="G86" s="583"/>
      <c r="H86" s="583"/>
      <c r="I86" s="583"/>
      <c r="J86" s="583"/>
      <c r="K86" s="584"/>
      <c r="L86" s="585"/>
      <c r="M86" s="586"/>
      <c r="N86" s="1145"/>
      <c r="O86" s="1145"/>
      <c r="P86" s="45"/>
      <c r="Q86" s="500"/>
    </row>
    <row r="87" spans="1:17" ht="15.75" thickBot="1">
      <c r="A87" s="2626"/>
      <c r="B87" s="565"/>
      <c r="C87" s="566"/>
      <c r="D87" s="566"/>
      <c r="E87" s="566"/>
      <c r="F87" s="566"/>
      <c r="G87" s="587"/>
      <c r="H87" s="587"/>
      <c r="I87" s="587"/>
      <c r="J87" s="587"/>
      <c r="K87" s="587"/>
      <c r="L87" s="587"/>
      <c r="M87" s="588"/>
      <c r="N87" s="1146"/>
      <c r="O87" s="1146"/>
      <c r="P87" s="45"/>
      <c r="Q87" s="500"/>
    </row>
    <row r="88" spans="1:17">
      <c r="A88" s="523" t="s">
        <v>2550</v>
      </c>
      <c r="B88" s="524" t="s">
        <v>2599</v>
      </c>
      <c r="C88" s="526"/>
      <c r="D88" s="526"/>
      <c r="E88" s="526"/>
      <c r="F88" s="526"/>
      <c r="G88" s="526"/>
      <c r="H88" s="526"/>
      <c r="I88" s="526"/>
      <c r="J88" s="526"/>
      <c r="K88" s="527"/>
      <c r="L88" s="528"/>
      <c r="M88" s="529"/>
      <c r="N88" s="1145"/>
      <c r="O88" s="1145"/>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6"/>
      <c r="O89" s="1146"/>
      <c r="P89" s="45"/>
      <c r="Q89" s="500"/>
    </row>
    <row r="90" spans="1:17" ht="15.75" thickTop="1">
      <c r="A90" s="530"/>
      <c r="B90" s="534" t="s">
        <v>2600</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4"/>
      <c r="O90" s="1144"/>
      <c r="P90" s="45"/>
      <c r="Q90" s="500"/>
    </row>
    <row r="91" spans="1:17" s="467" customFormat="1">
      <c r="A91" s="589"/>
      <c r="B91" s="590"/>
      <c r="C91" s="591"/>
      <c r="D91" s="591"/>
      <c r="E91" s="591"/>
      <c r="F91" s="591"/>
      <c r="G91" s="591"/>
      <c r="H91" s="591"/>
      <c r="I91" s="591"/>
      <c r="J91" s="592"/>
      <c r="K91" s="592"/>
      <c r="L91" s="593"/>
      <c r="M91" s="594"/>
      <c r="N91" s="1147"/>
      <c r="O91" s="1147"/>
      <c r="P91" s="554"/>
      <c r="Q91" s="555"/>
    </row>
    <row r="92" spans="1:17" s="467" customFormat="1" ht="15.75" thickBot="1">
      <c r="A92" s="549"/>
      <c r="B92" s="539"/>
      <c r="C92" s="556"/>
      <c r="D92" s="532"/>
      <c r="E92" s="532"/>
      <c r="F92" s="532"/>
      <c r="G92" s="532"/>
      <c r="H92" s="532"/>
      <c r="I92" s="532"/>
      <c r="J92" s="532"/>
      <c r="K92" s="532"/>
      <c r="L92" s="532"/>
      <c r="M92" s="533"/>
      <c r="N92" s="1146"/>
      <c r="O92" s="1146"/>
      <c r="P92" s="554"/>
      <c r="Q92" s="555"/>
    </row>
    <row r="93" spans="1:17" ht="15" thickTop="1">
      <c r="A93" s="595"/>
      <c r="B93" s="534" t="s">
        <v>2601</v>
      </c>
      <c r="C93" s="550"/>
      <c r="D93" s="550"/>
      <c r="E93" s="579"/>
      <c r="F93" s="579"/>
      <c r="G93" s="579"/>
      <c r="H93" s="579"/>
      <c r="I93" s="579"/>
      <c r="J93" s="579"/>
      <c r="K93" s="580"/>
      <c r="L93" s="581"/>
      <c r="M93" s="582"/>
      <c r="N93" s="1145"/>
      <c r="O93" s="1145"/>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6"/>
      <c r="O94" s="1146"/>
      <c r="P94" s="45"/>
      <c r="Q94" s="500"/>
    </row>
    <row r="95" spans="1:17" ht="15" thickTop="1">
      <c r="A95" s="595"/>
      <c r="B95" s="534" t="s">
        <v>2603</v>
      </c>
      <c r="C95" s="550"/>
      <c r="D95" s="550"/>
      <c r="E95" s="550"/>
      <c r="F95" s="579"/>
      <c r="G95" s="579"/>
      <c r="H95" s="579"/>
      <c r="I95" s="579"/>
      <c r="J95" s="579"/>
      <c r="K95" s="580"/>
      <c r="L95" s="581"/>
      <c r="M95" s="582"/>
      <c r="N95" s="1145"/>
      <c r="O95" s="1145"/>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6"/>
      <c r="O96" s="1146"/>
      <c r="P96" s="45"/>
      <c r="Q96" s="500"/>
    </row>
    <row r="97" spans="1:17" ht="15" thickTop="1">
      <c r="A97" s="595"/>
      <c r="B97" s="534" t="s">
        <v>1995</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5"/>
      <c r="O97" s="1145"/>
      <c r="P97" s="45"/>
      <c r="Q97" s="500"/>
    </row>
    <row r="98" spans="1:17">
      <c r="A98" s="595"/>
      <c r="B98" s="542"/>
      <c r="C98" s="599">
        <v>0.5</v>
      </c>
      <c r="D98" s="599">
        <v>0.6</v>
      </c>
      <c r="E98" s="599">
        <v>0.7</v>
      </c>
      <c r="F98" s="599">
        <v>0.8</v>
      </c>
      <c r="G98" s="599">
        <v>0.9</v>
      </c>
      <c r="H98" s="599">
        <v>1.0001</v>
      </c>
      <c r="I98" s="619"/>
      <c r="J98" s="619"/>
      <c r="K98" s="620"/>
      <c r="L98" s="621"/>
      <c r="M98" s="622"/>
      <c r="N98" s="1145"/>
      <c r="O98" s="1145"/>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6"/>
      <c r="O99" s="1146"/>
      <c r="P99" s="45"/>
      <c r="Q99" s="500"/>
    </row>
    <row r="100" spans="1:17" s="467" customFormat="1" ht="15" thickTop="1">
      <c r="A100" s="589"/>
      <c r="B100" s="534" t="s">
        <v>2604</v>
      </c>
      <c r="C100" s="550"/>
      <c r="D100" s="550"/>
      <c r="E100" s="550"/>
      <c r="F100" s="550"/>
      <c r="G100" s="550"/>
      <c r="H100" s="579"/>
      <c r="I100" s="579"/>
      <c r="J100" s="579"/>
      <c r="K100" s="580"/>
      <c r="L100" s="581"/>
      <c r="M100" s="582"/>
      <c r="N100" s="1147"/>
      <c r="O100" s="1147"/>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7"/>
      <c r="O101" s="1147"/>
      <c r="P101" s="554"/>
      <c r="Q101" s="555"/>
    </row>
    <row r="102" spans="1:17" ht="15" thickTop="1">
      <c r="A102" s="595"/>
      <c r="B102" s="534" t="s">
        <v>2605</v>
      </c>
      <c r="C102" s="550"/>
      <c r="D102" s="550"/>
      <c r="E102" s="550"/>
      <c r="F102" s="550"/>
      <c r="G102" s="550"/>
      <c r="H102" s="579"/>
      <c r="I102" s="579"/>
      <c r="J102" s="579"/>
      <c r="K102" s="580"/>
      <c r="L102" s="581"/>
      <c r="M102" s="582"/>
      <c r="N102" s="1145"/>
      <c r="O102" s="1145"/>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6"/>
      <c r="O103" s="1146"/>
      <c r="P103" s="45"/>
      <c r="Q103" s="500"/>
    </row>
    <row r="104" spans="1:17" ht="15" thickTop="1">
      <c r="A104" s="595"/>
      <c r="B104" s="534" t="s">
        <v>2607</v>
      </c>
      <c r="C104" s="550"/>
      <c r="D104" s="550"/>
      <c r="E104" s="550"/>
      <c r="F104" s="550"/>
      <c r="G104" s="550"/>
      <c r="H104" s="579"/>
      <c r="I104" s="579"/>
      <c r="J104" s="579"/>
      <c r="K104" s="580"/>
      <c r="L104" s="581"/>
      <c r="M104" s="582"/>
      <c r="N104" s="1145"/>
      <c r="O104" s="1145"/>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6"/>
      <c r="O105" s="1146"/>
      <c r="P105" s="45"/>
      <c r="Q105" s="500"/>
    </row>
    <row r="106" spans="1:17" ht="15" thickTop="1">
      <c r="A106" s="595"/>
      <c r="B106" s="632" t="s">
        <v>2693</v>
      </c>
      <c r="C106" s="574" t="s">
        <v>2584</v>
      </c>
      <c r="D106" s="574" t="s">
        <v>2585</v>
      </c>
      <c r="E106" s="574" t="s">
        <v>2586</v>
      </c>
      <c r="F106" s="574" t="s">
        <v>2587</v>
      </c>
      <c r="G106" s="574" t="s">
        <v>2588</v>
      </c>
      <c r="H106" s="535"/>
      <c r="I106" s="535"/>
      <c r="J106" s="535"/>
      <c r="K106" s="536"/>
      <c r="L106" s="537"/>
      <c r="M106" s="538"/>
      <c r="N106" s="1146"/>
      <c r="O106" s="1146"/>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6"/>
      <c r="O107" s="1146"/>
      <c r="P107" s="45"/>
      <c r="Q107" s="500"/>
    </row>
    <row r="108" spans="1:17" s="467" customFormat="1" ht="15" thickTop="1">
      <c r="A108" s="589"/>
      <c r="B108" s="534">
        <f>B38</f>
        <v>111</v>
      </c>
      <c r="C108" s="550"/>
      <c r="D108" s="550"/>
      <c r="E108" s="550"/>
      <c r="F108" s="550"/>
      <c r="G108" s="550"/>
      <c r="H108" s="551"/>
      <c r="I108" s="551"/>
      <c r="J108" s="551"/>
      <c r="K108" s="551"/>
      <c r="L108" s="552"/>
      <c r="M108" s="553"/>
      <c r="N108" s="1147"/>
      <c r="O108" s="1147"/>
      <c r="P108" s="554"/>
      <c r="Q108" s="555"/>
    </row>
    <row r="109" spans="1:17" s="467" customFormat="1" ht="15.75" thickBot="1">
      <c r="A109" s="549"/>
      <c r="B109" s="531"/>
      <c r="C109" s="556"/>
      <c r="D109" s="532"/>
      <c r="E109" s="532"/>
      <c r="F109" s="532"/>
      <c r="G109" s="556"/>
      <c r="H109" s="558"/>
      <c r="I109" s="558"/>
      <c r="J109" s="558"/>
      <c r="K109" s="558"/>
      <c r="L109" s="558"/>
      <c r="M109" s="559"/>
      <c r="N109" s="1147"/>
      <c r="O109" s="1147"/>
      <c r="P109" s="554"/>
      <c r="Q109" s="555"/>
    </row>
    <row r="110" spans="1:17" ht="15" thickTop="1">
      <c r="A110" s="595"/>
      <c r="B110" s="534">
        <f>B39</f>
        <v>111</v>
      </c>
      <c r="C110" s="550"/>
      <c r="D110" s="550"/>
      <c r="E110" s="550"/>
      <c r="F110" s="550"/>
      <c r="G110" s="550"/>
      <c r="H110" s="551"/>
      <c r="I110" s="551"/>
      <c r="J110" s="551"/>
      <c r="K110" s="551"/>
      <c r="L110" s="552"/>
      <c r="M110" s="553"/>
      <c r="N110" s="1145"/>
      <c r="O110" s="1145"/>
      <c r="P110" s="45"/>
      <c r="Q110" s="500"/>
    </row>
    <row r="111" spans="1:17" ht="15.75" thickBot="1">
      <c r="A111" s="530"/>
      <c r="B111" s="539"/>
      <c r="C111" s="556"/>
      <c r="D111" s="532"/>
      <c r="E111" s="532"/>
      <c r="F111" s="532"/>
      <c r="G111" s="556"/>
      <c r="H111" s="558"/>
      <c r="I111" s="558"/>
      <c r="J111" s="558"/>
      <c r="K111" s="558"/>
      <c r="L111" s="558"/>
      <c r="M111" s="559"/>
      <c r="N111" s="1146"/>
      <c r="O111" s="1146"/>
      <c r="P111" s="45"/>
      <c r="Q111" s="500"/>
    </row>
    <row r="112" spans="1:17" ht="15" thickTop="1">
      <c r="A112" s="595"/>
      <c r="B112" s="542">
        <f>B40</f>
        <v>111</v>
      </c>
      <c r="C112" s="519"/>
      <c r="D112" s="519"/>
      <c r="E112" s="519"/>
      <c r="F112" s="519"/>
      <c r="G112" s="583"/>
      <c r="H112" s="583"/>
      <c r="I112" s="583"/>
      <c r="J112" s="583"/>
      <c r="K112" s="519"/>
      <c r="L112" s="520"/>
      <c r="M112" s="586"/>
      <c r="N112" s="1145"/>
      <c r="O112" s="1145"/>
      <c r="P112" s="45"/>
      <c r="Q112" s="500"/>
    </row>
    <row r="113" spans="1:17" ht="15.75" thickBot="1">
      <c r="A113" s="2626"/>
      <c r="B113" s="565"/>
      <c r="C113" s="566"/>
      <c r="D113" s="566"/>
      <c r="E113" s="566"/>
      <c r="F113" s="566"/>
      <c r="G113" s="587"/>
      <c r="H113" s="587"/>
      <c r="I113" s="587"/>
      <c r="J113" s="587"/>
      <c r="K113" s="587"/>
      <c r="L113" s="587"/>
      <c r="M113" s="588"/>
      <c r="N113" s="1146"/>
      <c r="O113" s="1146"/>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5.5" style="399" customWidth="1"/>
    <col min="10" max="10" width="12.125" style="399" customWidth="1"/>
    <col min="11" max="11" width="12.125" style="491" customWidth="1"/>
    <col min="12" max="12" width="12.125" style="492" customWidth="1"/>
    <col min="13" max="15" width="12.125" style="399" customWidth="1"/>
    <col min="16" max="16" width="4.625" style="1116"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2694</v>
      </c>
      <c r="B1" s="1611"/>
      <c r="C1" s="1612" t="s">
        <v>2517</v>
      </c>
      <c r="D1" s="1613"/>
      <c r="E1" s="1614"/>
      <c r="F1" s="2574"/>
      <c r="G1" s="1615" t="s">
        <v>2630</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4" customFormat="1" ht="28.5" customHeight="1" thickTop="1">
      <c r="A2" s="1609" t="s">
        <v>2317</v>
      </c>
      <c r="B2" s="1411" t="e">
        <f ca="1">IF(C2="——",IF(B37="元/平方米",ROUND(C39*D3/10000,0),ROUND(F3*C39/10000,0)),IF(B37="元/平方米",ROUND(C39*D3/10000,0),ROUND(F3*C39/10000,0))-D2)</f>
        <v>#DIV/0!</v>
      </c>
      <c r="C2" s="2576"/>
      <c r="D2" s="1117" t="e">
        <f ca="1">SUMIF(INDIRECT("'"&amp;F2&amp;"'"&amp;"!A:A"),"承租人权益价值",INDIRECT("'"&amp;F2&amp;"'"&amp;"!c:c"))</f>
        <v>#REF!</v>
      </c>
      <c r="E2" s="2577" t="s">
        <v>2318</v>
      </c>
      <c r="F2" s="2578"/>
      <c r="G2" s="1118"/>
      <c r="H2" s="1118"/>
      <c r="I2" s="1118"/>
      <c r="J2" s="1118"/>
      <c r="K2" s="1120"/>
      <c r="L2" s="1121"/>
      <c r="M2" s="1122"/>
      <c r="N2" s="1122"/>
      <c r="O2" s="1122"/>
      <c r="P2" s="1412"/>
      <c r="Q2" s="764"/>
      <c r="R2" s="764"/>
      <c r="S2" s="764"/>
      <c r="T2" s="764"/>
      <c r="U2" s="764"/>
      <c r="V2" s="764"/>
      <c r="W2" s="764"/>
      <c r="X2" s="764"/>
      <c r="Y2" s="764"/>
      <c r="Z2" s="764"/>
      <c r="AA2" s="764"/>
      <c r="AB2" s="764"/>
      <c r="AC2" s="765"/>
    </row>
    <row r="3" spans="1:29" s="394" customFormat="1" ht="28.5" customHeight="1" thickBot="1">
      <c r="A3" s="243" t="s">
        <v>2319</v>
      </c>
      <c r="B3" s="605" t="e">
        <f ca="1">IF(AND(C2="——",B37="元/平方米"),C39,ROUND(B2*10000/D3,0))</f>
        <v>#DIV/0!</v>
      </c>
      <c r="C3" s="396" t="s">
        <v>2631</v>
      </c>
      <c r="D3" s="395">
        <f>SUMIF('数据-汇总表'!$C19:$C33,D1,'数据-汇总表'!$E19:$E33)</f>
        <v>0</v>
      </c>
      <c r="E3" s="396" t="s">
        <v>2695</v>
      </c>
      <c r="F3" s="395">
        <f>SUMIF('数据-取费表'!A5:A15,D1,'数据-取费表'!AH5:AH15)</f>
        <v>0</v>
      </c>
      <c r="G3" s="1118"/>
      <c r="H3" s="1118"/>
      <c r="I3" s="1118"/>
      <c r="J3" s="1118"/>
      <c r="K3" s="1120"/>
      <c r="L3" s="1121"/>
      <c r="M3" s="1122"/>
      <c r="N3" s="1122"/>
      <c r="O3" s="1122"/>
      <c r="P3" s="1412"/>
      <c r="Q3" s="764"/>
      <c r="R3" s="764"/>
      <c r="S3" s="764"/>
      <c r="T3" s="764"/>
      <c r="U3" s="764"/>
      <c r="V3" s="764"/>
      <c r="W3" s="764"/>
      <c r="X3" s="764"/>
      <c r="Y3" s="764"/>
      <c r="Z3" s="764"/>
      <c r="AA3" s="764"/>
      <c r="AB3" s="782"/>
      <c r="AC3" s="778"/>
    </row>
    <row r="4" spans="1:29" ht="15">
      <c r="A4" s="397" t="s">
        <v>2632</v>
      </c>
      <c r="B4" s="398"/>
      <c r="C4" s="3369" t="s">
        <v>2633</v>
      </c>
      <c r="D4" s="3370"/>
      <c r="E4" s="3371" t="s">
        <v>2634</v>
      </c>
      <c r="F4" s="3372"/>
      <c r="G4" s="3369" t="s">
        <v>2635</v>
      </c>
      <c r="H4" s="3370"/>
      <c r="I4" s="3369" t="s">
        <v>2636</v>
      </c>
      <c r="J4" s="3370"/>
      <c r="K4" s="606" t="s">
        <v>2637</v>
      </c>
      <c r="L4" s="1123"/>
      <c r="M4" s="1124"/>
      <c r="N4" s="1124"/>
      <c r="O4" s="1124"/>
      <c r="P4" s="3373" t="s">
        <v>2638</v>
      </c>
      <c r="Q4" s="3374"/>
      <c r="R4" s="3356" t="s">
        <v>2634</v>
      </c>
      <c r="S4" s="3357"/>
      <c r="T4" s="3356" t="s">
        <v>2635</v>
      </c>
      <c r="U4" s="3357"/>
      <c r="V4" s="3381" t="s">
        <v>2636</v>
      </c>
      <c r="W4" s="3381"/>
      <c r="X4" s="1805"/>
      <c r="Y4" s="3356" t="s">
        <v>2638</v>
      </c>
      <c r="Z4" s="3357"/>
      <c r="AA4" s="3351" t="s">
        <v>2634</v>
      </c>
      <c r="AB4" s="3352" t="s">
        <v>2635</v>
      </c>
      <c r="AC4" s="3351" t="s">
        <v>2636</v>
      </c>
    </row>
    <row r="5" spans="1:29" ht="15">
      <c r="A5" s="400"/>
      <c r="B5" s="401"/>
      <c r="C5" s="3362" t="s">
        <v>2529</v>
      </c>
      <c r="D5" s="3363"/>
      <c r="E5" s="3360" t="s">
        <v>2530</v>
      </c>
      <c r="F5" s="3361"/>
      <c r="G5" s="3362" t="s">
        <v>2531</v>
      </c>
      <c r="H5" s="3363"/>
      <c r="I5" s="3362" t="s">
        <v>2532</v>
      </c>
      <c r="J5" s="3363"/>
      <c r="K5" s="606"/>
      <c r="L5" s="1123"/>
      <c r="M5" s="1124"/>
      <c r="N5" s="1124"/>
      <c r="O5" s="1124"/>
      <c r="P5" s="3375"/>
      <c r="Q5" s="3376"/>
      <c r="R5" s="3358"/>
      <c r="S5" s="3359"/>
      <c r="T5" s="3358"/>
      <c r="U5" s="3359"/>
      <c r="V5" s="3381"/>
      <c r="W5" s="3381"/>
      <c r="X5" s="1805"/>
      <c r="Y5" s="3358"/>
      <c r="Z5" s="3359"/>
      <c r="AA5" s="3352"/>
      <c r="AB5" s="3352"/>
      <c r="AC5" s="3352"/>
    </row>
    <row r="6" spans="1:29" ht="15.75" thickBot="1">
      <c r="A6" s="402"/>
      <c r="B6" s="403"/>
      <c r="C6" s="3364" t="s">
        <v>2533</v>
      </c>
      <c r="D6" s="3365"/>
      <c r="E6" s="3366" t="s">
        <v>2533</v>
      </c>
      <c r="F6" s="3367"/>
      <c r="G6" s="3364" t="s">
        <v>2533</v>
      </c>
      <c r="H6" s="3365"/>
      <c r="I6" s="3364" t="s">
        <v>2533</v>
      </c>
      <c r="J6" s="3365"/>
      <c r="K6" s="606" t="s">
        <v>2534</v>
      </c>
      <c r="L6" s="1123"/>
      <c r="M6" s="1124"/>
      <c r="N6" s="1124"/>
      <c r="O6" s="1124"/>
      <c r="P6" s="3377"/>
      <c r="Q6" s="3378"/>
      <c r="R6" s="3358"/>
      <c r="S6" s="3359"/>
      <c r="T6" s="3379"/>
      <c r="U6" s="3380"/>
      <c r="V6" s="3381"/>
      <c r="W6" s="3381"/>
      <c r="X6" s="1805"/>
      <c r="Y6" s="3379"/>
      <c r="Z6" s="3380"/>
      <c r="AA6" s="3353"/>
      <c r="AB6" s="3353"/>
      <c r="AC6" s="3353"/>
    </row>
    <row r="7" spans="1:29" s="116" customFormat="1" ht="15.75" thickBot="1">
      <c r="A7" s="404" t="s">
        <v>2535</v>
      </c>
      <c r="B7" s="405"/>
      <c r="C7" s="406">
        <f>'数据-取费表'!B2</f>
        <v>43332</v>
      </c>
      <c r="D7" s="407">
        <v>100</v>
      </c>
      <c r="E7" s="408"/>
      <c r="F7" s="409">
        <f>SUMIF(48:48,YEAR(E7)&amp;"-"&amp;MONTH(E7),49:49)</f>
        <v>0</v>
      </c>
      <c r="G7" s="408"/>
      <c r="H7" s="407">
        <f>SUMIF(48:48,YEAR(G7)&amp;"-"&amp;MONTH(G7),49:49)</f>
        <v>0</v>
      </c>
      <c r="I7" s="408"/>
      <c r="J7" s="407">
        <f>SUMIF(48:48,YEAR(I7)&amp;"-"&amp;MONTH(I7),49:49)</f>
        <v>0</v>
      </c>
      <c r="K7" s="607"/>
      <c r="L7" s="1125"/>
      <c r="M7" s="1126"/>
      <c r="N7" s="1126"/>
      <c r="O7" s="1126"/>
      <c r="P7" s="3354" t="s">
        <v>2536</v>
      </c>
      <c r="Q7" s="3382"/>
      <c r="R7" s="766" t="s">
        <v>17</v>
      </c>
      <c r="S7" s="767">
        <f t="shared" ref="S7:S14" si="0">F7</f>
        <v>0</v>
      </c>
      <c r="T7" s="766" t="s">
        <v>17</v>
      </c>
      <c r="U7" s="767">
        <f t="shared" ref="U7:U14" si="1">H7</f>
        <v>0</v>
      </c>
      <c r="V7" s="766" t="s">
        <v>17</v>
      </c>
      <c r="W7" s="767">
        <f t="shared" ref="W7:W14" si="2">J7</f>
        <v>0</v>
      </c>
      <c r="X7" s="768"/>
      <c r="Y7" s="3354" t="s">
        <v>2536</v>
      </c>
      <c r="Z7" s="3355"/>
      <c r="AA7" s="769" t="e">
        <f>D7/F7</f>
        <v>#DIV/0!</v>
      </c>
      <c r="AB7" s="769" t="e">
        <f>D7/H7</f>
        <v>#DIV/0!</v>
      </c>
      <c r="AC7" s="769" t="e">
        <f>D7/J7</f>
        <v>#DIV/0!</v>
      </c>
    </row>
    <row r="8" spans="1:29" s="116" customFormat="1" ht="15.75" thickBot="1">
      <c r="A8" s="404" t="s">
        <v>2537</v>
      </c>
      <c r="B8" s="405"/>
      <c r="C8" s="410" t="s">
        <v>2639</v>
      </c>
      <c r="D8" s="407">
        <v>100</v>
      </c>
      <c r="E8" s="410"/>
      <c r="F8" s="409">
        <f>SUMIF(51:51,E8,52:52)-SUMIF(51:51,C8,52:52)+100</f>
        <v>0</v>
      </c>
      <c r="G8" s="410"/>
      <c r="H8" s="407">
        <f>SUMIF(51:51,G8,52:52)-SUMIF(51:51,C8,52:52)+100</f>
        <v>0</v>
      </c>
      <c r="I8" s="410"/>
      <c r="J8" s="407">
        <f>SUMIF(51:51,I8,52:52)-SUMIF(51:51,C8,52:52)+100</f>
        <v>0</v>
      </c>
      <c r="K8" s="607"/>
      <c r="L8" s="1125"/>
      <c r="M8" s="1126"/>
      <c r="N8" s="1126"/>
      <c r="O8" s="1126"/>
      <c r="P8" s="3354" t="s">
        <v>2539</v>
      </c>
      <c r="Q8" s="3355"/>
      <c r="R8" s="766" t="s">
        <v>17</v>
      </c>
      <c r="S8" s="767">
        <f t="shared" si="0"/>
        <v>0</v>
      </c>
      <c r="T8" s="766" t="s">
        <v>17</v>
      </c>
      <c r="U8" s="767">
        <f t="shared" si="1"/>
        <v>0</v>
      </c>
      <c r="V8" s="766" t="s">
        <v>17</v>
      </c>
      <c r="W8" s="767">
        <f t="shared" si="2"/>
        <v>0</v>
      </c>
      <c r="X8" s="768"/>
      <c r="Y8" s="3354" t="s">
        <v>2539</v>
      </c>
      <c r="Z8" s="3355"/>
      <c r="AA8" s="769" t="e">
        <f t="shared" ref="AA8:AA36" si="3">D8/F8</f>
        <v>#DIV/0!</v>
      </c>
      <c r="AB8" s="769" t="e">
        <f t="shared" ref="AB8:AB36" si="4">D8/H8</f>
        <v>#DIV/0!</v>
      </c>
      <c r="AC8" s="769" t="e">
        <f t="shared" ref="AC8:AC36" si="5">D8/J8</f>
        <v>#DIV/0!</v>
      </c>
    </row>
    <row r="9" spans="1:29" s="116" customFormat="1">
      <c r="A9" s="68" t="s">
        <v>2540</v>
      </c>
      <c r="B9" s="636" t="s">
        <v>2541</v>
      </c>
      <c r="C9" s="412"/>
      <c r="D9" s="132">
        <v>100</v>
      </c>
      <c r="E9" s="415"/>
      <c r="F9" s="132">
        <f>SUMIF(53:53,E9,54:54)-SUMIF(53:53,C9,54:54)+100</f>
        <v>100</v>
      </c>
      <c r="G9" s="413"/>
      <c r="H9" s="132">
        <f>SUMIF(53:53,G9,54:54)-SUMIF(53:53,C9,54:54)+100</f>
        <v>100</v>
      </c>
      <c r="I9" s="413"/>
      <c r="J9" s="132">
        <f>SUMIF(53:53,I9,54:54)-SUMIF(53:53,C9,54:54)+100</f>
        <v>100</v>
      </c>
      <c r="K9" s="607"/>
      <c r="L9" s="1125"/>
      <c r="M9" s="1126"/>
      <c r="N9" s="1126"/>
      <c r="O9" s="1126"/>
      <c r="P9" s="3368" t="s">
        <v>2542</v>
      </c>
      <c r="Q9" s="1787" t="str">
        <f t="shared" ref="Q9:Q14" si="6">B9</f>
        <v>用途</v>
      </c>
      <c r="R9" s="766" t="s">
        <v>17</v>
      </c>
      <c r="S9" s="767">
        <f t="shared" si="0"/>
        <v>100</v>
      </c>
      <c r="T9" s="766" t="s">
        <v>17</v>
      </c>
      <c r="U9" s="767">
        <f t="shared" si="1"/>
        <v>100</v>
      </c>
      <c r="V9" s="766" t="s">
        <v>17</v>
      </c>
      <c r="W9" s="767">
        <f t="shared" si="2"/>
        <v>100</v>
      </c>
      <c r="X9" s="768"/>
      <c r="Y9" s="3224" t="s">
        <v>2543</v>
      </c>
      <c r="Z9" s="55" t="str">
        <f t="shared" ref="Z9:Z14" si="7">Q9</f>
        <v>用途</v>
      </c>
      <c r="AA9" s="769">
        <f t="shared" si="3"/>
        <v>1</v>
      </c>
      <c r="AB9" s="769">
        <f t="shared" si="4"/>
        <v>1</v>
      </c>
      <c r="AC9" s="769">
        <f t="shared" si="5"/>
        <v>1</v>
      </c>
    </row>
    <row r="10" spans="1:29" s="423" customFormat="1" ht="27">
      <c r="A10" s="637"/>
      <c r="B10" s="638" t="s">
        <v>2544</v>
      </c>
      <c r="C10" s="419"/>
      <c r="D10" s="133">
        <v>100</v>
      </c>
      <c r="E10" s="419"/>
      <c r="F10" s="133">
        <f>SUMIF(55:55,E10,56:56)-SUMIF(55:55,C10,56:56)+100</f>
        <v>100</v>
      </c>
      <c r="G10" s="420"/>
      <c r="H10" s="133">
        <f>SUMIF(55:55,G10,56:56)-SUMIF(55:55,C10,56:56)+100</f>
        <v>100</v>
      </c>
      <c r="I10" s="419"/>
      <c r="J10" s="133">
        <f>SUMIF(55:55,I10,56:56)-SUMIF(55:55,C10,56:56)+100</f>
        <v>100</v>
      </c>
      <c r="K10" s="608"/>
      <c r="L10" s="1128"/>
      <c r="M10" s="1129"/>
      <c r="N10" s="1129"/>
      <c r="O10" s="1129"/>
      <c r="P10" s="3368"/>
      <c r="Q10" s="1787" t="str">
        <f t="shared" si="6"/>
        <v>土地使用年限（年）</v>
      </c>
      <c r="R10" s="766" t="s">
        <v>17</v>
      </c>
      <c r="S10" s="767">
        <f t="shared" si="0"/>
        <v>100</v>
      </c>
      <c r="T10" s="766" t="s">
        <v>17</v>
      </c>
      <c r="U10" s="767">
        <f t="shared" si="1"/>
        <v>100</v>
      </c>
      <c r="V10" s="766" t="s">
        <v>17</v>
      </c>
      <c r="W10" s="767">
        <f t="shared" si="2"/>
        <v>100</v>
      </c>
      <c r="X10" s="768"/>
      <c r="Y10" s="3224"/>
      <c r="Z10" s="55" t="str">
        <f t="shared" si="7"/>
        <v>土地使用年限（年）</v>
      </c>
      <c r="AA10" s="769">
        <f t="shared" si="3"/>
        <v>1</v>
      </c>
      <c r="AB10" s="769">
        <f t="shared" si="4"/>
        <v>1</v>
      </c>
      <c r="AC10" s="769">
        <f t="shared" si="5"/>
        <v>1</v>
      </c>
    </row>
    <row r="11" spans="1:29" ht="15">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31"/>
      <c r="M11" s="1124"/>
      <c r="N11" s="1124"/>
      <c r="O11" s="1124"/>
      <c r="P11" s="3368"/>
      <c r="Q11" s="1787">
        <f t="shared" si="6"/>
        <v>111</v>
      </c>
      <c r="R11" s="766" t="s">
        <v>17</v>
      </c>
      <c r="S11" s="767">
        <f t="shared" si="0"/>
        <v>100</v>
      </c>
      <c r="T11" s="766" t="s">
        <v>17</v>
      </c>
      <c r="U11" s="767">
        <f t="shared" si="1"/>
        <v>100</v>
      </c>
      <c r="V11" s="766" t="s">
        <v>17</v>
      </c>
      <c r="W11" s="767">
        <f t="shared" si="2"/>
        <v>100</v>
      </c>
      <c r="X11" s="768"/>
      <c r="Y11" s="3224"/>
      <c r="Z11" s="55">
        <f t="shared" si="7"/>
        <v>111</v>
      </c>
      <c r="AA11" s="769">
        <f t="shared" si="3"/>
        <v>1</v>
      </c>
      <c r="AB11" s="769">
        <f t="shared" si="4"/>
        <v>1</v>
      </c>
      <c r="AC11" s="769">
        <f t="shared" si="5"/>
        <v>1</v>
      </c>
    </row>
    <row r="12" spans="1:29" s="116" customFormat="1" ht="15">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125"/>
      <c r="M12" s="1126"/>
      <c r="N12" s="1126"/>
      <c r="O12" s="1126"/>
      <c r="P12" s="3368"/>
      <c r="Q12" s="1787">
        <f t="shared" si="6"/>
        <v>111</v>
      </c>
      <c r="R12" s="766" t="s">
        <v>17</v>
      </c>
      <c r="S12" s="767">
        <f t="shared" si="0"/>
        <v>100</v>
      </c>
      <c r="T12" s="766" t="s">
        <v>17</v>
      </c>
      <c r="U12" s="767">
        <f t="shared" si="1"/>
        <v>100</v>
      </c>
      <c r="V12" s="766" t="s">
        <v>17</v>
      </c>
      <c r="W12" s="767">
        <f t="shared" si="2"/>
        <v>100</v>
      </c>
      <c r="X12" s="768"/>
      <c r="Y12" s="3224"/>
      <c r="Z12" s="55">
        <f t="shared" si="7"/>
        <v>111</v>
      </c>
      <c r="AA12" s="769">
        <f>D12/F12</f>
        <v>1</v>
      </c>
      <c r="AB12" s="769">
        <f>D12/H12</f>
        <v>1</v>
      </c>
      <c r="AC12" s="769">
        <f>D12/J12</f>
        <v>1</v>
      </c>
    </row>
    <row r="13" spans="1:29" ht="15.75"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33"/>
      <c r="M13" s="1124"/>
      <c r="N13" s="1124"/>
      <c r="O13" s="1124"/>
      <c r="P13" s="3368"/>
      <c r="Q13" s="1787">
        <f t="shared" si="6"/>
        <v>111</v>
      </c>
      <c r="R13" s="766" t="s">
        <v>17</v>
      </c>
      <c r="S13" s="767">
        <f t="shared" si="0"/>
        <v>100</v>
      </c>
      <c r="T13" s="766" t="s">
        <v>17</v>
      </c>
      <c r="U13" s="767">
        <f t="shared" si="1"/>
        <v>100</v>
      </c>
      <c r="V13" s="766" t="s">
        <v>17</v>
      </c>
      <c r="W13" s="767">
        <f t="shared" si="2"/>
        <v>100</v>
      </c>
      <c r="X13" s="768"/>
      <c r="Y13" s="3224"/>
      <c r="Z13" s="55">
        <f t="shared" si="7"/>
        <v>111</v>
      </c>
      <c r="AA13" s="769">
        <f t="shared" si="3"/>
        <v>1</v>
      </c>
      <c r="AB13" s="769">
        <f t="shared" si="4"/>
        <v>1</v>
      </c>
      <c r="AC13" s="769">
        <f t="shared" si="5"/>
        <v>1</v>
      </c>
    </row>
    <row r="14" spans="1:29" ht="71.25">
      <c r="A14" s="397" t="s">
        <v>2546</v>
      </c>
      <c r="B14" s="625" t="s">
        <v>2696</v>
      </c>
      <c r="C14" s="2683" t="str">
        <f>IF(B1="工业",估价对象房地状况!G4,估价对象房地状况!C6)</f>
        <v>周边道路状况、公共交通通达情况、停车便捷程度（地铁三号线观音桥</v>
      </c>
      <c r="D14" s="437">
        <v>100</v>
      </c>
      <c r="E14" s="438"/>
      <c r="F14" s="439">
        <f>SUMIF(63:63,E15,64:64)-SUMIF(63:63,C15,64:64)+100</f>
        <v>100</v>
      </c>
      <c r="G14" s="440"/>
      <c r="H14" s="437">
        <f>SUMIF(63:63,G15,64:64)-SUMIF(63:63,C15,64:64)+100</f>
        <v>100</v>
      </c>
      <c r="I14" s="438"/>
      <c r="J14" s="437">
        <f>SUMIF(63:63,I15,64:64)-SUMIF(63:63,C15,64:64)+100</f>
        <v>100</v>
      </c>
      <c r="K14" s="610"/>
      <c r="L14" s="1133"/>
      <c r="M14" s="1124"/>
      <c r="N14" s="1124"/>
      <c r="O14" s="1124"/>
      <c r="P14" s="3383" t="s">
        <v>2547</v>
      </c>
      <c r="Q14" s="1802" t="str">
        <f t="shared" si="6"/>
        <v>交通便捷度</v>
      </c>
      <c r="R14" s="770" t="s">
        <v>17</v>
      </c>
      <c r="S14" s="771">
        <f t="shared" si="0"/>
        <v>100</v>
      </c>
      <c r="T14" s="770" t="s">
        <v>17</v>
      </c>
      <c r="U14" s="771">
        <f t="shared" si="1"/>
        <v>100</v>
      </c>
      <c r="V14" s="770" t="s">
        <v>17</v>
      </c>
      <c r="W14" s="771">
        <f t="shared" si="2"/>
        <v>100</v>
      </c>
      <c r="X14" s="1805"/>
      <c r="Y14" s="3383" t="s">
        <v>2547</v>
      </c>
      <c r="Z14" s="1806" t="str">
        <f t="shared" si="7"/>
        <v>交通便捷度</v>
      </c>
      <c r="AA14" s="1803">
        <f t="shared" si="3"/>
        <v>1</v>
      </c>
      <c r="AB14" s="1803">
        <f t="shared" si="4"/>
        <v>1</v>
      </c>
      <c r="AC14" s="1803">
        <f t="shared" si="5"/>
        <v>1</v>
      </c>
    </row>
    <row r="15" spans="1:29" ht="15">
      <c r="A15" s="400"/>
      <c r="B15" s="643"/>
      <c r="C15" s="443"/>
      <c r="D15" s="444"/>
      <c r="E15" s="443"/>
      <c r="F15" s="445"/>
      <c r="G15" s="443"/>
      <c r="H15" s="446"/>
      <c r="I15" s="443"/>
      <c r="J15" s="444"/>
      <c r="K15" s="611"/>
      <c r="L15" s="1133"/>
      <c r="M15" s="1124"/>
      <c r="N15" s="1124"/>
      <c r="O15" s="1124"/>
      <c r="P15" s="3384"/>
      <c r="Q15" s="1802"/>
      <c r="R15" s="770"/>
      <c r="S15" s="771"/>
      <c r="T15" s="770"/>
      <c r="U15" s="771"/>
      <c r="V15" s="770"/>
      <c r="W15" s="771"/>
      <c r="X15" s="1805"/>
      <c r="Y15" s="3384"/>
      <c r="Z15" s="1806"/>
      <c r="AA15" s="1803">
        <v>1</v>
      </c>
      <c r="AB15" s="1803">
        <v>1</v>
      </c>
      <c r="AC15" s="1803">
        <v>1</v>
      </c>
    </row>
    <row r="16" spans="1:29" ht="15">
      <c r="A16" s="400"/>
      <c r="B16" s="627" t="s">
        <v>2675</v>
      </c>
      <c r="C16" s="2597">
        <f>IF(B1="工业",估价对象房地状况!G5,估价对象房地状况!C7)</f>
        <v>0</v>
      </c>
      <c r="D16" s="451">
        <v>100</v>
      </c>
      <c r="E16" s="453"/>
      <c r="F16" s="454">
        <f>SUMIF(65:65,E17,66:66)-SUMIF(65:65,C17,66:66)+100</f>
        <v>100</v>
      </c>
      <c r="G16" s="455"/>
      <c r="H16" s="451">
        <f>SUMIF(65:65,G17,66:66)-SUMIF(65:65,C17,66:66)+100</f>
        <v>100</v>
      </c>
      <c r="I16" s="453"/>
      <c r="J16" s="451">
        <f>SUMIF(65:65,I17,66:66)-SUMIF(65:65,C17,66:66)+100</f>
        <v>100</v>
      </c>
      <c r="K16" s="610"/>
      <c r="L16" s="1133"/>
      <c r="M16" s="1124"/>
      <c r="N16" s="1124"/>
      <c r="O16" s="1124"/>
      <c r="P16" s="3384"/>
      <c r="Q16" s="1802" t="str">
        <f>B16</f>
        <v>公共配套设施</v>
      </c>
      <c r="R16" s="770" t="s">
        <v>17</v>
      </c>
      <c r="S16" s="771">
        <f>F16</f>
        <v>100</v>
      </c>
      <c r="T16" s="770" t="s">
        <v>17</v>
      </c>
      <c r="U16" s="771">
        <f>H16</f>
        <v>100</v>
      </c>
      <c r="V16" s="770" t="s">
        <v>17</v>
      </c>
      <c r="W16" s="771">
        <f>J16</f>
        <v>100</v>
      </c>
      <c r="X16" s="1805"/>
      <c r="Y16" s="3384"/>
      <c r="Z16" s="1806" t="str">
        <f>Q16</f>
        <v>公共配套设施</v>
      </c>
      <c r="AA16" s="1803">
        <f t="shared" si="3"/>
        <v>1</v>
      </c>
      <c r="AB16" s="1803">
        <f t="shared" si="4"/>
        <v>1</v>
      </c>
      <c r="AC16" s="1803">
        <f t="shared" si="5"/>
        <v>1</v>
      </c>
    </row>
    <row r="17" spans="1:29" ht="15">
      <c r="A17" s="400"/>
      <c r="B17" s="628"/>
      <c r="C17" s="2598"/>
      <c r="D17" s="444"/>
      <c r="E17" s="443"/>
      <c r="F17" s="445"/>
      <c r="G17" s="443"/>
      <c r="H17" s="444"/>
      <c r="I17" s="443"/>
      <c r="J17" s="444"/>
      <c r="K17" s="611"/>
      <c r="L17" s="1133"/>
      <c r="M17" s="1124"/>
      <c r="N17" s="1124"/>
      <c r="O17" s="1124"/>
      <c r="P17" s="3384"/>
      <c r="Q17" s="1802"/>
      <c r="R17" s="770"/>
      <c r="S17" s="771"/>
      <c r="T17" s="770"/>
      <c r="U17" s="771"/>
      <c r="V17" s="770"/>
      <c r="W17" s="771"/>
      <c r="X17" s="1805"/>
      <c r="Y17" s="3384"/>
      <c r="Z17" s="1806"/>
      <c r="AA17" s="1803">
        <v>1</v>
      </c>
      <c r="AB17" s="1803">
        <v>1</v>
      </c>
      <c r="AC17" s="1803">
        <v>1</v>
      </c>
    </row>
    <row r="18" spans="1:29" ht="15">
      <c r="A18" s="400"/>
      <c r="B18" s="629" t="s">
        <v>2676</v>
      </c>
      <c r="C18" s="2597">
        <f>IF(B1="工业",估价对象房地状况!G6,估价对象房地状况!C8)</f>
        <v>0</v>
      </c>
      <c r="D18" s="446">
        <v>100</v>
      </c>
      <c r="E18" s="448"/>
      <c r="F18" s="454">
        <f>SUMIF(67:67,E19,68:68)-SUMIF(67:67,C19,68:68)+100</f>
        <v>100</v>
      </c>
      <c r="G18" s="450"/>
      <c r="H18" s="451">
        <f>SUMIF(67:67,G19,68:68)-SUMIF(67:67,C19,68:68)+100</f>
        <v>100</v>
      </c>
      <c r="I18" s="448"/>
      <c r="J18" s="451">
        <f>SUMIF(67:67,I19,68:68)-SUMIF(67:67,C19,68:68)+100</f>
        <v>100</v>
      </c>
      <c r="K18" s="610"/>
      <c r="L18" s="1133"/>
      <c r="M18" s="1124"/>
      <c r="N18" s="1124"/>
      <c r="O18" s="1124"/>
      <c r="P18" s="3384"/>
      <c r="Q18" s="1802" t="str">
        <f>B18</f>
        <v>基础设施水平</v>
      </c>
      <c r="R18" s="770" t="s">
        <v>17</v>
      </c>
      <c r="S18" s="771">
        <f>F18</f>
        <v>100</v>
      </c>
      <c r="T18" s="770" t="s">
        <v>17</v>
      </c>
      <c r="U18" s="771">
        <f>H18</f>
        <v>100</v>
      </c>
      <c r="V18" s="770" t="s">
        <v>17</v>
      </c>
      <c r="W18" s="771">
        <f>J18</f>
        <v>100</v>
      </c>
      <c r="X18" s="1805"/>
      <c r="Y18" s="3384"/>
      <c r="Z18" s="1806" t="str">
        <f>Q18</f>
        <v>基础设施水平</v>
      </c>
      <c r="AA18" s="1803">
        <f t="shared" ref="AA18" si="8">D18/F18</f>
        <v>1</v>
      </c>
      <c r="AB18" s="1803">
        <f t="shared" ref="AB18" si="9">D18/H18</f>
        <v>1</v>
      </c>
      <c r="AC18" s="1803">
        <f t="shared" ref="AC18" si="10">D18/J18</f>
        <v>1</v>
      </c>
    </row>
    <row r="19" spans="1:29" ht="15">
      <c r="A19" s="400"/>
      <c r="B19" s="629"/>
      <c r="C19" s="2598"/>
      <c r="D19" s="446"/>
      <c r="E19" s="2598"/>
      <c r="F19" s="449"/>
      <c r="G19" s="2598"/>
      <c r="H19" s="444"/>
      <c r="I19" s="443"/>
      <c r="J19" s="444"/>
      <c r="K19" s="1376"/>
      <c r="L19" s="1133"/>
      <c r="M19" s="1124"/>
      <c r="N19" s="1124"/>
      <c r="O19" s="1124"/>
      <c r="P19" s="3384"/>
      <c r="Q19" s="1802"/>
      <c r="R19" s="770"/>
      <c r="S19" s="771"/>
      <c r="T19" s="770"/>
      <c r="U19" s="771"/>
      <c r="V19" s="770"/>
      <c r="W19" s="771"/>
      <c r="X19" s="1805"/>
      <c r="Y19" s="3384"/>
      <c r="Z19" s="1806"/>
      <c r="AA19" s="1803">
        <v>1</v>
      </c>
      <c r="AB19" s="1803">
        <v>1</v>
      </c>
      <c r="AC19" s="1803">
        <v>1</v>
      </c>
    </row>
    <row r="20" spans="1:29" ht="15">
      <c r="A20" s="400"/>
      <c r="B20" s="627" t="s">
        <v>2697</v>
      </c>
      <c r="C20" s="2597">
        <f>IF(B1="工业",估价对象房地状况!G7,估价对象房地状况!C9)</f>
        <v>0</v>
      </c>
      <c r="D20" s="451">
        <v>100</v>
      </c>
      <c r="E20" s="453"/>
      <c r="F20" s="454">
        <f>SUMIF(69:69,E21,70:70)-SUMIF(69:69,C21,70:70)+100</f>
        <v>100</v>
      </c>
      <c r="G20" s="455"/>
      <c r="H20" s="446">
        <f>SUMIF(69:69,G21,70:70)-SUMIF(69:69,C21,70:70)+100</f>
        <v>100</v>
      </c>
      <c r="I20" s="448"/>
      <c r="J20" s="446">
        <f>SUMIF(69:69,I21,70:70)-SUMIF(69:69,C21,70:70)+100</f>
        <v>100</v>
      </c>
      <c r="K20" s="610"/>
      <c r="L20" s="1133"/>
      <c r="M20" s="1124"/>
      <c r="N20" s="1124"/>
      <c r="O20" s="1124"/>
      <c r="P20" s="3384"/>
      <c r="Q20" s="1802" t="str">
        <f>B20</f>
        <v>自然及人文环境</v>
      </c>
      <c r="R20" s="770" t="s">
        <v>17</v>
      </c>
      <c r="S20" s="771">
        <f>F20</f>
        <v>100</v>
      </c>
      <c r="T20" s="770" t="s">
        <v>17</v>
      </c>
      <c r="U20" s="771">
        <f>H20</f>
        <v>100</v>
      </c>
      <c r="V20" s="770" t="s">
        <v>17</v>
      </c>
      <c r="W20" s="771">
        <f>J20</f>
        <v>100</v>
      </c>
      <c r="X20" s="1805"/>
      <c r="Y20" s="3384"/>
      <c r="Z20" s="1806" t="str">
        <f>Q20</f>
        <v>自然及人文环境</v>
      </c>
      <c r="AA20" s="1803">
        <f t="shared" si="3"/>
        <v>1</v>
      </c>
      <c r="AB20" s="1803">
        <f t="shared" si="4"/>
        <v>1</v>
      </c>
      <c r="AC20" s="1803">
        <f t="shared" si="5"/>
        <v>1</v>
      </c>
    </row>
    <row r="21" spans="1:29" ht="15">
      <c r="A21" s="400"/>
      <c r="B21" s="628"/>
      <c r="C21" s="443"/>
      <c r="D21" s="444"/>
      <c r="E21" s="443"/>
      <c r="F21" s="445"/>
      <c r="G21" s="443"/>
      <c r="H21" s="444"/>
      <c r="I21" s="443"/>
      <c r="J21" s="444"/>
      <c r="K21" s="611"/>
      <c r="L21" s="1133"/>
      <c r="M21" s="1124"/>
      <c r="N21" s="1124"/>
      <c r="O21" s="1124"/>
      <c r="P21" s="3384"/>
      <c r="Q21" s="1802"/>
      <c r="R21" s="770"/>
      <c r="S21" s="771"/>
      <c r="T21" s="770"/>
      <c r="U21" s="771"/>
      <c r="V21" s="770"/>
      <c r="W21" s="771"/>
      <c r="X21" s="1805"/>
      <c r="Y21" s="3384"/>
      <c r="Z21" s="1806"/>
      <c r="AA21" s="1803">
        <v>1</v>
      </c>
      <c r="AB21" s="1803">
        <v>1</v>
      </c>
      <c r="AC21" s="1803">
        <v>1</v>
      </c>
    </row>
    <row r="22" spans="1:29" ht="15">
      <c r="A22" s="400"/>
      <c r="B22" s="627" t="s">
        <v>2698</v>
      </c>
      <c r="C22" s="612"/>
      <c r="D22" s="446">
        <v>100</v>
      </c>
      <c r="E22" s="612"/>
      <c r="F22" s="457">
        <f>SUMIF(71:71,E22,72:72)-SUMIF(71:71,C22,72:72)+100</f>
        <v>100</v>
      </c>
      <c r="G22" s="612"/>
      <c r="H22" s="431">
        <f>SUMIF(71:71,G22,72:72)-SUMIF(71:71,C22,72:72)+100</f>
        <v>100</v>
      </c>
      <c r="I22" s="612"/>
      <c r="J22" s="431">
        <f>SUMIF(71:71,I22,72:72)-SUMIF(71:71,C22,72:72)+100</f>
        <v>100</v>
      </c>
      <c r="K22" s="608"/>
      <c r="L22" s="1133"/>
      <c r="M22" s="1124"/>
      <c r="N22" s="1124"/>
      <c r="O22" s="1124"/>
      <c r="P22" s="3384"/>
      <c r="Q22" s="1802" t="str">
        <f>B22</f>
        <v>楼层</v>
      </c>
      <c r="R22" s="770" t="s">
        <v>17</v>
      </c>
      <c r="S22" s="771">
        <f>F22</f>
        <v>100</v>
      </c>
      <c r="T22" s="770" t="s">
        <v>17</v>
      </c>
      <c r="U22" s="771">
        <f>H22</f>
        <v>100</v>
      </c>
      <c r="V22" s="770" t="s">
        <v>17</v>
      </c>
      <c r="W22" s="771">
        <f>J22</f>
        <v>100</v>
      </c>
      <c r="X22" s="1805"/>
      <c r="Y22" s="3384"/>
      <c r="Z22" s="1806" t="str">
        <f>Q22</f>
        <v>楼层</v>
      </c>
      <c r="AA22" s="1803">
        <f t="shared" si="3"/>
        <v>1</v>
      </c>
      <c r="AB22" s="1803">
        <f t="shared" si="4"/>
        <v>1</v>
      </c>
      <c r="AC22" s="1803">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3"/>
      <c r="M23" s="1124"/>
      <c r="N23" s="1124"/>
      <c r="O23" s="1124"/>
      <c r="P23" s="3384"/>
      <c r="Q23" s="1802">
        <f>B23</f>
        <v>111</v>
      </c>
      <c r="R23" s="770" t="s">
        <v>17</v>
      </c>
      <c r="S23" s="771">
        <f>F23</f>
        <v>100</v>
      </c>
      <c r="T23" s="770" t="s">
        <v>17</v>
      </c>
      <c r="U23" s="771">
        <f>H23</f>
        <v>100</v>
      </c>
      <c r="V23" s="770" t="s">
        <v>17</v>
      </c>
      <c r="W23" s="771">
        <f>J23</f>
        <v>100</v>
      </c>
      <c r="X23" s="1805"/>
      <c r="Y23" s="3384"/>
      <c r="Z23" s="1806">
        <f>Q23</f>
        <v>111</v>
      </c>
      <c r="AA23" s="1803">
        <f t="shared" si="3"/>
        <v>1</v>
      </c>
      <c r="AB23" s="1803">
        <f t="shared" si="4"/>
        <v>1</v>
      </c>
      <c r="AC23" s="1803">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3"/>
      <c r="M24" s="1124"/>
      <c r="N24" s="1124"/>
      <c r="O24" s="1124"/>
      <c r="P24" s="3384"/>
      <c r="Q24" s="1802">
        <f t="shared" ref="Q24:Q36" si="11">B24</f>
        <v>111</v>
      </c>
      <c r="R24" s="770" t="s">
        <v>17</v>
      </c>
      <c r="S24" s="771">
        <f>F24</f>
        <v>100</v>
      </c>
      <c r="T24" s="770" t="s">
        <v>17</v>
      </c>
      <c r="U24" s="771">
        <f>H24</f>
        <v>100</v>
      </c>
      <c r="V24" s="770" t="s">
        <v>17</v>
      </c>
      <c r="W24" s="771">
        <f>J24</f>
        <v>100</v>
      </c>
      <c r="X24" s="1805"/>
      <c r="Y24" s="3384"/>
      <c r="Z24" s="1806">
        <f>Q24</f>
        <v>111</v>
      </c>
      <c r="AA24" s="1803">
        <f t="shared" si="3"/>
        <v>1</v>
      </c>
      <c r="AB24" s="1803">
        <f t="shared" si="4"/>
        <v>1</v>
      </c>
      <c r="AC24" s="1803">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5"/>
      <c r="M25" s="1126"/>
      <c r="N25" s="1126"/>
      <c r="O25" s="1126"/>
      <c r="P25" s="3384"/>
      <c r="Q25" s="1787">
        <f t="shared" si="11"/>
        <v>111</v>
      </c>
      <c r="R25" s="766" t="s">
        <v>17</v>
      </c>
      <c r="S25" s="767">
        <f>F25</f>
        <v>100</v>
      </c>
      <c r="T25" s="766" t="s">
        <v>17</v>
      </c>
      <c r="U25" s="767">
        <f>H25</f>
        <v>100</v>
      </c>
      <c r="V25" s="766" t="s">
        <v>17</v>
      </c>
      <c r="W25" s="767">
        <f>J25</f>
        <v>100</v>
      </c>
      <c r="X25" s="768"/>
      <c r="Y25" s="3384"/>
      <c r="Z25" s="55">
        <f>Q25</f>
        <v>111</v>
      </c>
      <c r="AA25" s="1803">
        <f>D25/F25</f>
        <v>1</v>
      </c>
      <c r="AB25" s="1803">
        <f>D25/H25</f>
        <v>1</v>
      </c>
      <c r="AC25" s="1803">
        <f>D25/J25</f>
        <v>1</v>
      </c>
    </row>
    <row r="26" spans="1:29" ht="15">
      <c r="A26" s="648" t="s">
        <v>2550</v>
      </c>
      <c r="B26" s="70" t="s">
        <v>2699</v>
      </c>
      <c r="C26" s="2684">
        <f>B1</f>
        <v>0</v>
      </c>
      <c r="D26" s="444">
        <v>100</v>
      </c>
      <c r="E26" s="443"/>
      <c r="F26" s="445">
        <f>SUMIF(79:79,E26,80:80)-SUMIF(79:79,C26,80:80)+100</f>
        <v>100</v>
      </c>
      <c r="G26" s="443"/>
      <c r="H26" s="444">
        <f>SUMIF(79:79,G26,80:80)-SUMIF(79:79,C26,80:80)+100</f>
        <v>100</v>
      </c>
      <c r="I26" s="443"/>
      <c r="J26" s="444">
        <f>SUMIF(79:79,I26,80:80)-SUMIF(79:79,C26,80:80)+100</f>
        <v>100</v>
      </c>
      <c r="K26" s="608"/>
      <c r="L26" s="1133"/>
      <c r="M26" s="1124"/>
      <c r="N26" s="1124"/>
      <c r="O26" s="1124"/>
      <c r="P26" s="3385" t="s">
        <v>2552</v>
      </c>
      <c r="Q26" s="1802" t="str">
        <f t="shared" si="11"/>
        <v>配套类型</v>
      </c>
      <c r="R26" s="770" t="s">
        <v>17</v>
      </c>
      <c r="S26" s="771">
        <f t="shared" ref="S26:S36" si="12">F26</f>
        <v>100</v>
      </c>
      <c r="T26" s="770" t="s">
        <v>17</v>
      </c>
      <c r="U26" s="771">
        <f t="shared" ref="U26:U36" si="13">H26</f>
        <v>100</v>
      </c>
      <c r="V26" s="770" t="s">
        <v>17</v>
      </c>
      <c r="W26" s="771">
        <f t="shared" ref="W26:W36" si="14">J26</f>
        <v>100</v>
      </c>
      <c r="X26" s="1805"/>
      <c r="Y26" s="3386" t="s">
        <v>2552</v>
      </c>
      <c r="Z26" s="1806" t="str">
        <f t="shared" ref="Z26:Z36" si="15">Q26</f>
        <v>配套类型</v>
      </c>
      <c r="AA26" s="1803">
        <f t="shared" si="3"/>
        <v>1</v>
      </c>
      <c r="AB26" s="1803">
        <f t="shared" si="4"/>
        <v>1</v>
      </c>
      <c r="AC26" s="1803">
        <f t="shared" si="5"/>
        <v>1</v>
      </c>
    </row>
    <row r="27" spans="1:29" s="467" customFormat="1" ht="15">
      <c r="A27" s="649"/>
      <c r="B27" s="650" t="s">
        <v>2700</v>
      </c>
      <c r="C27" s="651"/>
      <c r="D27" s="133">
        <v>100</v>
      </c>
      <c r="E27" s="651"/>
      <c r="F27" s="457">
        <f>SUMIF(81:81,E27,82:82)-SUMIF(81:81,C27,82:82)+100</f>
        <v>100</v>
      </c>
      <c r="G27" s="651"/>
      <c r="H27" s="431">
        <f>SUMIF(81:81,G27,82:82)-SUMIF(81:81,C27,82:82)+100</f>
        <v>100</v>
      </c>
      <c r="I27" s="651"/>
      <c r="J27" s="431">
        <f>SUMIF(81:81,I27,82:82)-SUMIF(81:81,C27,82:82)+100</f>
        <v>100</v>
      </c>
      <c r="K27" s="609"/>
      <c r="L27" s="1131"/>
      <c r="M27" s="1134"/>
      <c r="N27" s="1134"/>
      <c r="O27" s="1134"/>
      <c r="P27" s="3386"/>
      <c r="Q27" s="772" t="str">
        <f t="shared" si="11"/>
        <v>项目停车位配比</v>
      </c>
      <c r="R27" s="773" t="s">
        <v>17</v>
      </c>
      <c r="S27" s="774">
        <f t="shared" si="12"/>
        <v>100</v>
      </c>
      <c r="T27" s="773" t="s">
        <v>17</v>
      </c>
      <c r="U27" s="774">
        <f t="shared" si="13"/>
        <v>100</v>
      </c>
      <c r="V27" s="773" t="s">
        <v>17</v>
      </c>
      <c r="W27" s="774">
        <f t="shared" si="14"/>
        <v>100</v>
      </c>
      <c r="X27" s="775"/>
      <c r="Y27" s="3386"/>
      <c r="Z27" s="776" t="str">
        <f t="shared" si="15"/>
        <v>项目停车位配比</v>
      </c>
      <c r="AA27" s="1803">
        <f t="shared" si="3"/>
        <v>1</v>
      </c>
      <c r="AB27" s="1803">
        <f t="shared" si="4"/>
        <v>1</v>
      </c>
      <c r="AC27" s="1803">
        <f t="shared" si="5"/>
        <v>1</v>
      </c>
    </row>
    <row r="28" spans="1:29" ht="15">
      <c r="A28" s="652"/>
      <c r="B28" s="650" t="s">
        <v>2701</v>
      </c>
      <c r="C28" s="456"/>
      <c r="D28" s="431">
        <v>100</v>
      </c>
      <c r="E28" s="456"/>
      <c r="F28" s="457">
        <f>SUMIF(83:83,E28,84:84)-SUMIF(83:83,C28,84:84)+100</f>
        <v>100</v>
      </c>
      <c r="G28" s="456"/>
      <c r="H28" s="431">
        <f>SUMIF(83:83,G28,84:84)-SUMIF(83:83,C28,84:84)+100</f>
        <v>100</v>
      </c>
      <c r="I28" s="456"/>
      <c r="J28" s="431">
        <f>SUMIF(83:83,I28,84:84)-SUMIF(83:83,C28,84:84)+100</f>
        <v>100</v>
      </c>
      <c r="K28" s="608"/>
      <c r="L28" s="1133"/>
      <c r="M28" s="1124"/>
      <c r="N28" s="1124"/>
      <c r="O28" s="1124"/>
      <c r="P28" s="3386"/>
      <c r="Q28" s="1802" t="str">
        <f t="shared" si="11"/>
        <v>公共部分装修</v>
      </c>
      <c r="R28" s="770" t="s">
        <v>17</v>
      </c>
      <c r="S28" s="771">
        <f t="shared" si="12"/>
        <v>100</v>
      </c>
      <c r="T28" s="770" t="s">
        <v>17</v>
      </c>
      <c r="U28" s="771">
        <f t="shared" si="13"/>
        <v>100</v>
      </c>
      <c r="V28" s="770" t="s">
        <v>17</v>
      </c>
      <c r="W28" s="771">
        <f t="shared" si="14"/>
        <v>100</v>
      </c>
      <c r="X28" s="1805"/>
      <c r="Y28" s="3386"/>
      <c r="Z28" s="1806" t="str">
        <f t="shared" si="15"/>
        <v>公共部分装修</v>
      </c>
      <c r="AA28" s="1803">
        <f t="shared" si="3"/>
        <v>1</v>
      </c>
      <c r="AB28" s="1803">
        <f t="shared" si="4"/>
        <v>1</v>
      </c>
      <c r="AC28" s="1803">
        <f t="shared" si="5"/>
        <v>1</v>
      </c>
    </row>
    <row r="29" spans="1:29" ht="15">
      <c r="A29" s="652"/>
      <c r="B29" s="650" t="s">
        <v>2702</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3"/>
      <c r="M29" s="1124"/>
      <c r="N29" s="1124"/>
      <c r="O29" s="1124"/>
      <c r="P29" s="3386"/>
      <c r="Q29" s="1802" t="str">
        <f t="shared" si="11"/>
        <v>成新率</v>
      </c>
      <c r="R29" s="770" t="s">
        <v>17</v>
      </c>
      <c r="S29" s="771" t="e">
        <f t="shared" si="12"/>
        <v>#N/A</v>
      </c>
      <c r="T29" s="770" t="s">
        <v>17</v>
      </c>
      <c r="U29" s="771" t="e">
        <f t="shared" si="13"/>
        <v>#N/A</v>
      </c>
      <c r="V29" s="770" t="s">
        <v>17</v>
      </c>
      <c r="W29" s="771" t="e">
        <f t="shared" si="14"/>
        <v>#N/A</v>
      </c>
      <c r="X29" s="1805"/>
      <c r="Y29" s="3386"/>
      <c r="Z29" s="1806" t="str">
        <f t="shared" si="15"/>
        <v>成新率</v>
      </c>
      <c r="AA29" s="1803" t="e">
        <f t="shared" si="3"/>
        <v>#N/A</v>
      </c>
      <c r="AB29" s="1803" t="e">
        <f t="shared" si="4"/>
        <v>#N/A</v>
      </c>
      <c r="AC29" s="1803" t="e">
        <f t="shared" si="5"/>
        <v>#N/A</v>
      </c>
    </row>
    <row r="30" spans="1:29" ht="15">
      <c r="A30" s="652"/>
      <c r="B30" s="650" t="s">
        <v>2703</v>
      </c>
      <c r="C30" s="653"/>
      <c r="D30" s="431">
        <v>100</v>
      </c>
      <c r="E30" s="653"/>
      <c r="F30" s="457">
        <f>SUMIF(88:88,E30,89:89)-SUMIF(88:88,C30,89:89)+100</f>
        <v>100</v>
      </c>
      <c r="G30" s="653"/>
      <c r="H30" s="431">
        <f>SUMIF(88:88,E30,89:89)-SUMIF(88:88,C30,89:89)+100</f>
        <v>100</v>
      </c>
      <c r="I30" s="653"/>
      <c r="J30" s="431">
        <f>SUMIF(88:88,E30,89:89)-SUMIF(88:88,C30,89:89)+100</f>
        <v>100</v>
      </c>
      <c r="K30" s="608"/>
      <c r="L30" s="1133"/>
      <c r="M30" s="1124"/>
      <c r="N30" s="1124"/>
      <c r="O30" s="1124"/>
      <c r="P30" s="3386"/>
      <c r="Q30" s="1802" t="str">
        <f t="shared" si="11"/>
        <v>物业等级</v>
      </c>
      <c r="R30" s="770" t="s">
        <v>17</v>
      </c>
      <c r="S30" s="771">
        <f t="shared" si="12"/>
        <v>100</v>
      </c>
      <c r="T30" s="770" t="s">
        <v>17</v>
      </c>
      <c r="U30" s="771">
        <f t="shared" si="13"/>
        <v>100</v>
      </c>
      <c r="V30" s="770" t="s">
        <v>17</v>
      </c>
      <c r="W30" s="771">
        <f t="shared" si="14"/>
        <v>100</v>
      </c>
      <c r="X30" s="1805"/>
      <c r="Y30" s="3386"/>
      <c r="Z30" s="1806" t="str">
        <f t="shared" si="15"/>
        <v>物业等级</v>
      </c>
      <c r="AA30" s="1803">
        <f t="shared" si="3"/>
        <v>1</v>
      </c>
      <c r="AB30" s="1803">
        <f t="shared" si="4"/>
        <v>1</v>
      </c>
      <c r="AC30" s="1803">
        <f t="shared" si="5"/>
        <v>1</v>
      </c>
    </row>
    <row r="31" spans="1:29" s="116" customFormat="1" ht="15">
      <c r="A31" s="654"/>
      <c r="B31" s="650" t="s">
        <v>2704</v>
      </c>
      <c r="C31" s="465"/>
      <c r="D31" s="133">
        <v>100</v>
      </c>
      <c r="E31" s="465"/>
      <c r="F31" s="457" t="e">
        <f>LOOKUP(E31,91:91,92:92)-LOOKUP(C31,91:91,92:92)+100</f>
        <v>#N/A</v>
      </c>
      <c r="G31" s="465"/>
      <c r="H31" s="431" t="e">
        <f>LOOKUP(G31,91:91,92:92)-LOOKUP(C31,91:91,92:92)+100</f>
        <v>#N/A</v>
      </c>
      <c r="I31" s="465"/>
      <c r="J31" s="431" t="e">
        <f>LOOKUP(I31,91:91,92:92)-LOOKUP(C31,91:91,92:92)+100</f>
        <v>#N/A</v>
      </c>
      <c r="K31" s="608"/>
      <c r="L31" s="1125"/>
      <c r="M31" s="1126"/>
      <c r="N31" s="1126"/>
      <c r="O31" s="1126"/>
      <c r="P31" s="3386"/>
      <c r="Q31" s="1787" t="str">
        <f t="shared" si="11"/>
        <v>停车位面积</v>
      </c>
      <c r="R31" s="766" t="s">
        <v>17</v>
      </c>
      <c r="S31" s="767" t="e">
        <f t="shared" si="12"/>
        <v>#N/A</v>
      </c>
      <c r="T31" s="766" t="s">
        <v>17</v>
      </c>
      <c r="U31" s="767" t="e">
        <f t="shared" si="13"/>
        <v>#N/A</v>
      </c>
      <c r="V31" s="766" t="s">
        <v>17</v>
      </c>
      <c r="W31" s="767" t="e">
        <f t="shared" si="14"/>
        <v>#N/A</v>
      </c>
      <c r="X31" s="768"/>
      <c r="Y31" s="3386"/>
      <c r="Z31" s="55" t="str">
        <f t="shared" si="15"/>
        <v>停车位面积</v>
      </c>
      <c r="AA31" s="769" t="e">
        <f t="shared" si="3"/>
        <v>#N/A</v>
      </c>
      <c r="AB31" s="769" t="e">
        <f t="shared" si="4"/>
        <v>#N/A</v>
      </c>
      <c r="AC31" s="769" t="e">
        <f t="shared" si="5"/>
        <v>#N/A</v>
      </c>
    </row>
    <row r="32" spans="1:29" ht="15">
      <c r="A32" s="652"/>
      <c r="B32" s="650" t="s">
        <v>2705</v>
      </c>
      <c r="C32" s="456"/>
      <c r="D32" s="431">
        <v>100</v>
      </c>
      <c r="E32" s="456"/>
      <c r="F32" s="457">
        <f>SUMIF(93:93,E32,94:94)-SUMIF(93:93,C32,94:94)+100</f>
        <v>100</v>
      </c>
      <c r="G32" s="456"/>
      <c r="H32" s="431">
        <f>SUMIF(93:93,G32,94:94)-SUMIF(93:93,C32,94:94)+100</f>
        <v>100</v>
      </c>
      <c r="I32" s="456"/>
      <c r="J32" s="431">
        <f>SUMIF(93:93,I32,94:94)-SUMIF(93:93,C32,94:94)+100</f>
        <v>100</v>
      </c>
      <c r="K32" s="608"/>
      <c r="L32" s="1133"/>
      <c r="M32" s="1124"/>
      <c r="N32" s="1124"/>
      <c r="O32" s="1124"/>
      <c r="P32" s="3386" t="s">
        <v>2552</v>
      </c>
      <c r="Q32" s="1802" t="str">
        <f t="shared" si="11"/>
        <v>车位类型</v>
      </c>
      <c r="R32" s="770" t="s">
        <v>17</v>
      </c>
      <c r="S32" s="771">
        <f t="shared" si="12"/>
        <v>100</v>
      </c>
      <c r="T32" s="770" t="s">
        <v>17</v>
      </c>
      <c r="U32" s="771">
        <f t="shared" si="13"/>
        <v>100</v>
      </c>
      <c r="V32" s="770" t="s">
        <v>17</v>
      </c>
      <c r="W32" s="771">
        <f t="shared" si="14"/>
        <v>100</v>
      </c>
      <c r="X32" s="1805"/>
      <c r="Y32" s="3386" t="s">
        <v>2552</v>
      </c>
      <c r="Z32" s="1806" t="str">
        <f t="shared" si="15"/>
        <v>车位类型</v>
      </c>
      <c r="AA32" s="1803">
        <f t="shared" si="3"/>
        <v>1</v>
      </c>
      <c r="AB32" s="1803">
        <f t="shared" si="4"/>
        <v>1</v>
      </c>
      <c r="AC32" s="1803">
        <f t="shared" si="5"/>
        <v>1</v>
      </c>
    </row>
    <row r="33" spans="1:29" ht="15">
      <c r="A33" s="652"/>
      <c r="B33" s="650" t="s">
        <v>2706</v>
      </c>
      <c r="C33" s="456"/>
      <c r="D33" s="431">
        <v>100</v>
      </c>
      <c r="E33" s="456"/>
      <c r="F33" s="457">
        <f>SUMIF(95:95,E33,96:96)-SUMIF(95:95,C33,96:96)+100</f>
        <v>100</v>
      </c>
      <c r="G33" s="456"/>
      <c r="H33" s="431">
        <f>SUMIF(95:95,G33,96:96)-SUMIF(95:95,C33,96:96)+100</f>
        <v>100</v>
      </c>
      <c r="I33" s="456"/>
      <c r="J33" s="431">
        <f>SUMIF(95:95,I33,96:96)-SUMIF(95:95,C33,96:96)+100</f>
        <v>100</v>
      </c>
      <c r="K33" s="608"/>
      <c r="L33" s="1133"/>
      <c r="M33" s="1124"/>
      <c r="N33" s="1124"/>
      <c r="O33" s="1124"/>
      <c r="P33" s="3386"/>
      <c r="Q33" s="1802" t="str">
        <f t="shared" si="11"/>
        <v>是否直接入户</v>
      </c>
      <c r="R33" s="770" t="s">
        <v>17</v>
      </c>
      <c r="S33" s="771">
        <f t="shared" si="12"/>
        <v>100</v>
      </c>
      <c r="T33" s="770" t="s">
        <v>17</v>
      </c>
      <c r="U33" s="771">
        <f t="shared" si="13"/>
        <v>100</v>
      </c>
      <c r="V33" s="770" t="s">
        <v>17</v>
      </c>
      <c r="W33" s="771">
        <f t="shared" si="14"/>
        <v>100</v>
      </c>
      <c r="X33" s="1805"/>
      <c r="Y33" s="3386"/>
      <c r="Z33" s="1806" t="str">
        <f t="shared" si="15"/>
        <v>是否直接入户</v>
      </c>
      <c r="AA33" s="1803">
        <f t="shared" si="3"/>
        <v>1</v>
      </c>
      <c r="AB33" s="1803">
        <f t="shared" si="4"/>
        <v>1</v>
      </c>
      <c r="AC33" s="1803">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3"/>
      <c r="M34" s="1124"/>
      <c r="N34" s="1124"/>
      <c r="O34" s="1124"/>
      <c r="P34" s="3386"/>
      <c r="Q34" s="1802">
        <f t="shared" si="11"/>
        <v>111</v>
      </c>
      <c r="R34" s="770" t="s">
        <v>17</v>
      </c>
      <c r="S34" s="771">
        <f t="shared" si="12"/>
        <v>100</v>
      </c>
      <c r="T34" s="770" t="s">
        <v>17</v>
      </c>
      <c r="U34" s="771">
        <f t="shared" si="13"/>
        <v>100</v>
      </c>
      <c r="V34" s="770" t="s">
        <v>17</v>
      </c>
      <c r="W34" s="771">
        <f t="shared" si="14"/>
        <v>100</v>
      </c>
      <c r="X34" s="1805"/>
      <c r="Y34" s="3386"/>
      <c r="Z34" s="1806">
        <f t="shared" si="15"/>
        <v>111</v>
      </c>
      <c r="AA34" s="1803">
        <f t="shared" si="3"/>
        <v>1</v>
      </c>
      <c r="AB34" s="1803">
        <f t="shared" si="4"/>
        <v>1</v>
      </c>
      <c r="AC34" s="1803">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1"/>
      <c r="M35" s="1134"/>
      <c r="N35" s="1134"/>
      <c r="O35" s="1134"/>
      <c r="P35" s="3386"/>
      <c r="Q35" s="772">
        <f t="shared" si="11"/>
        <v>111</v>
      </c>
      <c r="R35" s="773" t="s">
        <v>17</v>
      </c>
      <c r="S35" s="774">
        <f t="shared" si="12"/>
        <v>100</v>
      </c>
      <c r="T35" s="773" t="s">
        <v>17</v>
      </c>
      <c r="U35" s="774">
        <f t="shared" si="13"/>
        <v>100</v>
      </c>
      <c r="V35" s="773" t="s">
        <v>17</v>
      </c>
      <c r="W35" s="774">
        <f t="shared" si="14"/>
        <v>100</v>
      </c>
      <c r="X35" s="775"/>
      <c r="Y35" s="3386"/>
      <c r="Z35" s="776">
        <f t="shared" si="15"/>
        <v>111</v>
      </c>
      <c r="AA35" s="1803">
        <f t="shared" si="3"/>
        <v>1</v>
      </c>
      <c r="AB35" s="1803">
        <f t="shared" si="4"/>
        <v>1</v>
      </c>
      <c r="AC35" s="1803">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3"/>
      <c r="M36" s="1124"/>
      <c r="N36" s="1124"/>
      <c r="O36" s="1124"/>
      <c r="P36" s="3386"/>
      <c r="Q36" s="1802">
        <f t="shared" si="11"/>
        <v>111</v>
      </c>
      <c r="R36" s="770" t="s">
        <v>17</v>
      </c>
      <c r="S36" s="771">
        <f t="shared" si="12"/>
        <v>100</v>
      </c>
      <c r="T36" s="770" t="s">
        <v>17</v>
      </c>
      <c r="U36" s="771">
        <f t="shared" si="13"/>
        <v>100</v>
      </c>
      <c r="V36" s="770" t="s">
        <v>17</v>
      </c>
      <c r="W36" s="771">
        <f t="shared" si="14"/>
        <v>100</v>
      </c>
      <c r="X36" s="1805"/>
      <c r="Y36" s="3386"/>
      <c r="Z36" s="1806">
        <f t="shared" si="15"/>
        <v>111</v>
      </c>
      <c r="AA36" s="1803">
        <f t="shared" si="3"/>
        <v>1</v>
      </c>
      <c r="AB36" s="1803">
        <f t="shared" si="4"/>
        <v>1</v>
      </c>
      <c r="AC36" s="1803">
        <f t="shared" si="5"/>
        <v>1</v>
      </c>
    </row>
    <row r="37" spans="1:29" ht="15">
      <c r="A37" s="475" t="s">
        <v>2707</v>
      </c>
      <c r="B37" s="2685" t="s">
        <v>2708</v>
      </c>
      <c r="C37" s="1400" t="s">
        <v>1</v>
      </c>
      <c r="D37" s="1401"/>
      <c r="E37" s="1402"/>
      <c r="F37" s="1403"/>
      <c r="G37" s="1404"/>
      <c r="H37" s="1405"/>
      <c r="I37" s="1402"/>
      <c r="J37" s="1405"/>
      <c r="K37" s="615"/>
      <c r="L37" s="1136"/>
      <c r="M37" s="1137"/>
      <c r="N37" s="1124"/>
      <c r="O37" s="1137"/>
      <c r="P37" s="3368" t="str">
        <f>A37</f>
        <v>成交单价</v>
      </c>
      <c r="Q37" s="3368"/>
      <c r="R37" s="3406">
        <f>E37</f>
        <v>0</v>
      </c>
      <c r="S37" s="3406"/>
      <c r="T37" s="3406">
        <f>G37</f>
        <v>0</v>
      </c>
      <c r="U37" s="3406"/>
      <c r="V37" s="3406">
        <f>I37</f>
        <v>0</v>
      </c>
      <c r="W37" s="3406"/>
      <c r="X37" s="755"/>
      <c r="Y37" s="777"/>
      <c r="Z37" s="755"/>
      <c r="AA37" s="755"/>
      <c r="AB37" s="755"/>
      <c r="AC37" s="755"/>
    </row>
    <row r="38" spans="1:29" ht="15.75" thickBot="1">
      <c r="A38" s="482" t="s">
        <v>2709</v>
      </c>
      <c r="B38" s="483" t="str">
        <f>B37</f>
        <v>元/车位</v>
      </c>
      <c r="C38" s="1406" t="e">
        <f>R39</f>
        <v>#DIV/0!</v>
      </c>
      <c r="D38" s="1407"/>
      <c r="E38" s="1408" t="e">
        <f>R38</f>
        <v>#DIV/0!</v>
      </c>
      <c r="F38" s="1408"/>
      <c r="G38" s="1406" t="e">
        <f>T38</f>
        <v>#DIV/0!</v>
      </c>
      <c r="H38" s="1407"/>
      <c r="I38" s="1408" t="e">
        <f>V38</f>
        <v>#DIV/0!</v>
      </c>
      <c r="J38" s="1407"/>
      <c r="K38" s="616"/>
      <c r="L38" s="1136"/>
      <c r="M38" s="1137"/>
      <c r="N38" s="1137"/>
      <c r="O38" s="1137"/>
      <c r="P38" s="3368" t="str">
        <f>A38</f>
        <v>比较价值（元/平方米）</v>
      </c>
      <c r="Q38" s="3368"/>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755"/>
      <c r="Y38" s="755"/>
      <c r="Z38" s="755"/>
      <c r="AA38" s="755"/>
      <c r="AB38" s="755"/>
      <c r="AC38" s="755"/>
    </row>
    <row r="39" spans="1:29" ht="15.75" thickBot="1">
      <c r="A39" s="488" t="s">
        <v>2710</v>
      </c>
      <c r="B39" s="489"/>
      <c r="C39" s="1410" t="e">
        <f>R39</f>
        <v>#DIV/0!</v>
      </c>
      <c r="D39" s="1410"/>
      <c r="E39" s="1410"/>
      <c r="F39" s="1410"/>
      <c r="G39" s="1410"/>
      <c r="H39" s="1410"/>
      <c r="I39" s="1410"/>
      <c r="J39" s="1410"/>
      <c r="K39" s="617"/>
      <c r="L39" s="1136"/>
      <c r="M39" s="1137"/>
      <c r="N39" s="1137"/>
      <c r="O39" s="1137"/>
      <c r="P39" s="3388" t="str">
        <f>A39</f>
        <v>估价对象XX用房的比较价值（楼面单价，元/平方米）</v>
      </c>
      <c r="Q39" s="3389"/>
      <c r="R39" s="3407" t="e">
        <f>IF(F1="售价",ROUND(AVERAGE(R38:V38),0),ROUND(AVERAGE(R38:V38),1))</f>
        <v>#DIV/0!</v>
      </c>
      <c r="S39" s="3407"/>
      <c r="T39" s="3407"/>
      <c r="U39" s="3407"/>
      <c r="V39" s="3407"/>
      <c r="W39" s="3407"/>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3" t="s">
        <v>2711</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3" t="s">
        <v>2712</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8" customFormat="1" ht="13.5" customHeight="1">
      <c r="A44" s="1138"/>
      <c r="B44" s="1138"/>
      <c r="C44" s="493" t="s">
        <v>2713</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8"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2714</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4" customFormat="1" ht="15">
      <c r="A48" s="501" t="s">
        <v>2715</v>
      </c>
      <c r="B48" s="502"/>
      <c r="C48" s="1566" t="str">
        <f>YEAR(C7)&amp;"-"&amp;MONTH(C7)</f>
        <v>2018-8</v>
      </c>
      <c r="D48" s="1567">
        <f>EDATE(C48,-1)</f>
        <v>43282</v>
      </c>
      <c r="E48" s="1567">
        <f t="shared" ref="E48:O48" si="16">EDATE(D48,-1)</f>
        <v>43252</v>
      </c>
      <c r="F48" s="1567">
        <f t="shared" si="16"/>
        <v>43221</v>
      </c>
      <c r="G48" s="1567">
        <f t="shared" si="16"/>
        <v>43191</v>
      </c>
      <c r="H48" s="1567">
        <f t="shared" si="16"/>
        <v>43160</v>
      </c>
      <c r="I48" s="1567">
        <f t="shared" si="16"/>
        <v>43132</v>
      </c>
      <c r="J48" s="1567">
        <f t="shared" si="16"/>
        <v>43101</v>
      </c>
      <c r="K48" s="1567">
        <f t="shared" si="16"/>
        <v>43070</v>
      </c>
      <c r="L48" s="1567">
        <f t="shared" si="16"/>
        <v>43040</v>
      </c>
      <c r="M48" s="1567">
        <f t="shared" si="16"/>
        <v>43009</v>
      </c>
      <c r="N48" s="1567">
        <f t="shared" si="16"/>
        <v>42979</v>
      </c>
      <c r="O48" s="1567">
        <f t="shared" si="16"/>
        <v>42948</v>
      </c>
      <c r="P48" s="1431"/>
      <c r="Q48" s="1432"/>
      <c r="R48" s="1432"/>
      <c r="S48" s="1432"/>
      <c r="T48" s="1432"/>
      <c r="U48" s="1432"/>
      <c r="V48" s="1432"/>
      <c r="W48" s="1432"/>
      <c r="X48" s="1432"/>
      <c r="Y48" s="1432"/>
      <c r="Z48" s="1432"/>
      <c r="AA48" s="1432"/>
      <c r="AB48" s="1432"/>
      <c r="AC48" s="1432"/>
    </row>
    <row r="49" spans="1:29" s="116" customFormat="1" ht="15">
      <c r="A49" s="505"/>
      <c r="B49" s="506"/>
      <c r="C49" s="1559">
        <v>100</v>
      </c>
      <c r="D49" s="508"/>
      <c r="E49" s="508"/>
      <c r="F49" s="508"/>
      <c r="G49" s="508"/>
      <c r="H49" s="508"/>
      <c r="I49" s="508"/>
      <c r="J49" s="508"/>
      <c r="K49" s="508"/>
      <c r="L49" s="508"/>
      <c r="M49" s="509"/>
      <c r="N49" s="508"/>
      <c r="O49" s="509"/>
      <c r="P49" s="1421"/>
      <c r="Q49" s="1420"/>
      <c r="R49" s="1420"/>
      <c r="S49" s="1420"/>
      <c r="T49" s="1420"/>
      <c r="U49" s="1420"/>
      <c r="V49" s="1420"/>
      <c r="W49" s="1420"/>
      <c r="X49" s="1420"/>
      <c r="Y49" s="1420"/>
      <c r="Z49" s="1420"/>
      <c r="AA49" s="1420"/>
      <c r="AB49" s="1420"/>
      <c r="AC49" s="1420"/>
    </row>
    <row r="50" spans="1:29" s="116" customFormat="1" ht="15.75" thickBot="1">
      <c r="A50" s="511" t="s">
        <v>2572</v>
      </c>
      <c r="B50" s="512"/>
      <c r="C50" s="513"/>
      <c r="D50" s="514"/>
      <c r="E50" s="514"/>
      <c r="F50" s="514"/>
      <c r="G50" s="514"/>
      <c r="H50" s="514"/>
      <c r="I50" s="514"/>
      <c r="J50" s="514"/>
      <c r="K50" s="514"/>
      <c r="L50" s="514"/>
      <c r="M50" s="515"/>
      <c r="N50" s="514"/>
      <c r="O50" s="515"/>
      <c r="P50" s="1421"/>
      <c r="Q50" s="1416"/>
      <c r="R50" s="1420"/>
      <c r="S50" s="1420"/>
      <c r="T50" s="1420"/>
      <c r="U50" s="1420"/>
      <c r="V50" s="1420"/>
      <c r="W50" s="1420"/>
      <c r="X50" s="1420"/>
      <c r="Y50" s="1420"/>
      <c r="Z50" s="1420"/>
      <c r="AA50" s="1420"/>
      <c r="AB50" s="1420"/>
      <c r="AC50" s="1420"/>
    </row>
    <row r="51" spans="1:29" s="116" customFormat="1" ht="15">
      <c r="A51" s="517" t="s">
        <v>2537</v>
      </c>
      <c r="B51" s="506"/>
      <c r="C51" s="518" t="s">
        <v>2639</v>
      </c>
      <c r="D51" s="519"/>
      <c r="E51" s="519"/>
      <c r="F51" s="519"/>
      <c r="G51" s="519"/>
      <c r="H51" s="519"/>
      <c r="I51" s="519"/>
      <c r="J51" s="519"/>
      <c r="K51" s="519"/>
      <c r="L51" s="520"/>
      <c r="M51" s="521"/>
      <c r="N51" s="1144"/>
      <c r="O51" s="1144"/>
      <c r="P51" s="1419"/>
      <c r="Q51" s="1416"/>
      <c r="R51" s="1420"/>
      <c r="S51" s="1420"/>
      <c r="T51" s="1420"/>
      <c r="U51" s="1420"/>
      <c r="V51" s="1420"/>
      <c r="W51" s="1420"/>
      <c r="X51" s="1420"/>
      <c r="Y51" s="1420"/>
      <c r="Z51" s="1420"/>
      <c r="AA51" s="1420"/>
      <c r="AB51" s="1420"/>
      <c r="AC51" s="1420"/>
    </row>
    <row r="52" spans="1:29" s="116" customFormat="1" ht="15.75" thickBot="1">
      <c r="A52" s="517"/>
      <c r="B52" s="506"/>
      <c r="C52" s="635">
        <v>100</v>
      </c>
      <c r="D52" s="508"/>
      <c r="E52" s="508"/>
      <c r="F52" s="508"/>
      <c r="G52" s="508"/>
      <c r="H52" s="508"/>
      <c r="I52" s="508"/>
      <c r="J52" s="508"/>
      <c r="K52" s="508"/>
      <c r="L52" s="508"/>
      <c r="M52" s="510"/>
      <c r="N52" s="1144"/>
      <c r="O52" s="1144"/>
      <c r="P52" s="1421"/>
      <c r="Q52" s="1416"/>
      <c r="R52" s="1420"/>
      <c r="S52" s="1420"/>
      <c r="T52" s="1420"/>
      <c r="U52" s="1420"/>
      <c r="V52" s="1420"/>
      <c r="W52" s="1420"/>
      <c r="X52" s="1420"/>
      <c r="Y52" s="1420"/>
      <c r="Z52" s="1420"/>
      <c r="AA52" s="1420"/>
      <c r="AB52" s="1420"/>
      <c r="AC52" s="1420"/>
    </row>
    <row r="53" spans="1:29">
      <c r="A53" s="523" t="s">
        <v>2575</v>
      </c>
      <c r="B53" s="524" t="s">
        <v>2541</v>
      </c>
      <c r="C53" s="525">
        <f>C9</f>
        <v>0</v>
      </c>
      <c r="D53" s="526"/>
      <c r="E53" s="526"/>
      <c r="F53" s="526"/>
      <c r="G53" s="526"/>
      <c r="H53" s="526"/>
      <c r="I53" s="526"/>
      <c r="J53" s="526"/>
      <c r="K53" s="527"/>
      <c r="L53" s="528"/>
      <c r="M53" s="529"/>
      <c r="N53" s="1145"/>
      <c r="O53" s="1145"/>
      <c r="P53" s="1422"/>
      <c r="Q53" s="1416"/>
      <c r="R53" s="1137"/>
      <c r="S53" s="1137"/>
      <c r="T53" s="1137"/>
      <c r="U53" s="1137"/>
      <c r="V53" s="1137"/>
      <c r="W53" s="1137"/>
      <c r="X53" s="1137"/>
      <c r="Y53" s="1137"/>
      <c r="Z53" s="1137"/>
      <c r="AA53" s="1137"/>
      <c r="AB53" s="1137"/>
      <c r="AC53" s="1137"/>
    </row>
    <row r="54" spans="1:29" ht="15.75" thickBot="1">
      <c r="A54" s="530"/>
      <c r="B54" s="531"/>
      <c r="C54" s="532">
        <v>100</v>
      </c>
      <c r="D54" s="532"/>
      <c r="E54" s="532"/>
      <c r="F54" s="532"/>
      <c r="G54" s="532"/>
      <c r="H54" s="532"/>
      <c r="I54" s="532"/>
      <c r="J54" s="532"/>
      <c r="K54" s="532"/>
      <c r="L54" s="532"/>
      <c r="M54" s="533"/>
      <c r="N54" s="1146"/>
      <c r="O54" s="1146"/>
      <c r="P54" s="1422"/>
      <c r="Q54" s="1416"/>
      <c r="R54" s="1137"/>
      <c r="S54" s="1137"/>
      <c r="T54" s="1137"/>
      <c r="U54" s="1137"/>
      <c r="V54" s="1137"/>
      <c r="W54" s="1137"/>
      <c r="X54" s="1137"/>
      <c r="Y54" s="1137"/>
      <c r="Z54" s="1137"/>
      <c r="AA54" s="1137"/>
      <c r="AB54" s="1137"/>
      <c r="AC54" s="1137"/>
    </row>
    <row r="55" spans="1:29" ht="27.75" thickTop="1">
      <c r="A55" s="530"/>
      <c r="B55" s="534" t="s">
        <v>2544</v>
      </c>
      <c r="C55" s="535" t="s">
        <v>2576</v>
      </c>
      <c r="D55" s="535" t="s">
        <v>2577</v>
      </c>
      <c r="E55" s="535" t="s">
        <v>2578</v>
      </c>
      <c r="F55" s="535" t="s">
        <v>2579</v>
      </c>
      <c r="G55" s="535" t="s">
        <v>2580</v>
      </c>
      <c r="H55" s="535" t="s">
        <v>2581</v>
      </c>
      <c r="I55" s="535" t="s">
        <v>2582</v>
      </c>
      <c r="J55" s="535"/>
      <c r="K55" s="536"/>
      <c r="L55" s="537"/>
      <c r="M55" s="538"/>
      <c r="N55" s="1145"/>
      <c r="O55" s="1145"/>
      <c r="P55" s="1422"/>
      <c r="Q55" s="1416"/>
      <c r="R55" s="1137"/>
      <c r="S55" s="1137"/>
      <c r="T55" s="1137"/>
      <c r="U55" s="1137"/>
      <c r="V55" s="1137"/>
      <c r="W55" s="1137"/>
      <c r="X55" s="1137"/>
      <c r="Y55" s="1137"/>
      <c r="Z55" s="1137"/>
      <c r="AA55" s="1137"/>
      <c r="AB55" s="1137"/>
      <c r="AC55" s="1137"/>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6"/>
      <c r="O56" s="1146"/>
      <c r="P56" s="1422"/>
      <c r="Q56" s="1416"/>
      <c r="R56" s="1137"/>
      <c r="S56" s="1137"/>
      <c r="T56" s="1137"/>
      <c r="U56" s="1137"/>
      <c r="V56" s="1137"/>
      <c r="W56" s="1137"/>
      <c r="X56" s="1137"/>
      <c r="Y56" s="1137"/>
      <c r="Z56" s="1137"/>
      <c r="AA56" s="1137"/>
      <c r="AB56" s="1137"/>
      <c r="AC56" s="1137"/>
    </row>
    <row r="57" spans="1:29" ht="15.75" thickTop="1">
      <c r="A57" s="530"/>
      <c r="B57" s="656">
        <f>B11</f>
        <v>111</v>
      </c>
      <c r="C57" s="545"/>
      <c r="D57" s="545"/>
      <c r="E57" s="545"/>
      <c r="F57" s="545"/>
      <c r="G57" s="545"/>
      <c r="H57" s="545"/>
      <c r="I57" s="545"/>
      <c r="J57" s="545"/>
      <c r="K57" s="546"/>
      <c r="L57" s="547"/>
      <c r="M57" s="548"/>
      <c r="N57" s="1145"/>
      <c r="O57" s="1145"/>
      <c r="P57" s="1422"/>
      <c r="Q57" s="1416"/>
      <c r="R57" s="1137"/>
      <c r="S57" s="1137"/>
      <c r="T57" s="1137"/>
      <c r="U57" s="1137"/>
      <c r="V57" s="1137"/>
      <c r="W57" s="1137"/>
      <c r="X57" s="1137"/>
      <c r="Y57" s="1137"/>
      <c r="Z57" s="1137"/>
      <c r="AA57" s="1137"/>
      <c r="AB57" s="1137"/>
      <c r="AC57" s="1137"/>
    </row>
    <row r="58" spans="1:29" ht="15.75" thickBot="1">
      <c r="A58" s="530"/>
      <c r="B58" s="531"/>
      <c r="C58" s="556"/>
      <c r="D58" s="532"/>
      <c r="E58" s="532"/>
      <c r="F58" s="532"/>
      <c r="G58" s="532"/>
      <c r="H58" s="532"/>
      <c r="I58" s="532"/>
      <c r="J58" s="532"/>
      <c r="K58" s="532"/>
      <c r="L58" s="532"/>
      <c r="M58" s="533"/>
      <c r="N58" s="1146"/>
      <c r="O58" s="1146"/>
      <c r="P58" s="1422"/>
      <c r="Q58" s="1416"/>
      <c r="R58" s="1137"/>
      <c r="S58" s="1137"/>
      <c r="T58" s="1137"/>
      <c r="U58" s="1137"/>
      <c r="V58" s="1137"/>
      <c r="W58" s="1137"/>
      <c r="X58" s="1137"/>
      <c r="Y58" s="1137"/>
      <c r="Z58" s="1137"/>
      <c r="AA58" s="1137"/>
      <c r="AB58" s="1137"/>
      <c r="AC58" s="1137"/>
    </row>
    <row r="59" spans="1:29" s="467" customFormat="1" ht="15.75" thickTop="1">
      <c r="A59" s="549"/>
      <c r="B59" s="534">
        <f>B12</f>
        <v>111</v>
      </c>
      <c r="C59" s="545"/>
      <c r="D59" s="545"/>
      <c r="E59" s="545"/>
      <c r="F59" s="545"/>
      <c r="G59" s="550"/>
      <c r="H59" s="551"/>
      <c r="I59" s="551"/>
      <c r="J59" s="551"/>
      <c r="K59" s="551"/>
      <c r="L59" s="552"/>
      <c r="M59" s="553"/>
      <c r="N59" s="1147"/>
      <c r="O59" s="1147"/>
      <c r="P59" s="1423"/>
      <c r="Q59" s="1424"/>
      <c r="R59" s="1425"/>
      <c r="S59" s="1425"/>
      <c r="T59" s="1425"/>
      <c r="U59" s="1425"/>
      <c r="V59" s="1425"/>
      <c r="W59" s="1425"/>
      <c r="X59" s="1425"/>
      <c r="Y59" s="1425"/>
      <c r="Z59" s="1425"/>
      <c r="AA59" s="1425"/>
      <c r="AB59" s="1425"/>
      <c r="AC59" s="1425"/>
    </row>
    <row r="60" spans="1:29" s="467" customFormat="1" ht="15.75" thickBot="1">
      <c r="A60" s="549"/>
      <c r="B60" s="539"/>
      <c r="C60" s="556"/>
      <c r="D60" s="532"/>
      <c r="E60" s="532"/>
      <c r="F60" s="532"/>
      <c r="G60" s="532"/>
      <c r="H60" s="532"/>
      <c r="I60" s="532"/>
      <c r="J60" s="532"/>
      <c r="K60" s="532"/>
      <c r="L60" s="532"/>
      <c r="M60" s="533"/>
      <c r="N60" s="1146"/>
      <c r="O60" s="1146"/>
      <c r="P60" s="1423"/>
      <c r="Q60" s="1424"/>
      <c r="R60" s="1425"/>
      <c r="S60" s="1425"/>
      <c r="T60" s="1425"/>
      <c r="U60" s="1425"/>
      <c r="V60" s="1425"/>
      <c r="W60" s="1425"/>
      <c r="X60" s="1425"/>
      <c r="Y60" s="1425"/>
      <c r="Z60" s="1425"/>
      <c r="AA60" s="1425"/>
      <c r="AB60" s="1425"/>
      <c r="AC60" s="1425"/>
    </row>
    <row r="61" spans="1:29" s="467" customFormat="1" ht="15.75" thickTop="1">
      <c r="A61" s="549"/>
      <c r="B61" s="534">
        <f>B13</f>
        <v>111</v>
      </c>
      <c r="C61" s="550"/>
      <c r="D61" s="550"/>
      <c r="E61" s="550"/>
      <c r="F61" s="550"/>
      <c r="G61" s="550"/>
      <c r="H61" s="551"/>
      <c r="I61" s="551"/>
      <c r="J61" s="551"/>
      <c r="K61" s="551"/>
      <c r="L61" s="552"/>
      <c r="M61" s="553"/>
      <c r="N61" s="1147"/>
      <c r="O61" s="1147"/>
      <c r="P61" s="1426"/>
      <c r="Q61" s="1427"/>
      <c r="R61" s="1425"/>
      <c r="S61" s="1425"/>
      <c r="T61" s="1425"/>
      <c r="U61" s="1425"/>
      <c r="V61" s="1425"/>
      <c r="W61" s="1425"/>
      <c r="X61" s="1425"/>
      <c r="Y61" s="1425"/>
      <c r="Z61" s="1425"/>
      <c r="AA61" s="1425"/>
      <c r="AB61" s="1425"/>
      <c r="AC61" s="1425"/>
    </row>
    <row r="62" spans="1:29" s="467" customFormat="1" ht="15.75" thickBot="1">
      <c r="A62" s="549"/>
      <c r="B62" s="539"/>
      <c r="C62" s="556"/>
      <c r="D62" s="556"/>
      <c r="E62" s="556"/>
      <c r="F62" s="556"/>
      <c r="G62" s="556"/>
      <c r="H62" s="558"/>
      <c r="I62" s="558"/>
      <c r="J62" s="558"/>
      <c r="K62" s="558"/>
      <c r="L62" s="558"/>
      <c r="M62" s="559"/>
      <c r="N62" s="1147"/>
      <c r="O62" s="1147"/>
      <c r="P62" s="1423"/>
      <c r="Q62" s="1424"/>
      <c r="R62" s="1425"/>
      <c r="S62" s="1425"/>
      <c r="T62" s="1425"/>
      <c r="U62" s="1425"/>
      <c r="V62" s="1425"/>
      <c r="W62" s="1425"/>
      <c r="X62" s="1425"/>
      <c r="Y62" s="1425"/>
      <c r="Z62" s="1425"/>
      <c r="AA62" s="1425"/>
      <c r="AB62" s="1425"/>
      <c r="AC62" s="1425"/>
    </row>
    <row r="63" spans="1:29" ht="15" thickTop="1">
      <c r="A63" s="523" t="s">
        <v>2546</v>
      </c>
      <c r="B63" s="524" t="s">
        <v>2589</v>
      </c>
      <c r="C63" s="569" t="s">
        <v>2584</v>
      </c>
      <c r="D63" s="569" t="s">
        <v>2585</v>
      </c>
      <c r="E63" s="569" t="s">
        <v>2586</v>
      </c>
      <c r="F63" s="569" t="s">
        <v>2587</v>
      </c>
      <c r="G63" s="569" t="s">
        <v>2588</v>
      </c>
      <c r="H63" s="525"/>
      <c r="I63" s="525"/>
      <c r="J63" s="525"/>
      <c r="K63" s="570"/>
      <c r="L63" s="571"/>
      <c r="M63" s="572"/>
      <c r="N63" s="1145"/>
      <c r="O63" s="1145"/>
      <c r="P63" s="1428"/>
      <c r="Q63" s="1416"/>
      <c r="R63" s="1137"/>
      <c r="S63" s="1137"/>
      <c r="T63" s="1137"/>
      <c r="U63" s="1137"/>
      <c r="V63" s="1137"/>
      <c r="W63" s="1137"/>
      <c r="X63" s="1137"/>
      <c r="Y63" s="1137"/>
      <c r="Z63" s="1137"/>
      <c r="AA63" s="1137"/>
      <c r="AB63" s="1137"/>
      <c r="AC63" s="1137"/>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6"/>
      <c r="O64" s="1146"/>
      <c r="P64" s="1422"/>
      <c r="Q64" s="1416"/>
      <c r="R64" s="1137"/>
      <c r="S64" s="1137"/>
      <c r="T64" s="1137"/>
      <c r="U64" s="1137"/>
      <c r="V64" s="1137"/>
      <c r="W64" s="1137"/>
      <c r="X64" s="1137"/>
      <c r="Y64" s="1137"/>
      <c r="Z64" s="1137"/>
      <c r="AA64" s="1137"/>
      <c r="AB64" s="1137"/>
      <c r="AC64" s="1137"/>
    </row>
    <row r="65" spans="1:29" ht="15.75" thickTop="1">
      <c r="A65" s="530"/>
      <c r="B65" s="534" t="s">
        <v>2590</v>
      </c>
      <c r="C65" s="574" t="s">
        <v>2584</v>
      </c>
      <c r="D65" s="574" t="s">
        <v>2585</v>
      </c>
      <c r="E65" s="574" t="s">
        <v>2586</v>
      </c>
      <c r="F65" s="574" t="s">
        <v>2587</v>
      </c>
      <c r="G65" s="574" t="s">
        <v>2588</v>
      </c>
      <c r="H65" s="535"/>
      <c r="I65" s="535"/>
      <c r="J65" s="535"/>
      <c r="K65" s="536"/>
      <c r="L65" s="537"/>
      <c r="M65" s="538"/>
      <c r="N65" s="1145"/>
      <c r="O65" s="1145"/>
      <c r="P65" s="1422"/>
      <c r="Q65" s="1416"/>
      <c r="R65" s="1137"/>
      <c r="S65" s="1137"/>
      <c r="T65" s="1137"/>
      <c r="U65" s="1137"/>
      <c r="V65" s="1137"/>
      <c r="W65" s="1137"/>
      <c r="X65" s="1137"/>
      <c r="Y65" s="1137"/>
      <c r="Z65" s="1137"/>
      <c r="AA65" s="1137"/>
      <c r="AB65" s="1137"/>
      <c r="AC65" s="1137"/>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6"/>
      <c r="O66" s="1146"/>
      <c r="P66" s="1422"/>
      <c r="Q66" s="1416"/>
      <c r="R66" s="1137"/>
      <c r="S66" s="1137"/>
      <c r="T66" s="1137"/>
      <c r="U66" s="1137"/>
      <c r="V66" s="1137"/>
      <c r="W66" s="1137"/>
      <c r="X66" s="1137"/>
      <c r="Y66" s="1137"/>
      <c r="Z66" s="1137"/>
      <c r="AA66" s="1137"/>
      <c r="AB66" s="1137"/>
      <c r="AC66" s="1137"/>
    </row>
    <row r="67" spans="1:29" ht="15.75" thickTop="1">
      <c r="A67" s="530"/>
      <c r="B67" s="542" t="s">
        <v>2676</v>
      </c>
      <c r="C67" s="656" t="s">
        <v>2662</v>
      </c>
      <c r="D67" s="656" t="s">
        <v>2663</v>
      </c>
      <c r="E67" s="656" t="s">
        <v>2664</v>
      </c>
      <c r="F67" s="656" t="s">
        <v>2665</v>
      </c>
      <c r="G67" s="656" t="s">
        <v>2666</v>
      </c>
      <c r="H67" s="535"/>
      <c r="I67" s="535"/>
      <c r="J67" s="535"/>
      <c r="K67" s="535"/>
      <c r="L67" s="535"/>
      <c r="M67" s="1375"/>
      <c r="N67" s="1146"/>
      <c r="O67" s="1146"/>
      <c r="P67" s="1422"/>
      <c r="Q67" s="1416"/>
      <c r="R67" s="1137"/>
      <c r="S67" s="1137"/>
      <c r="T67" s="1137"/>
      <c r="U67" s="1137"/>
      <c r="V67" s="1137"/>
      <c r="W67" s="1137"/>
      <c r="X67" s="1137"/>
      <c r="Y67" s="1137"/>
      <c r="Z67" s="1137"/>
      <c r="AA67" s="1137"/>
      <c r="AB67" s="1137"/>
      <c r="AC67" s="1137"/>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6"/>
      <c r="O68" s="1146"/>
      <c r="P68" s="1422"/>
      <c r="Q68" s="1416"/>
      <c r="R68" s="1137"/>
      <c r="S68" s="1137"/>
      <c r="T68" s="1137"/>
      <c r="U68" s="1137"/>
      <c r="V68" s="1137"/>
      <c r="W68" s="1137"/>
      <c r="X68" s="1137"/>
      <c r="Y68" s="1137"/>
      <c r="Z68" s="1137"/>
      <c r="AA68" s="1137"/>
      <c r="AB68" s="1137"/>
      <c r="AC68" s="1137"/>
    </row>
    <row r="69" spans="1:29" ht="15.75" thickTop="1">
      <c r="A69" s="530"/>
      <c r="B69" s="534" t="s">
        <v>2596</v>
      </c>
      <c r="C69" s="574" t="s">
        <v>2584</v>
      </c>
      <c r="D69" s="574" t="s">
        <v>2585</v>
      </c>
      <c r="E69" s="574" t="s">
        <v>2586</v>
      </c>
      <c r="F69" s="574" t="s">
        <v>2587</v>
      </c>
      <c r="G69" s="574" t="s">
        <v>2588</v>
      </c>
      <c r="H69" s="535"/>
      <c r="I69" s="535"/>
      <c r="J69" s="535"/>
      <c r="K69" s="536"/>
      <c r="L69" s="537"/>
      <c r="M69" s="538"/>
      <c r="N69" s="1145"/>
      <c r="O69" s="1145"/>
      <c r="P69" s="1422"/>
      <c r="Q69" s="1416"/>
      <c r="R69" s="1137"/>
      <c r="S69" s="1137"/>
      <c r="T69" s="1137"/>
      <c r="U69" s="1137"/>
      <c r="V69" s="1137"/>
      <c r="W69" s="1137"/>
      <c r="X69" s="1137"/>
      <c r="Y69" s="1137"/>
      <c r="Z69" s="1137"/>
      <c r="AA69" s="1137"/>
      <c r="AB69" s="1137"/>
      <c r="AC69" s="1137"/>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6"/>
      <c r="O70" s="1146"/>
      <c r="P70" s="1422"/>
      <c r="Q70" s="1416"/>
      <c r="R70" s="1137"/>
      <c r="S70" s="1137"/>
      <c r="T70" s="1137"/>
      <c r="U70" s="1137"/>
      <c r="V70" s="1137"/>
      <c r="W70" s="1137"/>
      <c r="X70" s="1137"/>
      <c r="Y70" s="1137"/>
      <c r="Z70" s="1137"/>
      <c r="AA70" s="1137"/>
      <c r="AB70" s="1137"/>
      <c r="AC70" s="1137"/>
    </row>
    <row r="71" spans="1:29" ht="15.75" thickTop="1">
      <c r="A71" s="530"/>
      <c r="B71" s="534" t="s">
        <v>2716</v>
      </c>
      <c r="C71" s="550"/>
      <c r="D71" s="550"/>
      <c r="E71" s="550"/>
      <c r="F71" s="550"/>
      <c r="G71" s="550"/>
      <c r="H71" s="579"/>
      <c r="I71" s="579"/>
      <c r="J71" s="579"/>
      <c r="K71" s="580"/>
      <c r="L71" s="581"/>
      <c r="M71" s="582"/>
      <c r="N71" s="1145"/>
      <c r="O71" s="1145"/>
      <c r="P71" s="1422"/>
      <c r="Q71" s="1416"/>
      <c r="R71" s="1137"/>
      <c r="S71" s="1137"/>
      <c r="T71" s="1137"/>
      <c r="U71" s="1137"/>
      <c r="V71" s="1137"/>
      <c r="W71" s="1137"/>
      <c r="X71" s="1137"/>
      <c r="Y71" s="1137"/>
      <c r="Z71" s="1137"/>
      <c r="AA71" s="1137"/>
      <c r="AB71" s="1137"/>
      <c r="AC71" s="1137"/>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6"/>
      <c r="O72" s="1146"/>
      <c r="P72" s="1422"/>
      <c r="Q72" s="1416"/>
      <c r="R72" s="1137"/>
      <c r="S72" s="1137"/>
      <c r="T72" s="1137"/>
      <c r="U72" s="1137"/>
      <c r="V72" s="1137"/>
      <c r="W72" s="1137"/>
      <c r="X72" s="1137"/>
      <c r="Y72" s="1137"/>
      <c r="Z72" s="1137"/>
      <c r="AA72" s="1137"/>
      <c r="AB72" s="1137"/>
      <c r="AC72" s="1137"/>
    </row>
    <row r="73" spans="1:29" s="116" customFormat="1" ht="15.75" thickTop="1">
      <c r="A73" s="575"/>
      <c r="B73" s="534">
        <f>B23</f>
        <v>111</v>
      </c>
      <c r="C73" s="545"/>
      <c r="D73" s="545"/>
      <c r="E73" s="545"/>
      <c r="F73" s="545"/>
      <c r="G73" s="550"/>
      <c r="H73" s="550"/>
      <c r="I73" s="550"/>
      <c r="J73" s="550"/>
      <c r="K73" s="550"/>
      <c r="L73" s="576"/>
      <c r="M73" s="577"/>
      <c r="N73" s="1144"/>
      <c r="O73" s="1144"/>
      <c r="P73" s="1422"/>
      <c r="Q73" s="1416"/>
      <c r="R73" s="1420"/>
      <c r="S73" s="1420"/>
      <c r="T73" s="1420"/>
      <c r="U73" s="1420"/>
      <c r="V73" s="1420"/>
      <c r="W73" s="1420"/>
      <c r="X73" s="1420"/>
      <c r="Y73" s="1420"/>
      <c r="Z73" s="1420"/>
      <c r="AA73" s="1420"/>
      <c r="AB73" s="1420"/>
      <c r="AC73" s="1420"/>
    </row>
    <row r="74" spans="1:29" s="116" customFormat="1" ht="15.75" thickBot="1">
      <c r="A74" s="575"/>
      <c r="B74" s="539"/>
      <c r="C74" s="556"/>
      <c r="D74" s="532"/>
      <c r="E74" s="532"/>
      <c r="F74" s="532"/>
      <c r="G74" s="532"/>
      <c r="H74" s="532"/>
      <c r="I74" s="532"/>
      <c r="J74" s="532"/>
      <c r="K74" s="532"/>
      <c r="L74" s="532"/>
      <c r="M74" s="533"/>
      <c r="N74" s="1146"/>
      <c r="O74" s="1146"/>
      <c r="P74" s="1422"/>
      <c r="Q74" s="1416"/>
      <c r="R74" s="1420"/>
      <c r="S74" s="1420"/>
      <c r="T74" s="1420"/>
      <c r="U74" s="1420"/>
      <c r="V74" s="1420"/>
      <c r="W74" s="1420"/>
      <c r="X74" s="1420"/>
      <c r="Y74" s="1420"/>
      <c r="Z74" s="1420"/>
      <c r="AA74" s="1420"/>
      <c r="AB74" s="1420"/>
      <c r="AC74" s="1420"/>
    </row>
    <row r="75" spans="1:29" s="116" customFormat="1" ht="15.75" thickTop="1">
      <c r="A75" s="575"/>
      <c r="B75" s="534">
        <f>B24</f>
        <v>111</v>
      </c>
      <c r="C75" s="545"/>
      <c r="D75" s="545"/>
      <c r="E75" s="545"/>
      <c r="F75" s="545"/>
      <c r="G75" s="550"/>
      <c r="H75" s="550"/>
      <c r="I75" s="550"/>
      <c r="J75" s="550"/>
      <c r="K75" s="550"/>
      <c r="L75" s="550"/>
      <c r="M75" s="577"/>
      <c r="N75" s="1144"/>
      <c r="O75" s="1144"/>
      <c r="P75" s="1422"/>
      <c r="Q75" s="1416"/>
      <c r="R75" s="1420"/>
      <c r="S75" s="1420"/>
      <c r="T75" s="1420"/>
      <c r="U75" s="1420"/>
      <c r="V75" s="1420"/>
      <c r="W75" s="1420"/>
      <c r="X75" s="1420"/>
      <c r="Y75" s="1420"/>
      <c r="Z75" s="1420"/>
      <c r="AA75" s="1420"/>
      <c r="AB75" s="1420"/>
      <c r="AC75" s="1420"/>
    </row>
    <row r="76" spans="1:29" s="116" customFormat="1" ht="15.75" thickBot="1">
      <c r="A76" s="575"/>
      <c r="B76" s="539"/>
      <c r="C76" s="556"/>
      <c r="D76" s="532"/>
      <c r="E76" s="532"/>
      <c r="F76" s="532"/>
      <c r="G76" s="532"/>
      <c r="H76" s="532"/>
      <c r="I76" s="532"/>
      <c r="J76" s="532"/>
      <c r="K76" s="532"/>
      <c r="L76" s="532"/>
      <c r="M76" s="533"/>
      <c r="N76" s="1146"/>
      <c r="O76" s="1146"/>
      <c r="P76" s="1422"/>
      <c r="Q76" s="1416"/>
      <c r="R76" s="1420"/>
      <c r="S76" s="1420"/>
      <c r="T76" s="1420"/>
      <c r="U76" s="1420"/>
      <c r="V76" s="1420"/>
      <c r="W76" s="1420"/>
      <c r="X76" s="1420"/>
      <c r="Y76" s="1420"/>
      <c r="Z76" s="1420"/>
      <c r="AA76" s="1420"/>
      <c r="AB76" s="1420"/>
      <c r="AC76" s="1420"/>
    </row>
    <row r="77" spans="1:29" s="467" customFormat="1" ht="15.75" thickTop="1">
      <c r="A77" s="549"/>
      <c r="B77" s="534">
        <f>B25</f>
        <v>111</v>
      </c>
      <c r="C77" s="550"/>
      <c r="D77" s="550"/>
      <c r="E77" s="550"/>
      <c r="F77" s="550"/>
      <c r="G77" s="550"/>
      <c r="H77" s="551"/>
      <c r="I77" s="551"/>
      <c r="J77" s="551"/>
      <c r="K77" s="551"/>
      <c r="L77" s="552"/>
      <c r="M77" s="553"/>
      <c r="N77" s="1147"/>
      <c r="O77" s="1147"/>
      <c r="P77" s="1423"/>
      <c r="Q77" s="1424"/>
      <c r="R77" s="1425"/>
      <c r="S77" s="1425"/>
      <c r="T77" s="1425"/>
      <c r="U77" s="1425"/>
      <c r="V77" s="1425"/>
      <c r="W77" s="1425"/>
      <c r="X77" s="1425"/>
      <c r="Y77" s="1425"/>
      <c r="Z77" s="1425"/>
      <c r="AA77" s="1425"/>
      <c r="AB77" s="1425"/>
      <c r="AC77" s="1425"/>
    </row>
    <row r="78" spans="1:29" s="467" customFormat="1" ht="15.75" thickBot="1">
      <c r="A78" s="549"/>
      <c r="B78" s="539"/>
      <c r="C78" s="556"/>
      <c r="D78" s="556"/>
      <c r="E78" s="556"/>
      <c r="F78" s="556"/>
      <c r="G78" s="532"/>
      <c r="H78" s="532"/>
      <c r="I78" s="532"/>
      <c r="J78" s="532"/>
      <c r="K78" s="532"/>
      <c r="L78" s="532"/>
      <c r="M78" s="533"/>
      <c r="N78" s="1147"/>
      <c r="O78" s="1147"/>
      <c r="P78" s="1423"/>
      <c r="Q78" s="1424"/>
      <c r="R78" s="1425"/>
      <c r="S78" s="1425"/>
      <c r="T78" s="1425"/>
      <c r="U78" s="1425"/>
      <c r="V78" s="1425"/>
      <c r="W78" s="1425"/>
      <c r="X78" s="1425"/>
      <c r="Y78" s="1425"/>
      <c r="Z78" s="1425"/>
      <c r="AA78" s="1425"/>
      <c r="AB78" s="1425"/>
      <c r="AC78" s="1425"/>
    </row>
    <row r="79" spans="1:29" ht="27.75" thickTop="1">
      <c r="A79" s="523" t="s">
        <v>2550</v>
      </c>
      <c r="B79" s="524" t="s">
        <v>2717</v>
      </c>
      <c r="C79" s="525">
        <f>C26</f>
        <v>0</v>
      </c>
      <c r="D79" s="526"/>
      <c r="E79" s="526"/>
      <c r="F79" s="526"/>
      <c r="G79" s="526"/>
      <c r="H79" s="526"/>
      <c r="I79" s="526"/>
      <c r="J79" s="526"/>
      <c r="K79" s="527"/>
      <c r="L79" s="528"/>
      <c r="M79" s="529"/>
      <c r="N79" s="1145"/>
      <c r="O79" s="1145"/>
      <c r="P79" s="1422"/>
      <c r="Q79" s="1416"/>
      <c r="R79" s="1137"/>
      <c r="S79" s="1137"/>
      <c r="T79" s="1137"/>
      <c r="U79" s="1137"/>
      <c r="V79" s="1137"/>
      <c r="W79" s="1137"/>
      <c r="X79" s="1137"/>
      <c r="Y79" s="1137"/>
      <c r="Z79" s="1137"/>
      <c r="AA79" s="1137"/>
      <c r="AB79" s="1137"/>
      <c r="AC79" s="1137"/>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0"/>
      <c r="B81" s="534" t="s">
        <v>2718</v>
      </c>
      <c r="C81" s="657"/>
      <c r="D81" s="657"/>
      <c r="E81" s="657"/>
      <c r="F81" s="657"/>
      <c r="G81" s="657"/>
      <c r="H81" s="657"/>
      <c r="I81" s="657"/>
      <c r="J81" s="657"/>
      <c r="K81" s="658"/>
      <c r="L81" s="659"/>
      <c r="M81" s="660"/>
      <c r="N81" s="1144"/>
      <c r="O81" s="1144"/>
      <c r="P81" s="1422"/>
      <c r="Q81" s="1416"/>
      <c r="R81" s="1137"/>
      <c r="S81" s="1137"/>
      <c r="T81" s="1137"/>
      <c r="U81" s="1137"/>
      <c r="V81" s="1137"/>
      <c r="W81" s="1137"/>
      <c r="X81" s="1137"/>
      <c r="Y81" s="1137"/>
      <c r="Z81" s="1137"/>
      <c r="AA81" s="1137"/>
      <c r="AB81" s="1137"/>
      <c r="AC81" s="1137"/>
    </row>
    <row r="82" spans="1:29" s="467" customFormat="1" ht="15.75" thickBot="1">
      <c r="A82" s="549"/>
      <c r="B82" s="539"/>
      <c r="C82" s="556"/>
      <c r="D82" s="532"/>
      <c r="E82" s="532"/>
      <c r="F82" s="532"/>
      <c r="G82" s="532"/>
      <c r="H82" s="532"/>
      <c r="I82" s="532"/>
      <c r="J82" s="532"/>
      <c r="K82" s="532"/>
      <c r="L82" s="532"/>
      <c r="M82" s="533"/>
      <c r="N82" s="1146"/>
      <c r="O82" s="1146"/>
      <c r="P82" s="1423"/>
      <c r="Q82" s="1424"/>
      <c r="R82" s="1425"/>
      <c r="S82" s="1425"/>
      <c r="T82" s="1425"/>
      <c r="U82" s="1425"/>
      <c r="V82" s="1425"/>
      <c r="W82" s="1425"/>
      <c r="X82" s="1425"/>
      <c r="Y82" s="1425"/>
      <c r="Z82" s="1425"/>
      <c r="AA82" s="1425"/>
      <c r="AB82" s="1425"/>
      <c r="AC82" s="1425"/>
    </row>
    <row r="83" spans="1:29" ht="15" thickTop="1">
      <c r="A83" s="595"/>
      <c r="B83" s="534" t="s">
        <v>2603</v>
      </c>
      <c r="C83" s="550"/>
      <c r="D83" s="550"/>
      <c r="E83" s="579"/>
      <c r="F83" s="579"/>
      <c r="G83" s="579"/>
      <c r="H83" s="579"/>
      <c r="I83" s="579"/>
      <c r="J83" s="579"/>
      <c r="K83" s="580"/>
      <c r="L83" s="581"/>
      <c r="M83" s="582"/>
      <c r="N83" s="1145"/>
      <c r="O83" s="1145"/>
      <c r="P83" s="1422"/>
      <c r="Q83" s="1416"/>
      <c r="R83" s="1137"/>
      <c r="S83" s="1137"/>
      <c r="T83" s="1137"/>
      <c r="U83" s="1137"/>
      <c r="V83" s="1137"/>
      <c r="W83" s="1137"/>
      <c r="X83" s="1137"/>
      <c r="Y83" s="1137"/>
      <c r="Z83" s="1137"/>
      <c r="AA83" s="1137"/>
      <c r="AB83" s="1137"/>
      <c r="AC83" s="1137"/>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5"/>
      <c r="B85" s="534" t="s">
        <v>2719</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5"/>
      <c r="O85" s="1145"/>
      <c r="P85" s="1422"/>
      <c r="Q85" s="1416"/>
      <c r="R85" s="1137"/>
      <c r="S85" s="1137"/>
      <c r="T85" s="1137"/>
      <c r="U85" s="1137"/>
      <c r="V85" s="1137"/>
      <c r="W85" s="1137"/>
      <c r="X85" s="1137"/>
      <c r="Y85" s="1137"/>
      <c r="Z85" s="1137"/>
      <c r="AA85" s="1137"/>
      <c r="AB85" s="1137"/>
      <c r="AC85" s="1137"/>
    </row>
    <row r="86" spans="1:29">
      <c r="A86" s="595"/>
      <c r="B86" s="542"/>
      <c r="C86" s="599">
        <v>0.5</v>
      </c>
      <c r="D86" s="599">
        <v>0.6</v>
      </c>
      <c r="E86" s="599">
        <v>0.7</v>
      </c>
      <c r="F86" s="599">
        <v>0.8</v>
      </c>
      <c r="G86" s="599">
        <v>0.9</v>
      </c>
      <c r="H86" s="599">
        <v>1.0001</v>
      </c>
      <c r="I86" s="619"/>
      <c r="J86" s="619"/>
      <c r="K86" s="620"/>
      <c r="L86" s="621"/>
      <c r="M86" s="622"/>
      <c r="N86" s="1145"/>
      <c r="O86" s="1145"/>
      <c r="P86" s="1422"/>
      <c r="Q86" s="1416"/>
      <c r="R86" s="1137"/>
      <c r="S86" s="1137"/>
      <c r="T86" s="1137"/>
      <c r="U86" s="1137"/>
      <c r="V86" s="1137"/>
      <c r="W86" s="1137"/>
      <c r="X86" s="1137"/>
      <c r="Y86" s="1137"/>
      <c r="Z86" s="1137"/>
      <c r="AA86" s="1137"/>
      <c r="AB86" s="1137"/>
      <c r="AC86" s="1137"/>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5"/>
      <c r="B88" s="542" t="s">
        <v>2720</v>
      </c>
      <c r="C88" s="526"/>
      <c r="D88" s="526"/>
      <c r="E88" s="526"/>
      <c r="F88" s="526"/>
      <c r="G88" s="526"/>
      <c r="H88" s="526"/>
      <c r="I88" s="526"/>
      <c r="J88" s="526"/>
      <c r="K88" s="527"/>
      <c r="L88" s="528"/>
      <c r="M88" s="529"/>
      <c r="N88" s="1145"/>
      <c r="O88" s="1145"/>
      <c r="P88" s="1422"/>
      <c r="Q88" s="1416"/>
      <c r="R88" s="1137"/>
      <c r="S88" s="1137"/>
      <c r="T88" s="1137"/>
      <c r="U88" s="1137"/>
      <c r="V88" s="1137"/>
      <c r="W88" s="1137"/>
      <c r="X88" s="1137"/>
      <c r="Y88" s="1137"/>
      <c r="Z88" s="1137"/>
      <c r="AA88" s="1137"/>
      <c r="AB88" s="1137"/>
      <c r="AC88" s="1137"/>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6"/>
      <c r="O89" s="1146"/>
      <c r="P89" s="1422"/>
      <c r="Q89" s="1416"/>
      <c r="R89" s="1137"/>
      <c r="S89" s="1137"/>
      <c r="T89" s="1137"/>
      <c r="U89" s="1137"/>
      <c r="V89" s="1137"/>
      <c r="W89" s="1137"/>
      <c r="X89" s="1137"/>
      <c r="Y89" s="1137"/>
      <c r="Z89" s="1137"/>
      <c r="AA89" s="1137"/>
      <c r="AB89" s="1137"/>
      <c r="AC89" s="1137"/>
    </row>
    <row r="90" spans="1:29" s="467" customFormat="1" ht="15" thickTop="1">
      <c r="A90" s="589"/>
      <c r="B90" s="534" t="s">
        <v>2721</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7"/>
      <c r="O90" s="1147"/>
      <c r="P90" s="1423"/>
      <c r="Q90" s="1424"/>
      <c r="R90" s="1425"/>
      <c r="S90" s="1425"/>
      <c r="T90" s="1425"/>
      <c r="U90" s="1425"/>
      <c r="V90" s="1425"/>
      <c r="W90" s="1425"/>
      <c r="X90" s="1425"/>
      <c r="Y90" s="1425"/>
      <c r="Z90" s="1425"/>
      <c r="AA90" s="1425"/>
      <c r="AB90" s="1425"/>
      <c r="AC90" s="1425"/>
    </row>
    <row r="91" spans="1:29" s="467" customFormat="1">
      <c r="A91" s="589"/>
      <c r="B91" s="542"/>
      <c r="C91" s="591"/>
      <c r="D91" s="591"/>
      <c r="E91" s="591"/>
      <c r="F91" s="591"/>
      <c r="G91" s="591"/>
      <c r="H91" s="591"/>
      <c r="I91" s="591"/>
      <c r="J91" s="592"/>
      <c r="K91" s="592"/>
      <c r="L91" s="593"/>
      <c r="M91" s="594"/>
      <c r="N91" s="1147"/>
      <c r="O91" s="1147"/>
      <c r="P91" s="1423"/>
      <c r="Q91" s="1424"/>
      <c r="R91" s="1425"/>
      <c r="S91" s="1425"/>
      <c r="T91" s="1425"/>
      <c r="U91" s="1425"/>
      <c r="V91" s="1425"/>
      <c r="W91" s="1425"/>
      <c r="X91" s="1425"/>
      <c r="Y91" s="1425"/>
      <c r="Z91" s="1425"/>
      <c r="AA91" s="1425"/>
      <c r="AB91" s="1425"/>
      <c r="AC91" s="1425"/>
    </row>
    <row r="92" spans="1:29" s="467" customFormat="1" ht="15.75" thickBot="1">
      <c r="A92" s="549"/>
      <c r="B92" s="539"/>
      <c r="C92" s="556"/>
      <c r="D92" s="532"/>
      <c r="E92" s="532"/>
      <c r="F92" s="532"/>
      <c r="G92" s="532"/>
      <c r="H92" s="532"/>
      <c r="I92" s="532"/>
      <c r="J92" s="532"/>
      <c r="K92" s="532"/>
      <c r="L92" s="532"/>
      <c r="M92" s="533"/>
      <c r="N92" s="1147"/>
      <c r="O92" s="1147"/>
      <c r="P92" s="1423"/>
      <c r="Q92" s="1424"/>
      <c r="R92" s="1425"/>
      <c r="S92" s="1425"/>
      <c r="T92" s="1425"/>
      <c r="U92" s="1425"/>
      <c r="V92" s="1425"/>
      <c r="W92" s="1425"/>
      <c r="X92" s="1425"/>
      <c r="Y92" s="1425"/>
      <c r="Z92" s="1425"/>
      <c r="AA92" s="1425"/>
      <c r="AB92" s="1425"/>
      <c r="AC92" s="1425"/>
    </row>
    <row r="93" spans="1:29" ht="15" thickTop="1">
      <c r="A93" s="595"/>
      <c r="B93" s="534" t="s">
        <v>2722</v>
      </c>
      <c r="C93" s="550"/>
      <c r="D93" s="550"/>
      <c r="E93" s="579"/>
      <c r="F93" s="579"/>
      <c r="G93" s="579"/>
      <c r="H93" s="579"/>
      <c r="I93" s="579"/>
      <c r="J93" s="579"/>
      <c r="K93" s="580"/>
      <c r="L93" s="581"/>
      <c r="M93" s="582"/>
      <c r="N93" s="1145"/>
      <c r="O93" s="1145"/>
      <c r="P93" s="1422"/>
      <c r="Q93" s="1416"/>
      <c r="R93" s="1137"/>
      <c r="S93" s="1137"/>
      <c r="T93" s="1137"/>
      <c r="U93" s="1137"/>
      <c r="V93" s="1137"/>
      <c r="W93" s="1137"/>
      <c r="X93" s="1137"/>
      <c r="Y93" s="1137"/>
      <c r="Z93" s="1137"/>
      <c r="AA93" s="1137"/>
      <c r="AB93" s="1137"/>
      <c r="AC93" s="1137"/>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5"/>
      <c r="B95" s="534" t="s">
        <v>2723</v>
      </c>
      <c r="C95" s="526"/>
      <c r="D95" s="526"/>
      <c r="E95" s="526"/>
      <c r="F95" s="526"/>
      <c r="G95" s="526"/>
      <c r="H95" s="526"/>
      <c r="I95" s="526"/>
      <c r="J95" s="526"/>
      <c r="K95" s="527"/>
      <c r="L95" s="528"/>
      <c r="M95" s="529"/>
      <c r="N95" s="1145"/>
      <c r="O95" s="1145"/>
      <c r="P95" s="1422"/>
      <c r="Q95" s="1416"/>
      <c r="R95" s="1137"/>
      <c r="S95" s="1137"/>
      <c r="T95" s="1137"/>
      <c r="U95" s="1137"/>
      <c r="V95" s="1137"/>
      <c r="W95" s="1137"/>
      <c r="X95" s="1137"/>
      <c r="Y95" s="1137"/>
      <c r="Z95" s="1137"/>
      <c r="AA95" s="1137"/>
      <c r="AB95" s="1137"/>
      <c r="AC95" s="1137"/>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6"/>
      <c r="O96" s="1146"/>
      <c r="P96" s="1422"/>
      <c r="Q96" s="1416"/>
      <c r="R96" s="1137"/>
      <c r="S96" s="1137"/>
      <c r="T96" s="1137"/>
      <c r="U96" s="1137"/>
      <c r="V96" s="1137"/>
      <c r="W96" s="1137"/>
      <c r="X96" s="1137"/>
      <c r="Y96" s="1137"/>
      <c r="Z96" s="1137"/>
      <c r="AA96" s="1137"/>
      <c r="AB96" s="1137"/>
      <c r="AC96" s="1137"/>
    </row>
    <row r="97" spans="1:29" ht="15" thickTop="1">
      <c r="A97" s="595"/>
      <c r="B97" s="632">
        <f>B34</f>
        <v>111</v>
      </c>
      <c r="C97" s="545"/>
      <c r="D97" s="545"/>
      <c r="E97" s="545"/>
      <c r="F97" s="545"/>
      <c r="G97" s="550"/>
      <c r="H97" s="551"/>
      <c r="I97" s="551"/>
      <c r="J97" s="551"/>
      <c r="K97" s="551"/>
      <c r="L97" s="552"/>
      <c r="M97" s="553"/>
      <c r="N97" s="1146"/>
      <c r="O97" s="1146"/>
      <c r="P97" s="1429"/>
      <c r="Q97" s="1430"/>
      <c r="R97" s="1137"/>
      <c r="S97" s="1137"/>
      <c r="T97" s="1137"/>
      <c r="U97" s="1137"/>
      <c r="V97" s="1137"/>
      <c r="W97" s="1137"/>
      <c r="X97" s="1137"/>
      <c r="Y97" s="1137"/>
      <c r="Z97" s="1137"/>
      <c r="AA97" s="1137"/>
      <c r="AB97" s="1137"/>
      <c r="AC97" s="1137"/>
    </row>
    <row r="98" spans="1:29" ht="15.75" thickBot="1">
      <c r="A98" s="530"/>
      <c r="B98" s="539"/>
      <c r="C98" s="556"/>
      <c r="D98" s="532"/>
      <c r="E98" s="532"/>
      <c r="F98" s="532"/>
      <c r="G98" s="556"/>
      <c r="H98" s="558"/>
      <c r="I98" s="558"/>
      <c r="J98" s="558"/>
      <c r="K98" s="558"/>
      <c r="L98" s="558"/>
      <c r="M98" s="559"/>
      <c r="N98" s="1146"/>
      <c r="O98" s="1146"/>
      <c r="P98" s="1422"/>
      <c r="Q98" s="1416"/>
      <c r="R98" s="1137"/>
      <c r="S98" s="1137"/>
      <c r="T98" s="1137"/>
      <c r="U98" s="1137"/>
      <c r="V98" s="1137"/>
      <c r="W98" s="1137"/>
      <c r="X98" s="1137"/>
      <c r="Y98" s="1137"/>
      <c r="Z98" s="1137"/>
      <c r="AA98" s="1137"/>
      <c r="AB98" s="1137"/>
      <c r="AC98" s="1137"/>
    </row>
    <row r="99" spans="1:29" s="467" customFormat="1" ht="15" thickTop="1">
      <c r="A99" s="589"/>
      <c r="B99" s="534">
        <f>B35</f>
        <v>111</v>
      </c>
      <c r="C99" s="545"/>
      <c r="D99" s="545"/>
      <c r="E99" s="545"/>
      <c r="F99" s="545"/>
      <c r="G99" s="550"/>
      <c r="H99" s="551"/>
      <c r="I99" s="551"/>
      <c r="J99" s="551"/>
      <c r="K99" s="551"/>
      <c r="L99" s="552"/>
      <c r="M99" s="553"/>
      <c r="N99" s="1147"/>
      <c r="O99" s="1147"/>
      <c r="P99" s="1423"/>
      <c r="Q99" s="1424"/>
      <c r="R99" s="1425"/>
      <c r="S99" s="1425"/>
      <c r="T99" s="1425"/>
      <c r="U99" s="1425"/>
      <c r="V99" s="1425"/>
      <c r="W99" s="1425"/>
      <c r="X99" s="1425"/>
      <c r="Y99" s="1425"/>
      <c r="Z99" s="1425"/>
      <c r="AA99" s="1425"/>
      <c r="AB99" s="1425"/>
      <c r="AC99" s="1425"/>
    </row>
    <row r="100" spans="1:29" s="467" customFormat="1" ht="15.75" thickBot="1">
      <c r="A100" s="549"/>
      <c r="B100" s="531"/>
      <c r="C100" s="556"/>
      <c r="D100" s="532"/>
      <c r="E100" s="532"/>
      <c r="F100" s="532"/>
      <c r="G100" s="556"/>
      <c r="H100" s="558"/>
      <c r="I100" s="558"/>
      <c r="J100" s="558"/>
      <c r="K100" s="558"/>
      <c r="L100" s="558"/>
      <c r="M100" s="559"/>
      <c r="N100" s="1147"/>
      <c r="O100" s="1147"/>
      <c r="P100" s="1423"/>
      <c r="Q100" s="1424"/>
      <c r="R100" s="1425"/>
      <c r="S100" s="1425"/>
      <c r="T100" s="1425"/>
      <c r="U100" s="1425"/>
      <c r="V100" s="1425"/>
      <c r="W100" s="1425"/>
      <c r="X100" s="1425"/>
      <c r="Y100" s="1425"/>
      <c r="Z100" s="1425"/>
      <c r="AA100" s="1425"/>
      <c r="AB100" s="1425"/>
      <c r="AC100" s="1425"/>
    </row>
    <row r="101" spans="1:29" ht="15" thickTop="1">
      <c r="A101" s="595"/>
      <c r="B101" s="534">
        <f>B36</f>
        <v>111</v>
      </c>
      <c r="C101" s="550"/>
      <c r="D101" s="550"/>
      <c r="E101" s="550"/>
      <c r="F101" s="550"/>
      <c r="G101" s="550"/>
      <c r="H101" s="551"/>
      <c r="I101" s="551"/>
      <c r="J101" s="551"/>
      <c r="K101" s="551"/>
      <c r="L101" s="552"/>
      <c r="M101" s="553"/>
      <c r="N101" s="1145"/>
      <c r="O101" s="1145"/>
      <c r="P101" s="1422"/>
      <c r="Q101" s="1416"/>
      <c r="R101" s="1137"/>
      <c r="S101" s="1137"/>
      <c r="T101" s="1137"/>
      <c r="U101" s="1137"/>
      <c r="V101" s="1137"/>
      <c r="W101" s="1137"/>
      <c r="X101" s="1137"/>
      <c r="Y101" s="1137"/>
      <c r="Z101" s="1137"/>
      <c r="AA101" s="1137"/>
      <c r="AB101" s="1137"/>
      <c r="AC101" s="1137"/>
    </row>
    <row r="102" spans="1:29" ht="15.75" thickBot="1">
      <c r="A102" s="530"/>
      <c r="B102" s="539"/>
      <c r="C102" s="556"/>
      <c r="D102" s="556"/>
      <c r="E102" s="556"/>
      <c r="F102" s="556"/>
      <c r="G102" s="556"/>
      <c r="H102" s="558"/>
      <c r="I102" s="558"/>
      <c r="J102" s="558"/>
      <c r="K102" s="558"/>
      <c r="L102" s="558"/>
      <c r="M102" s="559"/>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2694</v>
      </c>
      <c r="B1" s="1611"/>
      <c r="C1" s="1612" t="s">
        <v>2517</v>
      </c>
      <c r="D1" s="1613"/>
      <c r="E1" s="1622"/>
      <c r="F1" s="2574"/>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t="e">
        <f ca="1">IF(C2="——",ROUND(C37*D3/10000,0),ROUND(C37*D3/10000,0)-D2)</f>
        <v>#DIV/0!</v>
      </c>
      <c r="C2" s="2576"/>
      <c r="D2" s="1117" t="e">
        <f ca="1">SUMIF(INDIRECT("'"&amp;F2&amp;"'"&amp;"!A:A"),"承租人权益价值",INDIRECT("'"&amp;F2&amp;"'"&amp;"!c:c"))</f>
        <v>#REF!</v>
      </c>
      <c r="E2" s="2577" t="s">
        <v>2318</v>
      </c>
      <c r="F2" s="2578"/>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t="e">
        <f ca="1">IF(C2="——",C37,ROUND(B2*10000/D3,0))</f>
        <v>#DIV/0!</v>
      </c>
      <c r="C3" s="396" t="s">
        <v>2631</v>
      </c>
      <c r="D3" s="395">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69" t="s">
        <v>2633</v>
      </c>
      <c r="D4" s="3370"/>
      <c r="E4" s="3371" t="s">
        <v>2634</v>
      </c>
      <c r="F4" s="3372"/>
      <c r="G4" s="3369" t="s">
        <v>2635</v>
      </c>
      <c r="H4" s="3370"/>
      <c r="I4" s="3369" t="s">
        <v>2636</v>
      </c>
      <c r="J4" s="3370"/>
      <c r="K4" s="606" t="s">
        <v>2637</v>
      </c>
      <c r="L4" s="1123"/>
      <c r="M4" s="1124"/>
      <c r="N4" s="1124"/>
      <c r="O4" s="1124"/>
      <c r="P4" s="3373" t="s">
        <v>2638</v>
      </c>
      <c r="Q4" s="3374"/>
      <c r="R4" s="3356" t="s">
        <v>2634</v>
      </c>
      <c r="S4" s="3357"/>
      <c r="T4" s="3356" t="s">
        <v>2635</v>
      </c>
      <c r="U4" s="3357"/>
      <c r="V4" s="3381" t="s">
        <v>2636</v>
      </c>
      <c r="W4" s="3381"/>
      <c r="X4" s="1805"/>
      <c r="Y4" s="3356" t="s">
        <v>2638</v>
      </c>
      <c r="Z4" s="3357"/>
      <c r="AA4" s="3351" t="s">
        <v>2634</v>
      </c>
      <c r="AB4" s="3352" t="s">
        <v>2635</v>
      </c>
      <c r="AC4" s="3351" t="s">
        <v>2636</v>
      </c>
    </row>
    <row r="5" spans="1:29" ht="15">
      <c r="A5" s="400"/>
      <c r="B5" s="401"/>
      <c r="C5" s="3362" t="s">
        <v>2529</v>
      </c>
      <c r="D5" s="3363"/>
      <c r="E5" s="3360" t="s">
        <v>2530</v>
      </c>
      <c r="F5" s="3361"/>
      <c r="G5" s="3362" t="s">
        <v>2531</v>
      </c>
      <c r="H5" s="3363"/>
      <c r="I5" s="3362" t="s">
        <v>2532</v>
      </c>
      <c r="J5" s="3363"/>
      <c r="K5" s="606"/>
      <c r="L5" s="1123"/>
      <c r="M5" s="1124"/>
      <c r="N5" s="1124"/>
      <c r="O5" s="1124"/>
      <c r="P5" s="3375"/>
      <c r="Q5" s="3376"/>
      <c r="R5" s="3358"/>
      <c r="S5" s="3359"/>
      <c r="T5" s="3358"/>
      <c r="U5" s="3359"/>
      <c r="V5" s="3381"/>
      <c r="W5" s="3381"/>
      <c r="X5" s="1805"/>
      <c r="Y5" s="3358"/>
      <c r="Z5" s="3359"/>
      <c r="AA5" s="3352"/>
      <c r="AB5" s="3352"/>
      <c r="AC5" s="3352"/>
    </row>
    <row r="6" spans="1:29" ht="15.75" thickBot="1">
      <c r="A6" s="402"/>
      <c r="B6" s="403"/>
      <c r="C6" s="3364" t="s">
        <v>2533</v>
      </c>
      <c r="D6" s="3365"/>
      <c r="E6" s="3366" t="s">
        <v>2533</v>
      </c>
      <c r="F6" s="3367"/>
      <c r="G6" s="3364" t="s">
        <v>2533</v>
      </c>
      <c r="H6" s="3365"/>
      <c r="I6" s="3364" t="s">
        <v>2533</v>
      </c>
      <c r="J6" s="3365"/>
      <c r="K6" s="606" t="s">
        <v>2534</v>
      </c>
      <c r="L6" s="1123"/>
      <c r="M6" s="1124"/>
      <c r="N6" s="1124"/>
      <c r="O6" s="1124"/>
      <c r="P6" s="3377"/>
      <c r="Q6" s="3378"/>
      <c r="R6" s="3358"/>
      <c r="S6" s="3359"/>
      <c r="T6" s="3379"/>
      <c r="U6" s="3380"/>
      <c r="V6" s="3381"/>
      <c r="W6" s="3381"/>
      <c r="X6" s="1805"/>
      <c r="Y6" s="3379"/>
      <c r="Z6" s="3380"/>
      <c r="AA6" s="3353"/>
      <c r="AB6" s="3353"/>
      <c r="AC6" s="3353"/>
    </row>
    <row r="7" spans="1:29" s="116" customFormat="1" ht="15.75" thickBot="1">
      <c r="A7" s="404" t="s">
        <v>2535</v>
      </c>
      <c r="B7" s="405"/>
      <c r="C7" s="406">
        <f>'数据-取费表'!B2</f>
        <v>43332</v>
      </c>
      <c r="D7" s="407">
        <v>100</v>
      </c>
      <c r="E7" s="408"/>
      <c r="F7" s="409">
        <f>SUMIF(46:46,YEAR(E7)&amp;"-"&amp;MONTH(E7),47:47)</f>
        <v>0</v>
      </c>
      <c r="G7" s="2686"/>
      <c r="H7" s="407">
        <f>SUMIF(46:46,YEAR(G7)&amp;"-"&amp;MONTH(G7),47:47)</f>
        <v>0</v>
      </c>
      <c r="I7" s="408"/>
      <c r="J7" s="407">
        <f>SUMIF(46:46,YEAR(I7)&amp;"-"&amp;MONTH(I7),47:47)</f>
        <v>0</v>
      </c>
      <c r="K7" s="607"/>
      <c r="L7" s="1125"/>
      <c r="M7" s="1126"/>
      <c r="N7" s="1126"/>
      <c r="O7" s="1126"/>
      <c r="P7" s="3354" t="s">
        <v>2536</v>
      </c>
      <c r="Q7" s="3382"/>
      <c r="R7" s="766" t="s">
        <v>17</v>
      </c>
      <c r="S7" s="767">
        <f t="shared" ref="S7:S14" si="0">F7</f>
        <v>0</v>
      </c>
      <c r="T7" s="766" t="s">
        <v>17</v>
      </c>
      <c r="U7" s="767">
        <f t="shared" ref="U7:U14" si="1">H7</f>
        <v>0</v>
      </c>
      <c r="V7" s="766" t="s">
        <v>17</v>
      </c>
      <c r="W7" s="767">
        <f t="shared" ref="W7:W14" si="2">J7</f>
        <v>0</v>
      </c>
      <c r="X7" s="768"/>
      <c r="Y7" s="3354" t="s">
        <v>2536</v>
      </c>
      <c r="Z7" s="3355"/>
      <c r="AA7" s="769" t="e">
        <f>D7/F7</f>
        <v>#DIV/0!</v>
      </c>
      <c r="AB7" s="769" t="e">
        <f>D7/H7</f>
        <v>#DIV/0!</v>
      </c>
      <c r="AC7" s="769" t="e">
        <f>D7/J7</f>
        <v>#DIV/0!</v>
      </c>
    </row>
    <row r="8" spans="1:29" s="116" customFormat="1" ht="15.75" thickBot="1">
      <c r="A8" s="404" t="s">
        <v>2537</v>
      </c>
      <c r="B8" s="405"/>
      <c r="C8" s="410" t="s">
        <v>2639</v>
      </c>
      <c r="D8" s="407">
        <v>100</v>
      </c>
      <c r="E8" s="410"/>
      <c r="F8" s="409">
        <f>SUMIF(49:49,E8,50:50)-SUMIF(49:49,C8,50:50)+100</f>
        <v>0</v>
      </c>
      <c r="G8" s="410"/>
      <c r="H8" s="407">
        <f>SUMIF(49:49,G8,50:50)-SUMIF(49:49,C8,50:50)+100</f>
        <v>0</v>
      </c>
      <c r="I8" s="410"/>
      <c r="J8" s="407">
        <f>SUMIF(49:49,I8,50:50)-SUMIF(49:49,C8,50:50)+100</f>
        <v>0</v>
      </c>
      <c r="K8" s="607"/>
      <c r="L8" s="1125"/>
      <c r="M8" s="1126"/>
      <c r="N8" s="1126"/>
      <c r="O8" s="1126"/>
      <c r="P8" s="3354" t="s">
        <v>2539</v>
      </c>
      <c r="Q8" s="3355"/>
      <c r="R8" s="766" t="s">
        <v>17</v>
      </c>
      <c r="S8" s="767">
        <f t="shared" si="0"/>
        <v>0</v>
      </c>
      <c r="T8" s="766" t="s">
        <v>17</v>
      </c>
      <c r="U8" s="767">
        <f t="shared" si="1"/>
        <v>0</v>
      </c>
      <c r="V8" s="766" t="s">
        <v>17</v>
      </c>
      <c r="W8" s="767">
        <f t="shared" si="2"/>
        <v>0</v>
      </c>
      <c r="X8" s="768"/>
      <c r="Y8" s="3354" t="s">
        <v>2539</v>
      </c>
      <c r="Z8" s="3355"/>
      <c r="AA8" s="769" t="e">
        <f t="shared" ref="AA8:AA34" si="3">D8/F8</f>
        <v>#DIV/0!</v>
      </c>
      <c r="AB8" s="769" t="e">
        <f t="shared" ref="AB8:AB34" si="4">D8/H8</f>
        <v>#DIV/0!</v>
      </c>
      <c r="AC8" s="769" t="e">
        <f t="shared" ref="AC8:AC34" si="5">D8/J8</f>
        <v>#DIV/0!</v>
      </c>
    </row>
    <row r="9" spans="1:29" s="116" customFormat="1">
      <c r="A9" s="411" t="s">
        <v>2540</v>
      </c>
      <c r="B9" s="71" t="s">
        <v>2541</v>
      </c>
      <c r="C9" s="412"/>
      <c r="D9" s="132">
        <v>100</v>
      </c>
      <c r="E9" s="415"/>
      <c r="F9" s="414">
        <f>SUMIF(51:51,E9,52:52)-SUMIF(51:51,C9,52:52)+100</f>
        <v>100</v>
      </c>
      <c r="G9" s="415"/>
      <c r="H9" s="132">
        <f>SUMIF(51:51,G9,52:52)-SUMIF(51:51,C9,52:52)+100</f>
        <v>100</v>
      </c>
      <c r="I9" s="415"/>
      <c r="J9" s="132">
        <f>SUMIF(51:51,I9,52:52)-SUMIF(51:51,C9,52:52)+100</f>
        <v>100</v>
      </c>
      <c r="K9" s="607"/>
      <c r="L9" s="1125"/>
      <c r="M9" s="1126"/>
      <c r="N9" s="1126"/>
      <c r="O9" s="1127"/>
      <c r="P9" s="3368" t="s">
        <v>2542</v>
      </c>
      <c r="Q9" s="1787" t="str">
        <f t="shared" ref="Q9:Q14" si="6">B9</f>
        <v>用途</v>
      </c>
      <c r="R9" s="766" t="s">
        <v>17</v>
      </c>
      <c r="S9" s="767">
        <f t="shared" si="0"/>
        <v>100</v>
      </c>
      <c r="T9" s="766" t="s">
        <v>17</v>
      </c>
      <c r="U9" s="767">
        <f t="shared" si="1"/>
        <v>100</v>
      </c>
      <c r="V9" s="766" t="s">
        <v>17</v>
      </c>
      <c r="W9" s="767">
        <f t="shared" si="2"/>
        <v>100</v>
      </c>
      <c r="X9" s="768"/>
      <c r="Y9" s="3224" t="s">
        <v>2543</v>
      </c>
      <c r="Z9" s="55" t="str">
        <f t="shared" ref="Z9:Z14" si="7">Q9</f>
        <v>用途</v>
      </c>
      <c r="AA9" s="769">
        <f t="shared" si="3"/>
        <v>1</v>
      </c>
      <c r="AB9" s="769">
        <f t="shared" si="4"/>
        <v>1</v>
      </c>
      <c r="AC9" s="769">
        <f t="shared" si="5"/>
        <v>1</v>
      </c>
    </row>
    <row r="10" spans="1:29" s="423" customFormat="1" ht="27">
      <c r="A10" s="417"/>
      <c r="B10" s="418" t="s">
        <v>2544</v>
      </c>
      <c r="C10" s="419"/>
      <c r="D10" s="133">
        <v>100</v>
      </c>
      <c r="E10" s="419"/>
      <c r="F10" s="421">
        <f>SUMIF(53:53,E10,54:54)-SUMIF(53:53,C10,54:54)+100</f>
        <v>100</v>
      </c>
      <c r="G10" s="419"/>
      <c r="H10" s="133">
        <f>SUMIF(53:53,G10,54:54)-SUMIF(53:53,C10,54:54)+100</f>
        <v>100</v>
      </c>
      <c r="I10" s="419"/>
      <c r="J10" s="133">
        <f>SUMIF(53:53,I10,54:54)-SUMIF(53:53,C10,54:54)+100</f>
        <v>100</v>
      </c>
      <c r="K10" s="608"/>
      <c r="L10" s="1128"/>
      <c r="M10" s="1129"/>
      <c r="N10" s="1129"/>
      <c r="O10" s="1130"/>
      <c r="P10" s="3368"/>
      <c r="Q10" s="1787" t="str">
        <f t="shared" si="6"/>
        <v>土地使用年限（年）</v>
      </c>
      <c r="R10" s="766" t="s">
        <v>17</v>
      </c>
      <c r="S10" s="767">
        <f t="shared" si="0"/>
        <v>100</v>
      </c>
      <c r="T10" s="766" t="s">
        <v>17</v>
      </c>
      <c r="U10" s="767">
        <f t="shared" si="1"/>
        <v>100</v>
      </c>
      <c r="V10" s="766" t="s">
        <v>17</v>
      </c>
      <c r="W10" s="767">
        <f t="shared" si="2"/>
        <v>100</v>
      </c>
      <c r="X10" s="768"/>
      <c r="Y10" s="3224"/>
      <c r="Z10" s="55" t="str">
        <f t="shared" si="7"/>
        <v>土地使用年限（年）</v>
      </c>
      <c r="AA10" s="769">
        <f t="shared" si="3"/>
        <v>1</v>
      </c>
      <c r="AB10" s="769">
        <f t="shared" si="4"/>
        <v>1</v>
      </c>
      <c r="AC10" s="769">
        <f t="shared" si="5"/>
        <v>1</v>
      </c>
    </row>
    <row r="11" spans="1:29" ht="15">
      <c r="A11" s="424"/>
      <c r="B11" s="2590">
        <v>111</v>
      </c>
      <c r="C11" s="428"/>
      <c r="D11" s="133">
        <v>100</v>
      </c>
      <c r="E11" s="465"/>
      <c r="F11" s="421">
        <f>SUMIF(55:55,E11,56:56)-SUMIF(55:55,C11,56:56)+100</f>
        <v>100</v>
      </c>
      <c r="G11" s="465"/>
      <c r="H11" s="133">
        <f>SUMIF(55:55,G11,56:56)-SUMIF(55:55,C11,56:56)+100</f>
        <v>100</v>
      </c>
      <c r="I11" s="465"/>
      <c r="J11" s="133">
        <f>SUMIF(55:55,I11,56:56)-SUMIF(55:55,C11,56:56)+100</f>
        <v>100</v>
      </c>
      <c r="K11" s="609"/>
      <c r="L11" s="1131"/>
      <c r="M11" s="1124"/>
      <c r="N11" s="1124"/>
      <c r="O11" s="1132"/>
      <c r="P11" s="3368"/>
      <c r="Q11" s="1787">
        <f t="shared" si="6"/>
        <v>111</v>
      </c>
      <c r="R11" s="766" t="s">
        <v>17</v>
      </c>
      <c r="S11" s="767">
        <f t="shared" si="0"/>
        <v>100</v>
      </c>
      <c r="T11" s="766" t="s">
        <v>17</v>
      </c>
      <c r="U11" s="767">
        <f t="shared" si="1"/>
        <v>100</v>
      </c>
      <c r="V11" s="766" t="s">
        <v>17</v>
      </c>
      <c r="W11" s="767">
        <f t="shared" si="2"/>
        <v>100</v>
      </c>
      <c r="X11" s="768"/>
      <c r="Y11" s="3224"/>
      <c r="Z11" s="55">
        <f t="shared" si="7"/>
        <v>111</v>
      </c>
      <c r="AA11" s="769">
        <f t="shared" si="3"/>
        <v>1</v>
      </c>
      <c r="AB11" s="769">
        <f t="shared" si="4"/>
        <v>1</v>
      </c>
      <c r="AC11" s="769">
        <f t="shared" si="5"/>
        <v>1</v>
      </c>
    </row>
    <row r="12" spans="1:29" s="116" customFormat="1" ht="15">
      <c r="A12" s="427"/>
      <c r="B12" s="2590">
        <v>111</v>
      </c>
      <c r="C12" s="428"/>
      <c r="D12" s="429">
        <v>100</v>
      </c>
      <c r="E12" s="465"/>
      <c r="F12" s="421">
        <f>SUMIF(57:57,E12,58:58)-SUMIF(57:57,C12,58:58)+100</f>
        <v>100</v>
      </c>
      <c r="G12" s="465"/>
      <c r="H12" s="133">
        <f>SUMIF(57:57,G12,58:58)-SUMIF(57:57,C12,58:58)+100</f>
        <v>100</v>
      </c>
      <c r="I12" s="465"/>
      <c r="J12" s="133">
        <f>SUMIF(57:57,I12,58:58)-SUMIF(57:57,C12,58:58)+100</f>
        <v>100</v>
      </c>
      <c r="K12" s="609"/>
      <c r="L12" s="1125"/>
      <c r="M12" s="1126"/>
      <c r="N12" s="1126"/>
      <c r="O12" s="1127"/>
      <c r="P12" s="3368"/>
      <c r="Q12" s="1787">
        <f t="shared" si="6"/>
        <v>111</v>
      </c>
      <c r="R12" s="766" t="s">
        <v>17</v>
      </c>
      <c r="S12" s="767">
        <f t="shared" si="0"/>
        <v>100</v>
      </c>
      <c r="T12" s="766" t="s">
        <v>17</v>
      </c>
      <c r="U12" s="767">
        <f t="shared" si="1"/>
        <v>100</v>
      </c>
      <c r="V12" s="766" t="s">
        <v>17</v>
      </c>
      <c r="W12" s="767">
        <f t="shared" si="2"/>
        <v>100</v>
      </c>
      <c r="X12" s="768"/>
      <c r="Y12" s="3224"/>
      <c r="Z12" s="55">
        <f t="shared" si="7"/>
        <v>111</v>
      </c>
      <c r="AA12" s="769">
        <f>D12/F12</f>
        <v>1</v>
      </c>
      <c r="AB12" s="769">
        <f>D12/H12</f>
        <v>1</v>
      </c>
      <c r="AC12" s="769">
        <f>D12/J12</f>
        <v>1</v>
      </c>
    </row>
    <row r="13" spans="1:29" ht="15.75" thickBot="1">
      <c r="A13" s="424"/>
      <c r="B13" s="2590">
        <v>111</v>
      </c>
      <c r="C13" s="430"/>
      <c r="D13" s="431">
        <v>100</v>
      </c>
      <c r="E13" s="465"/>
      <c r="F13" s="421">
        <f>SUMIF(59:59,E13,60:60)-SUMIF(59:59,C13,60:60)+100</f>
        <v>100</v>
      </c>
      <c r="G13" s="2687"/>
      <c r="H13" s="434">
        <f>SUMIF(59:59,G13,60:60)-SUMIF(59:59,C13,60:60)+100</f>
        <v>100</v>
      </c>
      <c r="I13" s="465"/>
      <c r="J13" s="431">
        <f>SUMIF(59:59,I13,60:60)-SUMIF(59:59,C13,60:60)+100</f>
        <v>100</v>
      </c>
      <c r="K13" s="609"/>
      <c r="L13" s="1133"/>
      <c r="M13" s="1124"/>
      <c r="N13" s="1124"/>
      <c r="O13" s="1132"/>
      <c r="P13" s="3368"/>
      <c r="Q13" s="1787">
        <f t="shared" si="6"/>
        <v>111</v>
      </c>
      <c r="R13" s="766" t="s">
        <v>17</v>
      </c>
      <c r="S13" s="767">
        <f t="shared" si="0"/>
        <v>100</v>
      </c>
      <c r="T13" s="766" t="s">
        <v>17</v>
      </c>
      <c r="U13" s="767">
        <f t="shared" si="1"/>
        <v>100</v>
      </c>
      <c r="V13" s="766" t="s">
        <v>17</v>
      </c>
      <c r="W13" s="767">
        <f t="shared" si="2"/>
        <v>100</v>
      </c>
      <c r="X13" s="768"/>
      <c r="Y13" s="3224"/>
      <c r="Z13" s="55">
        <f t="shared" si="7"/>
        <v>111</v>
      </c>
      <c r="AA13" s="769">
        <f t="shared" si="3"/>
        <v>1</v>
      </c>
      <c r="AB13" s="769">
        <f t="shared" si="4"/>
        <v>1</v>
      </c>
      <c r="AC13" s="769">
        <f t="shared" si="5"/>
        <v>1</v>
      </c>
    </row>
    <row r="14" spans="1:29" ht="71.25">
      <c r="A14" s="436" t="s">
        <v>2546</v>
      </c>
      <c r="B14" s="69" t="s">
        <v>2696</v>
      </c>
      <c r="C14" s="2683" t="str">
        <f>IF(B1="工业",估价对象房地状况!G4,估价对象房地状况!C6)</f>
        <v>周边道路状况、公共交通通达情况、停车便捷程度（地铁三号线观音桥</v>
      </c>
      <c r="D14" s="437">
        <v>100</v>
      </c>
      <c r="E14" s="438"/>
      <c r="F14" s="439">
        <f>SUMIF(61:61,E15,62:62)-SUMIF(61:61,C15,62:62)+100</f>
        <v>100</v>
      </c>
      <c r="G14" s="440"/>
      <c r="H14" s="437">
        <f>SUMIF(61:61,G15,62:62)-SUMIF(61:61,C15,62:62)+100</f>
        <v>100</v>
      </c>
      <c r="I14" s="438"/>
      <c r="J14" s="437">
        <f>SUMIF(61:61,I15,62:62)-SUMIF(61:61,C15,62:62)+100</f>
        <v>100</v>
      </c>
      <c r="K14" s="610"/>
      <c r="L14" s="1133"/>
      <c r="M14" s="1124"/>
      <c r="N14" s="1124"/>
      <c r="O14" s="1132"/>
      <c r="P14" s="3383" t="s">
        <v>2547</v>
      </c>
      <c r="Q14" s="1802" t="str">
        <f t="shared" si="6"/>
        <v>交通便捷度</v>
      </c>
      <c r="R14" s="770" t="s">
        <v>17</v>
      </c>
      <c r="S14" s="771">
        <f t="shared" si="0"/>
        <v>100</v>
      </c>
      <c r="T14" s="770" t="s">
        <v>17</v>
      </c>
      <c r="U14" s="771">
        <f t="shared" si="1"/>
        <v>100</v>
      </c>
      <c r="V14" s="770" t="s">
        <v>17</v>
      </c>
      <c r="W14" s="771">
        <f t="shared" si="2"/>
        <v>100</v>
      </c>
      <c r="X14" s="1805"/>
      <c r="Y14" s="3383" t="s">
        <v>2547</v>
      </c>
      <c r="Z14" s="1806" t="str">
        <f t="shared" si="7"/>
        <v>交通便捷度</v>
      </c>
      <c r="AA14" s="1803">
        <f t="shared" si="3"/>
        <v>1</v>
      </c>
      <c r="AB14" s="1803">
        <f t="shared" si="4"/>
        <v>1</v>
      </c>
      <c r="AC14" s="1803">
        <f t="shared" si="5"/>
        <v>1</v>
      </c>
    </row>
    <row r="15" spans="1:29" ht="15">
      <c r="A15" s="424"/>
      <c r="B15" s="442"/>
      <c r="C15" s="443"/>
      <c r="D15" s="444"/>
      <c r="E15" s="443"/>
      <c r="F15" s="445"/>
      <c r="G15" s="443"/>
      <c r="H15" s="446"/>
      <c r="I15" s="443"/>
      <c r="J15" s="444"/>
      <c r="K15" s="611"/>
      <c r="L15" s="1133"/>
      <c r="M15" s="1124"/>
      <c r="N15" s="1124"/>
      <c r="O15" s="1132"/>
      <c r="P15" s="3384"/>
      <c r="Q15" s="1802"/>
      <c r="R15" s="770"/>
      <c r="S15" s="771"/>
      <c r="T15" s="770"/>
      <c r="U15" s="771"/>
      <c r="V15" s="770"/>
      <c r="W15" s="771"/>
      <c r="X15" s="1805"/>
      <c r="Y15" s="3384"/>
      <c r="Z15" s="1806"/>
      <c r="AA15" s="1803">
        <v>1</v>
      </c>
      <c r="AB15" s="1803">
        <v>1</v>
      </c>
      <c r="AC15" s="1803">
        <v>1</v>
      </c>
    </row>
    <row r="16" spans="1:29" ht="15">
      <c r="A16" s="424"/>
      <c r="B16" s="447" t="s">
        <v>2675</v>
      </c>
      <c r="C16" s="2597">
        <f>IF(B1="工业",估价对象房地状况!G5,估价对象房地状况!C7)</f>
        <v>0</v>
      </c>
      <c r="D16" s="451">
        <v>100</v>
      </c>
      <c r="E16" s="453"/>
      <c r="F16" s="454">
        <f>SUMIF(63:63,E17,64:64)-SUMIF(63:63,C17,64:64)+100</f>
        <v>100</v>
      </c>
      <c r="G16" s="455"/>
      <c r="H16" s="451">
        <f>SUMIF(63:63,G17,64:64)-SUMIF(63:63,C17,64:64)+100</f>
        <v>100</v>
      </c>
      <c r="I16" s="453"/>
      <c r="J16" s="451">
        <f>SUMIF(63:63,I17,64:64)-SUMIF(63:63,C17,64:64)+100</f>
        <v>100</v>
      </c>
      <c r="K16" s="610"/>
      <c r="L16" s="1133"/>
      <c r="M16" s="1124"/>
      <c r="N16" s="1124"/>
      <c r="O16" s="1132"/>
      <c r="P16" s="3384"/>
      <c r="Q16" s="1802" t="str">
        <f>B16</f>
        <v>公共配套设施</v>
      </c>
      <c r="R16" s="770" t="s">
        <v>17</v>
      </c>
      <c r="S16" s="771">
        <f>F16</f>
        <v>100</v>
      </c>
      <c r="T16" s="770" t="s">
        <v>17</v>
      </c>
      <c r="U16" s="771">
        <f>H16</f>
        <v>100</v>
      </c>
      <c r="V16" s="770" t="s">
        <v>17</v>
      </c>
      <c r="W16" s="771">
        <f>J16</f>
        <v>100</v>
      </c>
      <c r="X16" s="1805"/>
      <c r="Y16" s="3384"/>
      <c r="Z16" s="1806" t="str">
        <f>Q16</f>
        <v>公共配套设施</v>
      </c>
      <c r="AA16" s="1803">
        <f t="shared" si="3"/>
        <v>1</v>
      </c>
      <c r="AB16" s="1803">
        <f t="shared" si="4"/>
        <v>1</v>
      </c>
      <c r="AC16" s="1803">
        <f t="shared" si="5"/>
        <v>1</v>
      </c>
    </row>
    <row r="17" spans="1:29" ht="15">
      <c r="A17" s="424"/>
      <c r="B17" s="452"/>
      <c r="C17" s="2598"/>
      <c r="D17" s="444"/>
      <c r="E17" s="443"/>
      <c r="F17" s="445"/>
      <c r="G17" s="443"/>
      <c r="H17" s="444"/>
      <c r="I17" s="443"/>
      <c r="J17" s="444"/>
      <c r="K17" s="611"/>
      <c r="L17" s="1133"/>
      <c r="M17" s="1124"/>
      <c r="N17" s="1124"/>
      <c r="O17" s="1132"/>
      <c r="P17" s="3384"/>
      <c r="Q17" s="1802"/>
      <c r="R17" s="770"/>
      <c r="S17" s="771"/>
      <c r="T17" s="770"/>
      <c r="U17" s="771"/>
      <c r="V17" s="770"/>
      <c r="W17" s="771"/>
      <c r="X17" s="1805"/>
      <c r="Y17" s="3384"/>
      <c r="Z17" s="1806"/>
      <c r="AA17" s="1803">
        <v>1</v>
      </c>
      <c r="AB17" s="1803">
        <v>1</v>
      </c>
      <c r="AC17" s="1803">
        <v>1</v>
      </c>
    </row>
    <row r="18" spans="1:29" ht="15">
      <c r="A18" s="424"/>
      <c r="B18" s="1377" t="s">
        <v>2676</v>
      </c>
      <c r="C18" s="2597">
        <f>IF(B1="工业",估价对象房地状况!G6,估价对象房地状况!C8)</f>
        <v>0</v>
      </c>
      <c r="D18" s="451">
        <v>100</v>
      </c>
      <c r="E18" s="448"/>
      <c r="F18" s="454">
        <f>SUMIF(65:65,E19,66:66)-SUMIF(65:65,C19,66:66)+100</f>
        <v>100</v>
      </c>
      <c r="G18" s="450"/>
      <c r="H18" s="451">
        <f>SUMIF(65:65,G19,66:66)-SUMIF(65:65,C19,66:66)+100</f>
        <v>100</v>
      </c>
      <c r="I18" s="453"/>
      <c r="J18" s="451">
        <f>SUMIF(65:65,I19,66:66)-SUMIF(65:65,C19,66:66)+100</f>
        <v>100</v>
      </c>
      <c r="K18" s="610"/>
      <c r="L18" s="1133"/>
      <c r="M18" s="1124"/>
      <c r="N18" s="1124"/>
      <c r="O18" s="1132"/>
      <c r="P18" s="3384"/>
      <c r="Q18" s="1802" t="str">
        <f>B18</f>
        <v>基础设施水平</v>
      </c>
      <c r="R18" s="770" t="s">
        <v>17</v>
      </c>
      <c r="S18" s="771">
        <f>F18</f>
        <v>100</v>
      </c>
      <c r="T18" s="770" t="s">
        <v>17</v>
      </c>
      <c r="U18" s="771">
        <f>H18</f>
        <v>100</v>
      </c>
      <c r="V18" s="770" t="s">
        <v>17</v>
      </c>
      <c r="W18" s="771">
        <f>J18</f>
        <v>100</v>
      </c>
      <c r="X18" s="1805"/>
      <c r="Y18" s="3384"/>
      <c r="Z18" s="1806" t="str">
        <f>Q18</f>
        <v>基础设施水平</v>
      </c>
      <c r="AA18" s="1803">
        <f t="shared" ref="AA18" si="8">D18/F18</f>
        <v>1</v>
      </c>
      <c r="AB18" s="1803">
        <f t="shared" ref="AB18" si="9">D18/H18</f>
        <v>1</v>
      </c>
      <c r="AC18" s="1803">
        <f t="shared" ref="AC18" si="10">D18/J18</f>
        <v>1</v>
      </c>
    </row>
    <row r="19" spans="1:29" ht="15">
      <c r="A19" s="424"/>
      <c r="B19" s="1377"/>
      <c r="C19" s="2598"/>
      <c r="D19" s="446"/>
      <c r="E19" s="2598"/>
      <c r="F19" s="449"/>
      <c r="G19" s="2598"/>
      <c r="H19" s="444"/>
      <c r="I19" s="443"/>
      <c r="J19" s="444"/>
      <c r="K19" s="1376"/>
      <c r="L19" s="1133"/>
      <c r="M19" s="1124"/>
      <c r="N19" s="1124"/>
      <c r="O19" s="1132"/>
      <c r="P19" s="3384"/>
      <c r="Q19" s="1802"/>
      <c r="R19" s="770"/>
      <c r="S19" s="771"/>
      <c r="T19" s="770"/>
      <c r="U19" s="771"/>
      <c r="V19" s="770"/>
      <c r="W19" s="771"/>
      <c r="X19" s="1805"/>
      <c r="Y19" s="3384"/>
      <c r="Z19" s="1806"/>
      <c r="AA19" s="1803">
        <v>1</v>
      </c>
      <c r="AB19" s="1803">
        <v>1</v>
      </c>
      <c r="AC19" s="1803">
        <v>1</v>
      </c>
    </row>
    <row r="20" spans="1:29" ht="15">
      <c r="A20" s="424"/>
      <c r="B20" s="447" t="s">
        <v>2697</v>
      </c>
      <c r="C20" s="2597">
        <f>IF(B1="工业",估价对象房地状况!G7,估价对象房地状况!C9)</f>
        <v>0</v>
      </c>
      <c r="D20" s="451">
        <v>100</v>
      </c>
      <c r="E20" s="453"/>
      <c r="F20" s="454">
        <f>SUMIF(67:67,E21,68:68)-SUMIF(67:67,C21,68:68)+100</f>
        <v>100</v>
      </c>
      <c r="G20" s="455"/>
      <c r="H20" s="446">
        <f>SUMIF(67:67,G21,68:68)-SUMIF(67:67,C21,68:68)+100</f>
        <v>100</v>
      </c>
      <c r="I20" s="448"/>
      <c r="J20" s="446">
        <f>SUMIF(67:67,I21,68:68)-SUMIF(67:67,C21,68:68)+100</f>
        <v>100</v>
      </c>
      <c r="K20" s="610"/>
      <c r="L20" s="1133"/>
      <c r="M20" s="1124"/>
      <c r="N20" s="1124"/>
      <c r="O20" s="1132"/>
      <c r="P20" s="3384"/>
      <c r="Q20" s="1802" t="str">
        <f>B20</f>
        <v>自然及人文环境</v>
      </c>
      <c r="R20" s="770" t="s">
        <v>17</v>
      </c>
      <c r="S20" s="771">
        <f>F20</f>
        <v>100</v>
      </c>
      <c r="T20" s="770" t="s">
        <v>17</v>
      </c>
      <c r="U20" s="771">
        <f>H20</f>
        <v>100</v>
      </c>
      <c r="V20" s="770" t="s">
        <v>17</v>
      </c>
      <c r="W20" s="771">
        <f>J20</f>
        <v>100</v>
      </c>
      <c r="X20" s="1805"/>
      <c r="Y20" s="3384"/>
      <c r="Z20" s="1806" t="str">
        <f>Q20</f>
        <v>自然及人文环境</v>
      </c>
      <c r="AA20" s="1803">
        <f t="shared" si="3"/>
        <v>1</v>
      </c>
      <c r="AB20" s="1803">
        <f t="shared" si="4"/>
        <v>1</v>
      </c>
      <c r="AC20" s="1803">
        <f t="shared" si="5"/>
        <v>1</v>
      </c>
    </row>
    <row r="21" spans="1:29" ht="15">
      <c r="A21" s="424"/>
      <c r="B21" s="452"/>
      <c r="C21" s="443"/>
      <c r="D21" s="444"/>
      <c r="E21" s="443"/>
      <c r="F21" s="445"/>
      <c r="G21" s="443"/>
      <c r="H21" s="444"/>
      <c r="I21" s="443"/>
      <c r="J21" s="444"/>
      <c r="K21" s="611"/>
      <c r="L21" s="1133"/>
      <c r="M21" s="1124"/>
      <c r="N21" s="1124"/>
      <c r="O21" s="1132"/>
      <c r="P21" s="3384"/>
      <c r="Q21" s="1802"/>
      <c r="R21" s="770"/>
      <c r="S21" s="771"/>
      <c r="T21" s="770"/>
      <c r="U21" s="771"/>
      <c r="V21" s="770"/>
      <c r="W21" s="771"/>
      <c r="X21" s="1805"/>
      <c r="Y21" s="3384"/>
      <c r="Z21" s="1806"/>
      <c r="AA21" s="1803">
        <v>1</v>
      </c>
      <c r="AB21" s="1803">
        <v>1</v>
      </c>
      <c r="AC21" s="1803">
        <v>1</v>
      </c>
    </row>
    <row r="22" spans="1:29" ht="15">
      <c r="A22" s="424"/>
      <c r="B22" s="447" t="s">
        <v>2698</v>
      </c>
      <c r="C22" s="612"/>
      <c r="D22" s="446">
        <v>100</v>
      </c>
      <c r="E22" s="612"/>
      <c r="F22" s="457">
        <f>SUMIF(69:69,E22,70:70)-SUMIF(69:69,C22,70:70)+100</f>
        <v>100</v>
      </c>
      <c r="G22" s="612"/>
      <c r="H22" s="431">
        <f>SUMIF(69:69,G22,70:70)-SUMIF(69:69,C22,70:70)+100</f>
        <v>100</v>
      </c>
      <c r="I22" s="612"/>
      <c r="J22" s="431">
        <f>SUMIF(69:69,I22,70:70)-SUMIF(69:69,C22,70:70)+100</f>
        <v>100</v>
      </c>
      <c r="K22" s="608"/>
      <c r="L22" s="1133"/>
      <c r="M22" s="1124"/>
      <c r="N22" s="1124"/>
      <c r="O22" s="1132"/>
      <c r="P22" s="3384"/>
      <c r="Q22" s="1802" t="str">
        <f>B22</f>
        <v>楼层</v>
      </c>
      <c r="R22" s="770" t="s">
        <v>17</v>
      </c>
      <c r="S22" s="771">
        <f>F22</f>
        <v>100</v>
      </c>
      <c r="T22" s="770" t="s">
        <v>17</v>
      </c>
      <c r="U22" s="771">
        <f>H22</f>
        <v>100</v>
      </c>
      <c r="V22" s="770" t="s">
        <v>17</v>
      </c>
      <c r="W22" s="771">
        <f>J22</f>
        <v>100</v>
      </c>
      <c r="X22" s="1805"/>
      <c r="Y22" s="3384"/>
      <c r="Z22" s="1806" t="str">
        <f>Q22</f>
        <v>楼层</v>
      </c>
      <c r="AA22" s="1803">
        <f t="shared" si="3"/>
        <v>1</v>
      </c>
      <c r="AB22" s="1803">
        <f t="shared" si="4"/>
        <v>1</v>
      </c>
      <c r="AC22" s="1803">
        <f t="shared" si="5"/>
        <v>1</v>
      </c>
    </row>
    <row r="23" spans="1:29" ht="15">
      <c r="A23" s="400"/>
      <c r="B23" s="2590">
        <v>111</v>
      </c>
      <c r="C23" s="428"/>
      <c r="D23" s="431">
        <v>100</v>
      </c>
      <c r="E23" s="430"/>
      <c r="F23" s="457">
        <f>SUMIF(71:71,E23,72:72)-SUMIF(71:71,C23,72:72)+100</f>
        <v>100</v>
      </c>
      <c r="G23" s="430"/>
      <c r="H23" s="431">
        <f>SUMIF(71:71,G23,72:72)-SUMIF(71:71,C23,72:72)+100</f>
        <v>100</v>
      </c>
      <c r="I23" s="430"/>
      <c r="J23" s="431">
        <f>SUMIF(71:71,I23,72:72)-SUMIF(71:71,C23,72:72)+100</f>
        <v>100</v>
      </c>
      <c r="K23" s="609"/>
      <c r="L23" s="1133"/>
      <c r="M23" s="1124"/>
      <c r="N23" s="1124"/>
      <c r="O23" s="1132"/>
      <c r="P23" s="3384"/>
      <c r="Q23" s="1802">
        <f>B23</f>
        <v>111</v>
      </c>
      <c r="R23" s="770" t="s">
        <v>17</v>
      </c>
      <c r="S23" s="771">
        <f>F23</f>
        <v>100</v>
      </c>
      <c r="T23" s="770" t="s">
        <v>17</v>
      </c>
      <c r="U23" s="771">
        <f>H23</f>
        <v>100</v>
      </c>
      <c r="V23" s="770" t="s">
        <v>17</v>
      </c>
      <c r="W23" s="771">
        <f>J23</f>
        <v>100</v>
      </c>
      <c r="X23" s="1805"/>
      <c r="Y23" s="3384"/>
      <c r="Z23" s="1806">
        <f>Q23</f>
        <v>111</v>
      </c>
      <c r="AA23" s="1803">
        <f t="shared" si="3"/>
        <v>1</v>
      </c>
      <c r="AB23" s="1803">
        <f t="shared" si="4"/>
        <v>1</v>
      </c>
      <c r="AC23" s="1803">
        <f t="shared" si="5"/>
        <v>1</v>
      </c>
    </row>
    <row r="24" spans="1:29" ht="15">
      <c r="A24" s="424"/>
      <c r="B24" s="2590">
        <v>111</v>
      </c>
      <c r="C24" s="428"/>
      <c r="D24" s="431">
        <v>100</v>
      </c>
      <c r="E24" s="430"/>
      <c r="F24" s="457">
        <f>SUMIF(73:73,E24,74:74)-SUMIF(73:73,C24,74:74)+100</f>
        <v>100</v>
      </c>
      <c r="G24" s="430"/>
      <c r="H24" s="431">
        <f>SUMIF(73:73,G24,74:74)-SUMIF(73:73,C24,74:74)+100</f>
        <v>100</v>
      </c>
      <c r="I24" s="430"/>
      <c r="J24" s="431">
        <f>SUMIF(73:73,I24,74:74)-SUMIF(73:73,C24,74:74)+100</f>
        <v>100</v>
      </c>
      <c r="K24" s="609"/>
      <c r="L24" s="1133"/>
      <c r="M24" s="1124"/>
      <c r="N24" s="1124"/>
      <c r="O24" s="1132"/>
      <c r="P24" s="3384"/>
      <c r="Q24" s="1802">
        <f t="shared" ref="Q24:Q34" si="11">B24</f>
        <v>111</v>
      </c>
      <c r="R24" s="770" t="s">
        <v>17</v>
      </c>
      <c r="S24" s="771">
        <f>F24</f>
        <v>100</v>
      </c>
      <c r="T24" s="770" t="s">
        <v>17</v>
      </c>
      <c r="U24" s="771">
        <f>H24</f>
        <v>100</v>
      </c>
      <c r="V24" s="770" t="s">
        <v>17</v>
      </c>
      <c r="W24" s="771">
        <f>J24</f>
        <v>100</v>
      </c>
      <c r="X24" s="1805"/>
      <c r="Y24" s="3384"/>
      <c r="Z24" s="1806">
        <f>Q24</f>
        <v>111</v>
      </c>
      <c r="AA24" s="1803">
        <f t="shared" si="3"/>
        <v>1</v>
      </c>
      <c r="AB24" s="1803">
        <f t="shared" si="4"/>
        <v>1</v>
      </c>
      <c r="AC24" s="1803">
        <f t="shared" si="5"/>
        <v>1</v>
      </c>
    </row>
    <row r="25" spans="1:29" s="116" customFormat="1" ht="15.75" thickBot="1">
      <c r="A25" s="427"/>
      <c r="B25" s="2590">
        <v>111</v>
      </c>
      <c r="C25" s="2688"/>
      <c r="D25" s="661">
        <v>100</v>
      </c>
      <c r="E25" s="2688"/>
      <c r="F25" s="662">
        <f>SUMIF(75:75,E25,76:76)-SUMIF(75:75,C25,76:76)+100</f>
        <v>100</v>
      </c>
      <c r="G25" s="2688"/>
      <c r="H25" s="661">
        <f>SUMIF(75:75,G25,76:76)-SUMIF(75:75,C25,76:76)+100</f>
        <v>100</v>
      </c>
      <c r="I25" s="2688"/>
      <c r="J25" s="661">
        <f>SUMIF(75:75,I25,76:76)-SUMIF(75:75,C25,76:76)+100</f>
        <v>100</v>
      </c>
      <c r="K25" s="609"/>
      <c r="L25" s="1125"/>
      <c r="M25" s="1126"/>
      <c r="N25" s="1126"/>
      <c r="O25" s="1127"/>
      <c r="P25" s="3384"/>
      <c r="Q25" s="1787">
        <f t="shared" si="11"/>
        <v>111</v>
      </c>
      <c r="R25" s="766" t="s">
        <v>17</v>
      </c>
      <c r="S25" s="767">
        <f>F25</f>
        <v>100</v>
      </c>
      <c r="T25" s="766" t="s">
        <v>17</v>
      </c>
      <c r="U25" s="767">
        <f>H25</f>
        <v>100</v>
      </c>
      <c r="V25" s="766" t="s">
        <v>17</v>
      </c>
      <c r="W25" s="767">
        <f>J25</f>
        <v>100</v>
      </c>
      <c r="X25" s="768"/>
      <c r="Y25" s="3384"/>
      <c r="Z25" s="55">
        <f>Q25</f>
        <v>111</v>
      </c>
      <c r="AA25" s="1803">
        <f>D25/F25</f>
        <v>1</v>
      </c>
      <c r="AB25" s="1803">
        <f>D25/H25</f>
        <v>1</v>
      </c>
      <c r="AC25" s="1803">
        <f>D25/J25</f>
        <v>1</v>
      </c>
    </row>
    <row r="26" spans="1:29" ht="15">
      <c r="A26" s="462" t="s">
        <v>2550</v>
      </c>
      <c r="B26" s="71" t="s">
        <v>2701</v>
      </c>
      <c r="C26" s="2669"/>
      <c r="D26" s="463">
        <v>100</v>
      </c>
      <c r="E26" s="2669"/>
      <c r="F26" s="663">
        <f>SUMIF(77:77,E26,78:78)-SUMIF(77:77,C26,78:78)+100</f>
        <v>100</v>
      </c>
      <c r="G26" s="2669"/>
      <c r="H26" s="463">
        <f>SUMIF(77:77,G26,78:78)-SUMIF(77:77,C26,78:78)+100</f>
        <v>100</v>
      </c>
      <c r="I26" s="2669"/>
      <c r="J26" s="463">
        <f>SUMIF(77:77,I26,78:78)-SUMIF(77:77,C26,78:78)+100</f>
        <v>100</v>
      </c>
      <c r="K26" s="608"/>
      <c r="L26" s="1133"/>
      <c r="M26" s="1124"/>
      <c r="N26" s="1124"/>
      <c r="O26" s="1132"/>
      <c r="P26" s="3385" t="s">
        <v>2552</v>
      </c>
      <c r="Q26" s="1802" t="str">
        <f t="shared" si="11"/>
        <v>公共部分装修</v>
      </c>
      <c r="R26" s="770" t="s">
        <v>17</v>
      </c>
      <c r="S26" s="771">
        <f t="shared" ref="S26:S34" si="12">F26</f>
        <v>100</v>
      </c>
      <c r="T26" s="770" t="s">
        <v>17</v>
      </c>
      <c r="U26" s="771">
        <f t="shared" ref="U26:U34" si="13">H26</f>
        <v>100</v>
      </c>
      <c r="V26" s="770" t="s">
        <v>17</v>
      </c>
      <c r="W26" s="771">
        <f t="shared" ref="W26:W34" si="14">J26</f>
        <v>100</v>
      </c>
      <c r="X26" s="1805"/>
      <c r="Y26" s="3386" t="s">
        <v>2552</v>
      </c>
      <c r="Z26" s="1806" t="str">
        <f t="shared" ref="Z26:Z34" si="15">Q26</f>
        <v>公共部分装修</v>
      </c>
      <c r="AA26" s="1803">
        <f t="shared" si="3"/>
        <v>1</v>
      </c>
      <c r="AB26" s="1803">
        <f t="shared" si="4"/>
        <v>1</v>
      </c>
      <c r="AC26" s="1803">
        <f t="shared" si="5"/>
        <v>1</v>
      </c>
    </row>
    <row r="27" spans="1:29" s="467" customFormat="1" ht="15">
      <c r="A27" s="464"/>
      <c r="B27" s="418" t="s">
        <v>2702</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31"/>
      <c r="M27" s="1134"/>
      <c r="N27" s="1134"/>
      <c r="O27" s="1135"/>
      <c r="P27" s="3386"/>
      <c r="Q27" s="772" t="str">
        <f t="shared" si="11"/>
        <v>成新率</v>
      </c>
      <c r="R27" s="773" t="s">
        <v>17</v>
      </c>
      <c r="S27" s="774" t="e">
        <f t="shared" si="12"/>
        <v>#N/A</v>
      </c>
      <c r="T27" s="773" t="s">
        <v>17</v>
      </c>
      <c r="U27" s="774" t="e">
        <f t="shared" si="13"/>
        <v>#N/A</v>
      </c>
      <c r="V27" s="773" t="s">
        <v>17</v>
      </c>
      <c r="W27" s="774" t="e">
        <f t="shared" si="14"/>
        <v>#N/A</v>
      </c>
      <c r="X27" s="775"/>
      <c r="Y27" s="3386"/>
      <c r="Z27" s="776" t="str">
        <f t="shared" si="15"/>
        <v>成新率</v>
      </c>
      <c r="AA27" s="1803" t="e">
        <f t="shared" si="3"/>
        <v>#N/A</v>
      </c>
      <c r="AB27" s="1803" t="e">
        <f t="shared" si="4"/>
        <v>#N/A</v>
      </c>
      <c r="AC27" s="1803" t="e">
        <f t="shared" si="5"/>
        <v>#N/A</v>
      </c>
    </row>
    <row r="28" spans="1:29" ht="15">
      <c r="A28" s="468"/>
      <c r="B28" s="418" t="s">
        <v>2703</v>
      </c>
      <c r="C28" s="456"/>
      <c r="D28" s="431">
        <v>100</v>
      </c>
      <c r="E28" s="456"/>
      <c r="F28" s="457">
        <f>SUMIF(82:82,E28,83:83)-SUMIF(82:82,C28,83:83)+100</f>
        <v>100</v>
      </c>
      <c r="G28" s="456"/>
      <c r="H28" s="431">
        <f>SUMIF(82:82,G28,83:83)-SUMIF(82:82,C28,83:83)+100</f>
        <v>100</v>
      </c>
      <c r="I28" s="456"/>
      <c r="J28" s="431">
        <f>SUMIF(82:82,I28,83:83)-SUMIF(82:82,C28,83:83)+100</f>
        <v>100</v>
      </c>
      <c r="K28" s="608"/>
      <c r="L28" s="1133"/>
      <c r="M28" s="1124"/>
      <c r="N28" s="1124"/>
      <c r="O28" s="1132"/>
      <c r="P28" s="3386"/>
      <c r="Q28" s="1802" t="str">
        <f t="shared" si="11"/>
        <v>物业等级</v>
      </c>
      <c r="R28" s="770" t="s">
        <v>17</v>
      </c>
      <c r="S28" s="771">
        <f t="shared" si="12"/>
        <v>100</v>
      </c>
      <c r="T28" s="770" t="s">
        <v>17</v>
      </c>
      <c r="U28" s="771">
        <f t="shared" si="13"/>
        <v>100</v>
      </c>
      <c r="V28" s="770" t="s">
        <v>17</v>
      </c>
      <c r="W28" s="771">
        <f t="shared" si="14"/>
        <v>100</v>
      </c>
      <c r="X28" s="1805"/>
      <c r="Y28" s="3386"/>
      <c r="Z28" s="1806" t="str">
        <f t="shared" si="15"/>
        <v>物业等级</v>
      </c>
      <c r="AA28" s="1803">
        <f t="shared" si="3"/>
        <v>1</v>
      </c>
      <c r="AB28" s="1803">
        <f t="shared" si="4"/>
        <v>1</v>
      </c>
      <c r="AC28" s="1803">
        <f t="shared" si="5"/>
        <v>1</v>
      </c>
    </row>
    <row r="29" spans="1:29" ht="15">
      <c r="A29" s="468"/>
      <c r="B29" s="418" t="s">
        <v>2724</v>
      </c>
      <c r="C29" s="653"/>
      <c r="D29" s="431">
        <v>100</v>
      </c>
      <c r="E29" s="653"/>
      <c r="F29" s="457">
        <f>SUMIF(84:84,E29,85:85)-SUMIF(84:84,C29,85:85)+100</f>
        <v>100</v>
      </c>
      <c r="G29" s="653"/>
      <c r="H29" s="431">
        <f>SUMIF(84:84,G29,85:85)-SUMIF(84:84,C29,85:85)+100</f>
        <v>100</v>
      </c>
      <c r="I29" s="653"/>
      <c r="J29" s="431">
        <f>SUMIF(84:84,I29,85:85)-SUMIF(84:84,C29,85:85)+100</f>
        <v>100</v>
      </c>
      <c r="K29" s="608"/>
      <c r="L29" s="1133"/>
      <c r="M29" s="1124"/>
      <c r="N29" s="1124"/>
      <c r="O29" s="1132"/>
      <c r="P29" s="3386"/>
      <c r="Q29" s="1802" t="str">
        <f t="shared" si="11"/>
        <v>有无电梯</v>
      </c>
      <c r="R29" s="770" t="s">
        <v>17</v>
      </c>
      <c r="S29" s="771">
        <f t="shared" si="12"/>
        <v>100</v>
      </c>
      <c r="T29" s="770" t="s">
        <v>17</v>
      </c>
      <c r="U29" s="771">
        <f t="shared" si="13"/>
        <v>100</v>
      </c>
      <c r="V29" s="770" t="s">
        <v>17</v>
      </c>
      <c r="W29" s="771">
        <f t="shared" si="14"/>
        <v>100</v>
      </c>
      <c r="X29" s="1805"/>
      <c r="Y29" s="3386"/>
      <c r="Z29" s="1806" t="str">
        <f t="shared" si="15"/>
        <v>有无电梯</v>
      </c>
      <c r="AA29" s="1803">
        <f t="shared" si="3"/>
        <v>1</v>
      </c>
      <c r="AB29" s="1803">
        <f t="shared" si="4"/>
        <v>1</v>
      </c>
      <c r="AC29" s="1803">
        <f t="shared" si="5"/>
        <v>1</v>
      </c>
    </row>
    <row r="30" spans="1:29" ht="15">
      <c r="A30" s="468"/>
      <c r="B30" s="418" t="s">
        <v>2725</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3"/>
      <c r="M30" s="1124"/>
      <c r="N30" s="1124"/>
      <c r="O30" s="1132"/>
      <c r="P30" s="3386"/>
      <c r="Q30" s="1802" t="str">
        <f t="shared" si="11"/>
        <v>建筑面积</v>
      </c>
      <c r="R30" s="770" t="s">
        <v>17</v>
      </c>
      <c r="S30" s="771" t="e">
        <f t="shared" si="12"/>
        <v>#N/A</v>
      </c>
      <c r="T30" s="770" t="s">
        <v>17</v>
      </c>
      <c r="U30" s="771" t="e">
        <f t="shared" si="13"/>
        <v>#N/A</v>
      </c>
      <c r="V30" s="770" t="s">
        <v>17</v>
      </c>
      <c r="W30" s="771" t="e">
        <f t="shared" si="14"/>
        <v>#N/A</v>
      </c>
      <c r="X30" s="1805"/>
      <c r="Y30" s="3386"/>
      <c r="Z30" s="1806" t="str">
        <f t="shared" si="15"/>
        <v>建筑面积</v>
      </c>
      <c r="AA30" s="1803" t="e">
        <f t="shared" si="3"/>
        <v>#N/A</v>
      </c>
      <c r="AB30" s="1803" t="e">
        <f t="shared" si="4"/>
        <v>#N/A</v>
      </c>
      <c r="AC30" s="1803" t="e">
        <f t="shared" si="5"/>
        <v>#N/A</v>
      </c>
    </row>
    <row r="31" spans="1:29" s="116" customFormat="1" ht="15">
      <c r="A31" s="469"/>
      <c r="B31" s="418" t="s">
        <v>2726</v>
      </c>
      <c r="C31" s="653"/>
      <c r="D31" s="133">
        <v>100</v>
      </c>
      <c r="E31" s="653"/>
      <c r="F31" s="457">
        <f>SUMIF(89:89,E31,90:90)-SUMIF(89:89,C31,90:90)+100</f>
        <v>100</v>
      </c>
      <c r="G31" s="653"/>
      <c r="H31" s="431">
        <f>SUMIF(89:89,G31,90:90)-SUMIF(89:89,C31,90:90)+100</f>
        <v>100</v>
      </c>
      <c r="I31" s="653"/>
      <c r="J31" s="431">
        <f>SUMIF(89:89,I31,90:90)-SUMIF(89:89,C31,90:90)+100</f>
        <v>100</v>
      </c>
      <c r="K31" s="608"/>
      <c r="L31" s="1125"/>
      <c r="M31" s="1126"/>
      <c r="N31" s="1126"/>
      <c r="O31" s="1127"/>
      <c r="P31" s="3386"/>
      <c r="Q31" s="1787" t="str">
        <f t="shared" si="11"/>
        <v>是否封闭</v>
      </c>
      <c r="R31" s="766" t="s">
        <v>17</v>
      </c>
      <c r="S31" s="767">
        <f t="shared" si="12"/>
        <v>100</v>
      </c>
      <c r="T31" s="766" t="s">
        <v>17</v>
      </c>
      <c r="U31" s="767">
        <f t="shared" si="13"/>
        <v>100</v>
      </c>
      <c r="V31" s="766" t="s">
        <v>17</v>
      </c>
      <c r="W31" s="767">
        <f t="shared" si="14"/>
        <v>100</v>
      </c>
      <c r="X31" s="768"/>
      <c r="Y31" s="3386"/>
      <c r="Z31" s="55" t="str">
        <f t="shared" si="15"/>
        <v>是否封闭</v>
      </c>
      <c r="AA31" s="769">
        <f t="shared" si="3"/>
        <v>1</v>
      </c>
      <c r="AB31" s="769">
        <f t="shared" si="4"/>
        <v>1</v>
      </c>
      <c r="AC31" s="769">
        <f t="shared" si="5"/>
        <v>1</v>
      </c>
    </row>
    <row r="32" spans="1:29" ht="15">
      <c r="A32" s="468"/>
      <c r="B32" s="2590">
        <v>111</v>
      </c>
      <c r="C32" s="428"/>
      <c r="D32" s="431">
        <v>100</v>
      </c>
      <c r="E32" s="465"/>
      <c r="F32" s="457">
        <f>SUMIF(91:91,E32,92:92)-SUMIF(91:91,C32,92:92)+100</f>
        <v>100</v>
      </c>
      <c r="G32" s="465"/>
      <c r="H32" s="431">
        <f>SUMIF(91:91,G32,92:92)-SUMIF(91:91,C32,92:92)+100</f>
        <v>100</v>
      </c>
      <c r="I32" s="465"/>
      <c r="J32" s="431">
        <f>SUMIF(91:91,I32,92:92)-SUMIF(91:91,C32,92:92)+100</f>
        <v>100</v>
      </c>
      <c r="K32" s="609"/>
      <c r="L32" s="1133"/>
      <c r="M32" s="1124"/>
      <c r="N32" s="1124"/>
      <c r="O32" s="1132"/>
      <c r="P32" s="3386" t="s">
        <v>2552</v>
      </c>
      <c r="Q32" s="1802">
        <f t="shared" si="11"/>
        <v>111</v>
      </c>
      <c r="R32" s="770" t="s">
        <v>17</v>
      </c>
      <c r="S32" s="771">
        <f t="shared" si="12"/>
        <v>100</v>
      </c>
      <c r="T32" s="770" t="s">
        <v>17</v>
      </c>
      <c r="U32" s="771">
        <f t="shared" si="13"/>
        <v>100</v>
      </c>
      <c r="V32" s="770" t="s">
        <v>17</v>
      </c>
      <c r="W32" s="771">
        <f t="shared" si="14"/>
        <v>100</v>
      </c>
      <c r="X32" s="1805"/>
      <c r="Y32" s="3386" t="s">
        <v>2552</v>
      </c>
      <c r="Z32" s="1806">
        <f t="shared" si="15"/>
        <v>111</v>
      </c>
      <c r="AA32" s="1803">
        <f t="shared" si="3"/>
        <v>1</v>
      </c>
      <c r="AB32" s="1803">
        <f t="shared" si="4"/>
        <v>1</v>
      </c>
      <c r="AC32" s="1803">
        <f t="shared" si="5"/>
        <v>1</v>
      </c>
    </row>
    <row r="33" spans="1:29" ht="15">
      <c r="A33" s="468"/>
      <c r="B33" s="2590">
        <v>111</v>
      </c>
      <c r="C33" s="428"/>
      <c r="D33" s="431">
        <v>100</v>
      </c>
      <c r="E33" s="465"/>
      <c r="F33" s="457">
        <f>SUMIF(93:93,E33,94:94)-SUMIF(93:93,C33,94:94)+100</f>
        <v>100</v>
      </c>
      <c r="G33" s="465"/>
      <c r="H33" s="431">
        <f>SUMIF(93:93,G33,94:94)-SUMIF(93:93,C33,94:94)+100</f>
        <v>100</v>
      </c>
      <c r="I33" s="465"/>
      <c r="J33" s="431">
        <f>SUMIF(93:93,I33,94:94)-SUMIF(93:93,C33,94:94)+100</f>
        <v>100</v>
      </c>
      <c r="K33" s="609"/>
      <c r="L33" s="1133"/>
      <c r="M33" s="1124"/>
      <c r="N33" s="1124"/>
      <c r="O33" s="1132"/>
      <c r="P33" s="3386"/>
      <c r="Q33" s="1802">
        <f t="shared" si="11"/>
        <v>111</v>
      </c>
      <c r="R33" s="770" t="s">
        <v>17</v>
      </c>
      <c r="S33" s="771">
        <f t="shared" si="12"/>
        <v>100</v>
      </c>
      <c r="T33" s="770" t="s">
        <v>17</v>
      </c>
      <c r="U33" s="771">
        <f t="shared" si="13"/>
        <v>100</v>
      </c>
      <c r="V33" s="770" t="s">
        <v>17</v>
      </c>
      <c r="W33" s="771">
        <f t="shared" si="14"/>
        <v>100</v>
      </c>
      <c r="X33" s="1805"/>
      <c r="Y33" s="3386"/>
      <c r="Z33" s="1806">
        <f t="shared" si="15"/>
        <v>111</v>
      </c>
      <c r="AA33" s="1803">
        <f t="shared" si="3"/>
        <v>1</v>
      </c>
      <c r="AB33" s="1803">
        <f t="shared" si="4"/>
        <v>1</v>
      </c>
      <c r="AC33" s="1803">
        <f t="shared" si="5"/>
        <v>1</v>
      </c>
    </row>
    <row r="34" spans="1:29" ht="15.75" thickBot="1">
      <c r="A34" s="474"/>
      <c r="B34" s="2592">
        <v>111</v>
      </c>
      <c r="C34" s="433"/>
      <c r="D34" s="434">
        <v>100</v>
      </c>
      <c r="E34" s="2687"/>
      <c r="F34" s="435">
        <f>SUMIF(95:95,E34,96:96)-SUMIF(95:95,C34,96:96)+100</f>
        <v>100</v>
      </c>
      <c r="G34" s="2687"/>
      <c r="H34" s="434">
        <f>SUMIF(95:95,G34,96:96)-SUMIF(95:95,C34,96:96)+100</f>
        <v>100</v>
      </c>
      <c r="I34" s="2687"/>
      <c r="J34" s="434">
        <f>SUMIF(95:95,I34,96:96)-SUMIF(95:95,C34,96:96)+100</f>
        <v>100</v>
      </c>
      <c r="K34" s="609"/>
      <c r="L34" s="1133"/>
      <c r="M34" s="1124"/>
      <c r="N34" s="1124"/>
      <c r="O34" s="1132"/>
      <c r="P34" s="3386"/>
      <c r="Q34" s="1802">
        <f t="shared" si="11"/>
        <v>111</v>
      </c>
      <c r="R34" s="770" t="s">
        <v>17</v>
      </c>
      <c r="S34" s="771">
        <f t="shared" si="12"/>
        <v>100</v>
      </c>
      <c r="T34" s="770" t="s">
        <v>17</v>
      </c>
      <c r="U34" s="771">
        <f t="shared" si="13"/>
        <v>100</v>
      </c>
      <c r="V34" s="770" t="s">
        <v>17</v>
      </c>
      <c r="W34" s="771">
        <f t="shared" si="14"/>
        <v>100</v>
      </c>
      <c r="X34" s="1805"/>
      <c r="Y34" s="3386"/>
      <c r="Z34" s="1806">
        <f t="shared" si="15"/>
        <v>111</v>
      </c>
      <c r="AA34" s="1803">
        <f t="shared" si="3"/>
        <v>1</v>
      </c>
      <c r="AB34" s="1803">
        <f t="shared" si="4"/>
        <v>1</v>
      </c>
      <c r="AC34" s="1803">
        <f t="shared" si="5"/>
        <v>1</v>
      </c>
    </row>
    <row r="35" spans="1:29" ht="15">
      <c r="A35" s="475" t="s">
        <v>2564</v>
      </c>
      <c r="B35" s="476"/>
      <c r="C35" s="1400" t="s">
        <v>1</v>
      </c>
      <c r="D35" s="1401"/>
      <c r="E35" s="1402"/>
      <c r="F35" s="1403"/>
      <c r="G35" s="1404"/>
      <c r="H35" s="1405"/>
      <c r="I35" s="1402"/>
      <c r="J35" s="1405"/>
      <c r="K35" s="779"/>
      <c r="L35" s="1136"/>
      <c r="M35" s="1137"/>
      <c r="N35" s="1124"/>
      <c r="O35" s="1137"/>
      <c r="P35" s="3368" t="str">
        <f>A35</f>
        <v>成交单价（元/平方米）</v>
      </c>
      <c r="Q35" s="3368"/>
      <c r="R35" s="3406">
        <f>E35</f>
        <v>0</v>
      </c>
      <c r="S35" s="3406"/>
      <c r="T35" s="3406">
        <f>G35</f>
        <v>0</v>
      </c>
      <c r="U35" s="3406"/>
      <c r="V35" s="3406">
        <f>I35</f>
        <v>0</v>
      </c>
      <c r="W35" s="3406"/>
      <c r="X35" s="755"/>
      <c r="Y35" s="777"/>
      <c r="Z35" s="755"/>
      <c r="AA35" s="755"/>
      <c r="AB35" s="755"/>
      <c r="AC35" s="755"/>
    </row>
    <row r="36" spans="1:29" ht="15.75" thickBot="1">
      <c r="A36" s="482" t="s">
        <v>2656</v>
      </c>
      <c r="B36" s="483"/>
      <c r="C36" s="1406" t="e">
        <f>R37</f>
        <v>#DIV/0!</v>
      </c>
      <c r="D36" s="1407"/>
      <c r="E36" s="1408" t="e">
        <f>R36</f>
        <v>#DIV/0!</v>
      </c>
      <c r="F36" s="1408"/>
      <c r="G36" s="1406" t="e">
        <f>T36</f>
        <v>#DIV/0!</v>
      </c>
      <c r="H36" s="1407"/>
      <c r="I36" s="1408" t="e">
        <f>V36</f>
        <v>#DIV/0!</v>
      </c>
      <c r="J36" s="1407"/>
      <c r="K36" s="780"/>
      <c r="L36" s="1136"/>
      <c r="M36" s="1137"/>
      <c r="N36" s="1124"/>
      <c r="O36" s="1137"/>
      <c r="P36" s="3368" t="str">
        <f>A36</f>
        <v>比较价值（元/平方米）</v>
      </c>
      <c r="Q36" s="3368"/>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755"/>
      <c r="Y36" s="755"/>
      <c r="Z36" s="755"/>
      <c r="AA36" s="755"/>
      <c r="AB36" s="755"/>
      <c r="AC36" s="755"/>
    </row>
    <row r="37" spans="1:29" ht="15.75" thickBot="1">
      <c r="A37" s="488" t="s">
        <v>2657</v>
      </c>
      <c r="B37" s="489"/>
      <c r="C37" s="1410" t="e">
        <f>R37</f>
        <v>#DIV/0!</v>
      </c>
      <c r="D37" s="1410"/>
      <c r="E37" s="1410"/>
      <c r="F37" s="1410"/>
      <c r="G37" s="1410"/>
      <c r="H37" s="1410"/>
      <c r="I37" s="1410"/>
      <c r="J37" s="1410"/>
      <c r="K37" s="781"/>
      <c r="L37" s="1136"/>
      <c r="M37" s="1137"/>
      <c r="N37" s="1137"/>
      <c r="O37" s="1137"/>
      <c r="P37" s="3388" t="str">
        <f>A37</f>
        <v>估价对象XX用房的比较价值（楼面单价，元/平方米）</v>
      </c>
      <c r="Q37" s="3389"/>
      <c r="R37" s="3407" t="e">
        <f>IF(F1="售价",ROUND(AVERAGE(R36:V36),0),ROUND(AVERAGE(R36:V36),1))</f>
        <v>#DIV/0!</v>
      </c>
      <c r="S37" s="3407"/>
      <c r="T37" s="3407"/>
      <c r="U37" s="3407"/>
      <c r="V37" s="3407"/>
      <c r="W37" s="3407"/>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3" t="s">
        <v>2658</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98"/>
      <c r="L40" s="1099"/>
      <c r="M40" s="1137"/>
      <c r="N40" s="1137"/>
      <c r="O40" s="1137"/>
    </row>
    <row r="41" spans="1:29" ht="13.5" customHeight="1">
      <c r="A41" s="1137"/>
      <c r="B41" s="1137"/>
      <c r="C41" s="493" t="s">
        <v>2659</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98"/>
      <c r="L41" s="1099"/>
      <c r="M41" s="1137"/>
      <c r="N41" s="1137"/>
      <c r="O41" s="1137"/>
    </row>
    <row r="42" spans="1:29" s="498" customFormat="1" ht="13.5" customHeight="1">
      <c r="A42" s="1138"/>
      <c r="B42" s="1138"/>
      <c r="C42" s="493" t="s">
        <v>2660</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1"/>
      <c r="L42" s="1142"/>
      <c r="M42" s="1138"/>
      <c r="N42" s="1138"/>
      <c r="O42" s="1138"/>
    </row>
    <row r="43" spans="1:29" s="498"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2661</v>
      </c>
      <c r="B45" s="755"/>
      <c r="C45" s="760"/>
      <c r="D45" s="760"/>
      <c r="E45" s="760"/>
      <c r="F45" s="761"/>
      <c r="G45" s="761"/>
      <c r="H45" s="760"/>
      <c r="I45" s="760"/>
      <c r="J45" s="760"/>
      <c r="K45" s="762"/>
      <c r="L45" s="763"/>
      <c r="M45" s="760"/>
      <c r="N45" s="760"/>
      <c r="O45" s="760"/>
      <c r="P45" s="499"/>
      <c r="Q45" s="500"/>
    </row>
    <row r="46" spans="1:29" s="504" customFormat="1" ht="15">
      <c r="A46" s="501" t="s">
        <v>2535</v>
      </c>
      <c r="B46" s="502"/>
      <c r="C46" s="1566" t="str">
        <f>YEAR(C7)&amp;"-"&amp;MONTH(C7)</f>
        <v>2018-8</v>
      </c>
      <c r="D46" s="1567">
        <f>EDATE(C46,-1)</f>
        <v>43282</v>
      </c>
      <c r="E46" s="1567">
        <f t="shared" ref="E46:O46" si="16">EDATE(D46,-1)</f>
        <v>43252</v>
      </c>
      <c r="F46" s="1567">
        <f t="shared" si="16"/>
        <v>43221</v>
      </c>
      <c r="G46" s="1567">
        <f t="shared" si="16"/>
        <v>43191</v>
      </c>
      <c r="H46" s="1567">
        <f t="shared" si="16"/>
        <v>43160</v>
      </c>
      <c r="I46" s="1567">
        <f t="shared" si="16"/>
        <v>43132</v>
      </c>
      <c r="J46" s="1567">
        <f t="shared" si="16"/>
        <v>43101</v>
      </c>
      <c r="K46" s="1567">
        <f t="shared" si="16"/>
        <v>43070</v>
      </c>
      <c r="L46" s="1567">
        <f t="shared" si="16"/>
        <v>43040</v>
      </c>
      <c r="M46" s="1567">
        <f t="shared" si="16"/>
        <v>43009</v>
      </c>
      <c r="N46" s="1567">
        <f t="shared" si="16"/>
        <v>42979</v>
      </c>
      <c r="O46" s="1567">
        <f t="shared" si="16"/>
        <v>42948</v>
      </c>
      <c r="P46" s="503"/>
    </row>
    <row r="47" spans="1:29" s="116" customFormat="1" ht="15">
      <c r="A47" s="505"/>
      <c r="B47" s="506"/>
      <c r="C47" s="1565">
        <v>100</v>
      </c>
      <c r="D47" s="508"/>
      <c r="E47" s="508"/>
      <c r="F47" s="508"/>
      <c r="G47" s="508"/>
      <c r="H47" s="508"/>
      <c r="I47" s="508"/>
      <c r="J47" s="508"/>
      <c r="K47" s="508"/>
      <c r="L47" s="508"/>
      <c r="M47" s="509"/>
      <c r="N47" s="508"/>
      <c r="O47" s="510"/>
      <c r="P47" s="500"/>
    </row>
    <row r="48" spans="1:29" s="116" customFormat="1" ht="15.75" thickBot="1">
      <c r="A48" s="511" t="s">
        <v>2572</v>
      </c>
      <c r="B48" s="512"/>
      <c r="C48" s="513"/>
      <c r="D48" s="514"/>
      <c r="E48" s="514"/>
      <c r="F48" s="514"/>
      <c r="G48" s="514"/>
      <c r="H48" s="514"/>
      <c r="I48" s="514"/>
      <c r="J48" s="514"/>
      <c r="K48" s="514"/>
      <c r="L48" s="514"/>
      <c r="M48" s="515"/>
      <c r="N48" s="514"/>
      <c r="O48" s="516"/>
      <c r="P48" s="500"/>
      <c r="Q48" s="500"/>
    </row>
    <row r="49" spans="1:17" s="116" customFormat="1" ht="15">
      <c r="A49" s="517" t="s">
        <v>2537</v>
      </c>
      <c r="B49" s="506"/>
      <c r="C49" s="518" t="s">
        <v>2639</v>
      </c>
      <c r="D49" s="519"/>
      <c r="E49" s="519"/>
      <c r="F49" s="519"/>
      <c r="G49" s="519"/>
      <c r="H49" s="519"/>
      <c r="I49" s="519"/>
      <c r="J49" s="519"/>
      <c r="K49" s="519"/>
      <c r="L49" s="520"/>
      <c r="M49" s="521"/>
      <c r="N49" s="1144"/>
      <c r="O49" s="1144"/>
      <c r="P49" s="522"/>
      <c r="Q49" s="500"/>
    </row>
    <row r="50" spans="1:17" s="116" customFormat="1" ht="15.75" thickBot="1">
      <c r="A50" s="517"/>
      <c r="B50" s="506"/>
      <c r="C50" s="635">
        <v>100</v>
      </c>
      <c r="D50" s="508"/>
      <c r="E50" s="508"/>
      <c r="F50" s="508"/>
      <c r="G50" s="508"/>
      <c r="H50" s="508"/>
      <c r="I50" s="508"/>
      <c r="J50" s="508"/>
      <c r="K50" s="508"/>
      <c r="L50" s="508"/>
      <c r="M50" s="510"/>
      <c r="N50" s="1144"/>
      <c r="O50" s="1144"/>
      <c r="P50" s="500"/>
      <c r="Q50" s="500"/>
    </row>
    <row r="51" spans="1:17">
      <c r="A51" s="523" t="s">
        <v>2575</v>
      </c>
      <c r="B51" s="524" t="s">
        <v>2541</v>
      </c>
      <c r="C51" s="525">
        <f>C9</f>
        <v>0</v>
      </c>
      <c r="D51" s="526"/>
      <c r="E51" s="526"/>
      <c r="F51" s="526"/>
      <c r="G51" s="526"/>
      <c r="H51" s="526"/>
      <c r="I51" s="526"/>
      <c r="J51" s="526"/>
      <c r="K51" s="527"/>
      <c r="L51" s="528"/>
      <c r="M51" s="529"/>
      <c r="N51" s="1145"/>
      <c r="O51" s="1145"/>
      <c r="P51" s="45"/>
      <c r="Q51" s="500"/>
    </row>
    <row r="52" spans="1:17" ht="15.75" thickBot="1">
      <c r="A52" s="530"/>
      <c r="B52" s="531"/>
      <c r="C52" s="532">
        <v>100</v>
      </c>
      <c r="D52" s="532"/>
      <c r="E52" s="532"/>
      <c r="F52" s="532"/>
      <c r="G52" s="532"/>
      <c r="H52" s="532"/>
      <c r="I52" s="532"/>
      <c r="J52" s="532"/>
      <c r="K52" s="532"/>
      <c r="L52" s="532"/>
      <c r="M52" s="533"/>
      <c r="N52" s="1146"/>
      <c r="O52" s="1146"/>
      <c r="P52" s="45"/>
      <c r="Q52" s="500"/>
    </row>
    <row r="53" spans="1:17" ht="27.75" thickTop="1">
      <c r="A53" s="530"/>
      <c r="B53" s="534" t="s">
        <v>2544</v>
      </c>
      <c r="C53" s="535" t="s">
        <v>2576</v>
      </c>
      <c r="D53" s="535" t="s">
        <v>2577</v>
      </c>
      <c r="E53" s="535" t="s">
        <v>2578</v>
      </c>
      <c r="F53" s="535" t="s">
        <v>2579</v>
      </c>
      <c r="G53" s="535" t="s">
        <v>2580</v>
      </c>
      <c r="H53" s="535" t="s">
        <v>2581</v>
      </c>
      <c r="I53" s="535" t="s">
        <v>2582</v>
      </c>
      <c r="J53" s="535"/>
      <c r="K53" s="536"/>
      <c r="L53" s="537"/>
      <c r="M53" s="538"/>
      <c r="N53" s="1145"/>
      <c r="O53" s="1145"/>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6"/>
      <c r="O54" s="1146"/>
      <c r="P54" s="45"/>
      <c r="Q54" s="500"/>
    </row>
    <row r="55" spans="1:17" ht="15.75" thickTop="1">
      <c r="A55" s="530"/>
      <c r="B55" s="656">
        <f>B11</f>
        <v>111</v>
      </c>
      <c r="C55" s="545"/>
      <c r="D55" s="545"/>
      <c r="E55" s="545"/>
      <c r="F55" s="545"/>
      <c r="G55" s="545"/>
      <c r="H55" s="545"/>
      <c r="I55" s="545"/>
      <c r="J55" s="545"/>
      <c r="K55" s="546"/>
      <c r="L55" s="547"/>
      <c r="M55" s="548"/>
      <c r="N55" s="1145"/>
      <c r="O55" s="1145"/>
      <c r="P55" s="45"/>
      <c r="Q55" s="500"/>
    </row>
    <row r="56" spans="1:17" ht="15.75" thickBot="1">
      <c r="A56" s="530"/>
      <c r="B56" s="531"/>
      <c r="C56" s="556"/>
      <c r="D56" s="532"/>
      <c r="E56" s="532"/>
      <c r="F56" s="532"/>
      <c r="G56" s="532"/>
      <c r="H56" s="532"/>
      <c r="I56" s="532"/>
      <c r="J56" s="532"/>
      <c r="K56" s="532"/>
      <c r="L56" s="532"/>
      <c r="M56" s="533"/>
      <c r="N56" s="1146"/>
      <c r="O56" s="1146"/>
      <c r="P56" s="45"/>
      <c r="Q56" s="500"/>
    </row>
    <row r="57" spans="1:17" s="467" customFormat="1" ht="15.75" thickTop="1">
      <c r="A57" s="549"/>
      <c r="B57" s="534">
        <f>B12</f>
        <v>111</v>
      </c>
      <c r="C57" s="545"/>
      <c r="D57" s="545"/>
      <c r="E57" s="545"/>
      <c r="F57" s="545"/>
      <c r="G57" s="550"/>
      <c r="H57" s="551"/>
      <c r="I57" s="551"/>
      <c r="J57" s="551"/>
      <c r="K57" s="551"/>
      <c r="L57" s="552"/>
      <c r="M57" s="553"/>
      <c r="N57" s="1147"/>
      <c r="O57" s="1147"/>
      <c r="P57" s="554"/>
      <c r="Q57" s="555"/>
    </row>
    <row r="58" spans="1:17" s="467" customFormat="1" ht="15.75" thickBot="1">
      <c r="A58" s="549"/>
      <c r="B58" s="539"/>
      <c r="C58" s="556"/>
      <c r="D58" s="532"/>
      <c r="E58" s="532"/>
      <c r="F58" s="532"/>
      <c r="G58" s="532"/>
      <c r="H58" s="532"/>
      <c r="I58" s="532"/>
      <c r="J58" s="532"/>
      <c r="K58" s="532"/>
      <c r="L58" s="532"/>
      <c r="M58" s="533"/>
      <c r="N58" s="1146"/>
      <c r="O58" s="1146"/>
      <c r="P58" s="554"/>
      <c r="Q58" s="555"/>
    </row>
    <row r="59" spans="1:17" s="467" customFormat="1" ht="15.75" thickTop="1">
      <c r="A59" s="549"/>
      <c r="B59" s="534">
        <f>B13</f>
        <v>111</v>
      </c>
      <c r="C59" s="545"/>
      <c r="D59" s="545"/>
      <c r="E59" s="545"/>
      <c r="F59" s="545"/>
      <c r="G59" s="550"/>
      <c r="H59" s="551"/>
      <c r="I59" s="551"/>
      <c r="J59" s="551"/>
      <c r="K59" s="551"/>
      <c r="L59" s="552"/>
      <c r="M59" s="553"/>
      <c r="N59" s="1147"/>
      <c r="O59" s="1147"/>
      <c r="P59" s="466"/>
      <c r="Q59" s="557"/>
    </row>
    <row r="60" spans="1:17" s="467" customFormat="1" ht="15.75" thickBot="1">
      <c r="A60" s="549"/>
      <c r="B60" s="539"/>
      <c r="C60" s="556"/>
      <c r="D60" s="556"/>
      <c r="E60" s="556"/>
      <c r="F60" s="556"/>
      <c r="G60" s="556"/>
      <c r="H60" s="558"/>
      <c r="I60" s="558"/>
      <c r="J60" s="558"/>
      <c r="K60" s="558"/>
      <c r="L60" s="558"/>
      <c r="M60" s="559"/>
      <c r="N60" s="1147"/>
      <c r="O60" s="1147"/>
      <c r="P60" s="554"/>
      <c r="Q60" s="555"/>
    </row>
    <row r="61" spans="1:17" ht="15" thickTop="1">
      <c r="A61" s="523" t="s">
        <v>2546</v>
      </c>
      <c r="B61" s="524" t="s">
        <v>2589</v>
      </c>
      <c r="C61" s="569" t="s">
        <v>2584</v>
      </c>
      <c r="D61" s="569" t="s">
        <v>2585</v>
      </c>
      <c r="E61" s="569" t="s">
        <v>2586</v>
      </c>
      <c r="F61" s="569" t="s">
        <v>2587</v>
      </c>
      <c r="G61" s="569" t="s">
        <v>2588</v>
      </c>
      <c r="H61" s="525"/>
      <c r="I61" s="525"/>
      <c r="J61" s="525"/>
      <c r="K61" s="570"/>
      <c r="L61" s="571"/>
      <c r="M61" s="572"/>
      <c r="N61" s="1145"/>
      <c r="O61" s="1145"/>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6"/>
      <c r="O62" s="1146"/>
      <c r="P62" s="45"/>
      <c r="Q62" s="500"/>
    </row>
    <row r="63" spans="1:17" ht="27.75" thickTop="1">
      <c r="A63" s="530"/>
      <c r="B63" s="534" t="s">
        <v>2727</v>
      </c>
      <c r="C63" s="574" t="s">
        <v>2584</v>
      </c>
      <c r="D63" s="574" t="s">
        <v>2585</v>
      </c>
      <c r="E63" s="574" t="s">
        <v>2586</v>
      </c>
      <c r="F63" s="574" t="s">
        <v>2587</v>
      </c>
      <c r="G63" s="574" t="s">
        <v>2588</v>
      </c>
      <c r="H63" s="535"/>
      <c r="I63" s="535"/>
      <c r="J63" s="535"/>
      <c r="K63" s="536"/>
      <c r="L63" s="537"/>
      <c r="M63" s="538"/>
      <c r="N63" s="1145"/>
      <c r="O63" s="1145"/>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6"/>
      <c r="O64" s="1146"/>
      <c r="P64" s="45"/>
      <c r="Q64" s="500"/>
    </row>
    <row r="65" spans="1:17" ht="15.75" thickTop="1">
      <c r="A65" s="530"/>
      <c r="B65" s="542" t="s">
        <v>2676</v>
      </c>
      <c r="C65" s="656" t="s">
        <v>2662</v>
      </c>
      <c r="D65" s="656" t="s">
        <v>2663</v>
      </c>
      <c r="E65" s="656" t="s">
        <v>2664</v>
      </c>
      <c r="F65" s="656" t="s">
        <v>2665</v>
      </c>
      <c r="G65" s="656" t="s">
        <v>2666</v>
      </c>
      <c r="H65" s="535"/>
      <c r="I65" s="535"/>
      <c r="J65" s="535"/>
      <c r="K65" s="535"/>
      <c r="L65" s="535"/>
      <c r="M65" s="1375"/>
      <c r="N65" s="1146"/>
      <c r="O65" s="1146"/>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6"/>
      <c r="O66" s="1146"/>
      <c r="P66" s="45"/>
      <c r="Q66" s="500"/>
    </row>
    <row r="67" spans="1:17" ht="15.75" thickTop="1">
      <c r="A67" s="530"/>
      <c r="B67" s="534" t="s">
        <v>2596</v>
      </c>
      <c r="C67" s="574" t="s">
        <v>2584</v>
      </c>
      <c r="D67" s="574" t="s">
        <v>2585</v>
      </c>
      <c r="E67" s="574" t="s">
        <v>2586</v>
      </c>
      <c r="F67" s="574" t="s">
        <v>2587</v>
      </c>
      <c r="G67" s="574" t="s">
        <v>2588</v>
      </c>
      <c r="H67" s="535"/>
      <c r="I67" s="535"/>
      <c r="J67" s="535"/>
      <c r="K67" s="536"/>
      <c r="L67" s="537"/>
      <c r="M67" s="538"/>
      <c r="N67" s="1145"/>
      <c r="O67" s="1145"/>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6"/>
      <c r="O68" s="1146"/>
      <c r="P68" s="45"/>
      <c r="Q68" s="500"/>
    </row>
    <row r="69" spans="1:17" ht="15.75" thickTop="1">
      <c r="A69" s="530"/>
      <c r="B69" s="534" t="s">
        <v>2716</v>
      </c>
      <c r="C69" s="550"/>
      <c r="D69" s="550"/>
      <c r="E69" s="550"/>
      <c r="F69" s="550"/>
      <c r="G69" s="550"/>
      <c r="H69" s="579"/>
      <c r="I69" s="579"/>
      <c r="J69" s="579"/>
      <c r="K69" s="580"/>
      <c r="L69" s="581"/>
      <c r="M69" s="582"/>
      <c r="N69" s="1145"/>
      <c r="O69" s="1145"/>
      <c r="P69" s="45"/>
      <c r="Q69" s="500"/>
    </row>
    <row r="70" spans="1:17" ht="15.75" thickBot="1">
      <c r="A70" s="530"/>
      <c r="B70" s="539"/>
      <c r="C70" s="540">
        <v>100</v>
      </c>
      <c r="D70" s="540">
        <f>C70-$K22</f>
        <v>100</v>
      </c>
      <c r="E70" s="540"/>
      <c r="F70" s="540"/>
      <c r="G70" s="540"/>
      <c r="H70" s="540"/>
      <c r="I70" s="540"/>
      <c r="J70" s="540"/>
      <c r="K70" s="540"/>
      <c r="L70" s="540"/>
      <c r="M70" s="541"/>
      <c r="N70" s="1146"/>
      <c r="O70" s="1146"/>
      <c r="P70" s="45"/>
      <c r="Q70" s="500"/>
    </row>
    <row r="71" spans="1:17" s="116" customFormat="1" ht="15.75" thickTop="1">
      <c r="A71" s="575"/>
      <c r="B71" s="534">
        <f>B23</f>
        <v>111</v>
      </c>
      <c r="C71" s="545"/>
      <c r="D71" s="545"/>
      <c r="E71" s="545"/>
      <c r="F71" s="545"/>
      <c r="G71" s="550"/>
      <c r="H71" s="550"/>
      <c r="I71" s="550"/>
      <c r="J71" s="550"/>
      <c r="K71" s="550"/>
      <c r="L71" s="576"/>
      <c r="M71" s="577"/>
      <c r="N71" s="1144"/>
      <c r="O71" s="1144"/>
      <c r="P71" s="45"/>
      <c r="Q71" s="500"/>
    </row>
    <row r="72" spans="1:17" s="116" customFormat="1" ht="15.75" thickBot="1">
      <c r="A72" s="575"/>
      <c r="B72" s="539"/>
      <c r="C72" s="556"/>
      <c r="D72" s="532"/>
      <c r="E72" s="532"/>
      <c r="F72" s="532"/>
      <c r="G72" s="532"/>
      <c r="H72" s="532"/>
      <c r="I72" s="532"/>
      <c r="J72" s="532"/>
      <c r="K72" s="532"/>
      <c r="L72" s="532"/>
      <c r="M72" s="533"/>
      <c r="N72" s="1146"/>
      <c r="O72" s="1146"/>
      <c r="P72" s="45"/>
      <c r="Q72" s="500"/>
    </row>
    <row r="73" spans="1:17" s="116" customFormat="1" ht="15.75" thickTop="1">
      <c r="A73" s="575"/>
      <c r="B73" s="534">
        <f>B24</f>
        <v>111</v>
      </c>
      <c r="C73" s="545"/>
      <c r="D73" s="545"/>
      <c r="E73" s="545"/>
      <c r="F73" s="545"/>
      <c r="G73" s="550"/>
      <c r="H73" s="550"/>
      <c r="I73" s="550"/>
      <c r="J73" s="550"/>
      <c r="K73" s="550"/>
      <c r="L73" s="550"/>
      <c r="M73" s="577"/>
      <c r="N73" s="1144"/>
      <c r="O73" s="1144"/>
      <c r="P73" s="45"/>
      <c r="Q73" s="500"/>
    </row>
    <row r="74" spans="1:17" s="116" customFormat="1" ht="15.75" thickBot="1">
      <c r="A74" s="575"/>
      <c r="B74" s="539"/>
      <c r="C74" s="556"/>
      <c r="D74" s="532"/>
      <c r="E74" s="532"/>
      <c r="F74" s="532"/>
      <c r="G74" s="532"/>
      <c r="H74" s="532"/>
      <c r="I74" s="532"/>
      <c r="J74" s="532"/>
      <c r="K74" s="532"/>
      <c r="L74" s="532"/>
      <c r="M74" s="533"/>
      <c r="N74" s="1146"/>
      <c r="O74" s="1146"/>
      <c r="P74" s="45"/>
      <c r="Q74" s="500"/>
    </row>
    <row r="75" spans="1:17" s="467" customFormat="1" ht="15.75" thickTop="1">
      <c r="A75" s="549"/>
      <c r="B75" s="534">
        <f>B25</f>
        <v>111</v>
      </c>
      <c r="C75" s="545"/>
      <c r="D75" s="545"/>
      <c r="E75" s="545"/>
      <c r="F75" s="545"/>
      <c r="G75" s="550"/>
      <c r="H75" s="551"/>
      <c r="I75" s="551"/>
      <c r="J75" s="551"/>
      <c r="K75" s="551"/>
      <c r="L75" s="552"/>
      <c r="M75" s="553"/>
      <c r="N75" s="1147"/>
      <c r="O75" s="1147"/>
      <c r="P75" s="554"/>
      <c r="Q75" s="555"/>
    </row>
    <row r="76" spans="1:17" s="467" customFormat="1" ht="15.75" thickBot="1">
      <c r="A76" s="549"/>
      <c r="B76" s="539"/>
      <c r="C76" s="556"/>
      <c r="D76" s="556"/>
      <c r="E76" s="556"/>
      <c r="F76" s="556"/>
      <c r="G76" s="532"/>
      <c r="H76" s="532"/>
      <c r="I76" s="532"/>
      <c r="J76" s="532"/>
      <c r="K76" s="532"/>
      <c r="L76" s="532"/>
      <c r="M76" s="533"/>
      <c r="N76" s="1147"/>
      <c r="O76" s="1147"/>
      <c r="P76" s="554"/>
      <c r="Q76" s="555"/>
    </row>
    <row r="77" spans="1:17" ht="15" thickTop="1">
      <c r="A77" s="523" t="s">
        <v>2550</v>
      </c>
      <c r="B77" s="524" t="s">
        <v>2603</v>
      </c>
      <c r="C77" s="550"/>
      <c r="D77" s="550"/>
      <c r="E77" s="526"/>
      <c r="F77" s="526"/>
      <c r="G77" s="526"/>
      <c r="H77" s="526"/>
      <c r="I77" s="526"/>
      <c r="J77" s="526"/>
      <c r="K77" s="527"/>
      <c r="L77" s="528"/>
      <c r="M77" s="529"/>
      <c r="N77" s="1145"/>
      <c r="O77" s="1145"/>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6"/>
      <c r="O78" s="1146"/>
      <c r="P78" s="45"/>
      <c r="Q78" s="500"/>
    </row>
    <row r="79" spans="1:17" ht="15.75" thickTop="1">
      <c r="A79" s="530"/>
      <c r="B79" s="534" t="s">
        <v>2719</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4"/>
      <c r="O79" s="1144"/>
      <c r="P79" s="45"/>
      <c r="Q79" s="500"/>
    </row>
    <row r="80" spans="1:17" ht="15">
      <c r="A80" s="530"/>
      <c r="B80" s="542"/>
      <c r="C80" s="599">
        <v>0.5</v>
      </c>
      <c r="D80" s="599">
        <v>0.6</v>
      </c>
      <c r="E80" s="599">
        <v>0.7</v>
      </c>
      <c r="F80" s="599">
        <v>0.8</v>
      </c>
      <c r="G80" s="599">
        <v>0.9</v>
      </c>
      <c r="H80" s="599">
        <v>1.0001</v>
      </c>
      <c r="I80" s="656"/>
      <c r="J80" s="656"/>
      <c r="K80" s="664"/>
      <c r="L80" s="665"/>
      <c r="M80" s="666"/>
      <c r="N80" s="1144"/>
      <c r="O80" s="1144"/>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6"/>
      <c r="O81" s="1146"/>
      <c r="P81" s="554"/>
      <c r="Q81" s="555"/>
    </row>
    <row r="82" spans="1:17" ht="15" thickTop="1">
      <c r="A82" s="595"/>
      <c r="B82" s="542" t="s">
        <v>2720</v>
      </c>
      <c r="C82" s="550"/>
      <c r="D82" s="550"/>
      <c r="E82" s="579"/>
      <c r="F82" s="579"/>
      <c r="G82" s="579"/>
      <c r="H82" s="579"/>
      <c r="I82" s="579"/>
      <c r="J82" s="579"/>
      <c r="K82" s="580"/>
      <c r="L82" s="581"/>
      <c r="M82" s="582"/>
      <c r="N82" s="1145"/>
      <c r="O82" s="1145"/>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6"/>
      <c r="O83" s="1146"/>
      <c r="P83" s="45"/>
      <c r="Q83" s="500"/>
    </row>
    <row r="84" spans="1:17" ht="15" thickTop="1">
      <c r="A84" s="595"/>
      <c r="B84" s="534" t="s">
        <v>2728</v>
      </c>
      <c r="C84" s="550"/>
      <c r="D84" s="550"/>
      <c r="E84" s="550"/>
      <c r="F84" s="550"/>
      <c r="G84" s="550"/>
      <c r="H84" s="550"/>
      <c r="I84" s="579"/>
      <c r="J84" s="579"/>
      <c r="K84" s="580"/>
      <c r="L84" s="581"/>
      <c r="M84" s="582"/>
      <c r="N84" s="1145"/>
      <c r="O84" s="1145"/>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6"/>
      <c r="O85" s="1146"/>
      <c r="P85" s="45"/>
      <c r="Q85" s="500"/>
    </row>
    <row r="86" spans="1:17" ht="15" thickTop="1">
      <c r="A86" s="595"/>
      <c r="B86" s="542" t="s">
        <v>2729</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5"/>
      <c r="O86" s="1145"/>
      <c r="P86" s="45"/>
      <c r="Q86" s="500"/>
    </row>
    <row r="87" spans="1:17">
      <c r="A87" s="595"/>
      <c r="B87" s="542"/>
      <c r="C87" s="591"/>
      <c r="D87" s="591"/>
      <c r="E87" s="591"/>
      <c r="F87" s="591"/>
      <c r="G87" s="591"/>
      <c r="H87" s="591"/>
      <c r="I87" s="591"/>
      <c r="J87" s="592"/>
      <c r="K87" s="592"/>
      <c r="L87" s="593"/>
      <c r="M87" s="594"/>
      <c r="N87" s="1145"/>
      <c r="O87" s="1145"/>
      <c r="P87" s="45"/>
      <c r="Q87" s="500"/>
    </row>
    <row r="88" spans="1:17" ht="15.75" thickBot="1">
      <c r="A88" s="530"/>
      <c r="B88" s="539"/>
      <c r="C88" s="556"/>
      <c r="D88" s="532"/>
      <c r="E88" s="532"/>
      <c r="F88" s="532"/>
      <c r="G88" s="532"/>
      <c r="H88" s="532"/>
      <c r="I88" s="532"/>
      <c r="J88" s="532"/>
      <c r="K88" s="532"/>
      <c r="L88" s="532"/>
      <c r="M88" s="532"/>
      <c r="N88" s="1146"/>
      <c r="O88" s="1146"/>
      <c r="P88" s="45"/>
      <c r="Q88" s="500"/>
    </row>
    <row r="89" spans="1:17" s="467" customFormat="1" ht="15" thickTop="1">
      <c r="A89" s="589"/>
      <c r="B89" s="534" t="s">
        <v>2730</v>
      </c>
      <c r="C89" s="550"/>
      <c r="D89" s="550"/>
      <c r="E89" s="550"/>
      <c r="F89" s="550"/>
      <c r="G89" s="550"/>
      <c r="H89" s="550"/>
      <c r="I89" s="550"/>
      <c r="J89" s="550"/>
      <c r="K89" s="550"/>
      <c r="L89" s="550"/>
      <c r="M89" s="577"/>
      <c r="N89" s="1147"/>
      <c r="O89" s="1147"/>
      <c r="P89" s="554"/>
      <c r="Q89" s="555"/>
    </row>
    <row r="90" spans="1:17" s="467" customFormat="1" ht="15.75" thickBot="1">
      <c r="A90" s="549"/>
      <c r="B90" s="539"/>
      <c r="C90" s="556"/>
      <c r="D90" s="532"/>
      <c r="E90" s="532"/>
      <c r="F90" s="532"/>
      <c r="G90" s="532"/>
      <c r="H90" s="532"/>
      <c r="I90" s="532"/>
      <c r="J90" s="532"/>
      <c r="K90" s="532"/>
      <c r="L90" s="532"/>
      <c r="M90" s="533"/>
      <c r="N90" s="1147"/>
      <c r="O90" s="1147"/>
      <c r="P90" s="554"/>
      <c r="Q90" s="555"/>
    </row>
    <row r="91" spans="1:17" ht="15" thickTop="1">
      <c r="A91" s="595"/>
      <c r="B91" s="534">
        <f>B32</f>
        <v>111</v>
      </c>
      <c r="C91" s="545"/>
      <c r="D91" s="545"/>
      <c r="E91" s="545"/>
      <c r="F91" s="545"/>
      <c r="G91" s="550"/>
      <c r="H91" s="551"/>
      <c r="I91" s="551"/>
      <c r="J91" s="551"/>
      <c r="K91" s="551"/>
      <c r="L91" s="552"/>
      <c r="M91" s="553"/>
      <c r="N91" s="1145"/>
      <c r="O91" s="1145"/>
      <c r="P91" s="45"/>
      <c r="Q91" s="500"/>
    </row>
    <row r="92" spans="1:17" ht="15.75" thickBot="1">
      <c r="A92" s="530"/>
      <c r="B92" s="539"/>
      <c r="C92" s="556"/>
      <c r="D92" s="532"/>
      <c r="E92" s="532"/>
      <c r="F92" s="532"/>
      <c r="G92" s="556"/>
      <c r="H92" s="558"/>
      <c r="I92" s="558"/>
      <c r="J92" s="558"/>
      <c r="K92" s="558"/>
      <c r="L92" s="558"/>
      <c r="M92" s="559"/>
      <c r="N92" s="1146"/>
      <c r="O92" s="1146"/>
      <c r="P92" s="45"/>
      <c r="Q92" s="500"/>
    </row>
    <row r="93" spans="1:17" ht="15" thickTop="1">
      <c r="A93" s="595"/>
      <c r="B93" s="534">
        <f>B33</f>
        <v>111</v>
      </c>
      <c r="C93" s="545"/>
      <c r="D93" s="545"/>
      <c r="E93" s="545"/>
      <c r="F93" s="545"/>
      <c r="G93" s="550"/>
      <c r="H93" s="551"/>
      <c r="I93" s="551"/>
      <c r="J93" s="551"/>
      <c r="K93" s="551"/>
      <c r="L93" s="552"/>
      <c r="M93" s="553"/>
      <c r="N93" s="1145"/>
      <c r="O93" s="1145"/>
      <c r="P93" s="45"/>
      <c r="Q93" s="500"/>
    </row>
    <row r="94" spans="1:17" ht="15.75" thickBot="1">
      <c r="A94" s="530"/>
      <c r="B94" s="539"/>
      <c r="C94" s="556"/>
      <c r="D94" s="532"/>
      <c r="E94" s="532"/>
      <c r="F94" s="532"/>
      <c r="G94" s="556"/>
      <c r="H94" s="558"/>
      <c r="I94" s="558"/>
      <c r="J94" s="558"/>
      <c r="K94" s="558"/>
      <c r="L94" s="558"/>
      <c r="M94" s="559"/>
      <c r="N94" s="1146"/>
      <c r="O94" s="1146"/>
      <c r="P94" s="45"/>
      <c r="Q94" s="500"/>
    </row>
    <row r="95" spans="1:17" ht="15" thickTop="1">
      <c r="A95" s="595"/>
      <c r="B95" s="632">
        <f>B34</f>
        <v>111</v>
      </c>
      <c r="C95" s="545"/>
      <c r="D95" s="545"/>
      <c r="E95" s="545"/>
      <c r="F95" s="545"/>
      <c r="G95" s="550"/>
      <c r="H95" s="551"/>
      <c r="I95" s="551"/>
      <c r="J95" s="551"/>
      <c r="K95" s="551"/>
      <c r="L95" s="552"/>
      <c r="M95" s="553"/>
      <c r="N95" s="1146"/>
      <c r="O95" s="1146"/>
      <c r="P95" s="633"/>
      <c r="Q95" s="634"/>
    </row>
    <row r="96" spans="1:17" ht="15.75" thickBot="1">
      <c r="A96" s="530"/>
      <c r="B96" s="539"/>
      <c r="C96" s="556"/>
      <c r="D96" s="556"/>
      <c r="E96" s="556"/>
      <c r="F96" s="556"/>
      <c r="G96" s="556"/>
      <c r="H96" s="558"/>
      <c r="I96" s="558"/>
      <c r="J96" s="558"/>
      <c r="K96" s="558"/>
      <c r="L96" s="558"/>
      <c r="M96" s="559"/>
      <c r="N96" s="1146"/>
      <c r="O96" s="1146"/>
      <c r="P96" s="45"/>
      <c r="Q96" s="500"/>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394" customFormat="1" ht="28.5" customHeight="1">
      <c r="A1" s="390" t="s">
        <v>2731</v>
      </c>
      <c r="B1" s="391"/>
      <c r="C1" s="392" t="s">
        <v>2781</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2317</v>
      </c>
      <c r="B2" s="667"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t="e">
        <f>ROUND(IF(D3="",B2*10000/'数据-汇总表'!E3,B2*10000/D3),0)</f>
        <v>#DIV/0!</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69" t="s">
        <v>2633</v>
      </c>
      <c r="D4" s="3370"/>
      <c r="E4" s="3371" t="s">
        <v>2634</v>
      </c>
      <c r="F4" s="3372"/>
      <c r="G4" s="3369" t="s">
        <v>2635</v>
      </c>
      <c r="H4" s="3370"/>
      <c r="I4" s="3369" t="s">
        <v>2636</v>
      </c>
      <c r="J4" s="3370"/>
      <c r="K4" s="606" t="s">
        <v>2637</v>
      </c>
      <c r="L4" s="1123"/>
      <c r="M4" s="1124"/>
      <c r="N4" s="1124"/>
      <c r="O4" s="1124"/>
      <c r="P4" s="3373" t="s">
        <v>2638</v>
      </c>
      <c r="Q4" s="3374"/>
      <c r="R4" s="3356" t="s">
        <v>2634</v>
      </c>
      <c r="S4" s="3357"/>
      <c r="T4" s="3356" t="s">
        <v>2635</v>
      </c>
      <c r="U4" s="3357"/>
      <c r="V4" s="3381" t="s">
        <v>2636</v>
      </c>
      <c r="W4" s="3381"/>
      <c r="X4" s="1805"/>
      <c r="Y4" s="3356" t="s">
        <v>2638</v>
      </c>
      <c r="Z4" s="3357"/>
      <c r="AA4" s="3351" t="s">
        <v>2634</v>
      </c>
      <c r="AB4" s="3352" t="s">
        <v>2635</v>
      </c>
      <c r="AC4" s="3351" t="s">
        <v>2636</v>
      </c>
    </row>
    <row r="5" spans="1:29" ht="15">
      <c r="A5" s="400"/>
      <c r="B5" s="401"/>
      <c r="C5" s="3362" t="s">
        <v>2529</v>
      </c>
      <c r="D5" s="3363"/>
      <c r="E5" s="3360" t="s">
        <v>2530</v>
      </c>
      <c r="F5" s="3361"/>
      <c r="G5" s="3362" t="s">
        <v>2531</v>
      </c>
      <c r="H5" s="3363"/>
      <c r="I5" s="3362" t="s">
        <v>2532</v>
      </c>
      <c r="J5" s="3363"/>
      <c r="K5" s="606"/>
      <c r="L5" s="1123"/>
      <c r="M5" s="1124"/>
      <c r="N5" s="1124"/>
      <c r="O5" s="1124"/>
      <c r="P5" s="3375"/>
      <c r="Q5" s="3376"/>
      <c r="R5" s="3358"/>
      <c r="S5" s="3359"/>
      <c r="T5" s="3358"/>
      <c r="U5" s="3359"/>
      <c r="V5" s="3381"/>
      <c r="W5" s="3381"/>
      <c r="X5" s="1805"/>
      <c r="Y5" s="3358"/>
      <c r="Z5" s="3359"/>
      <c r="AA5" s="3352"/>
      <c r="AB5" s="3352"/>
      <c r="AC5" s="3352"/>
    </row>
    <row r="6" spans="1:29" ht="15.75" thickBot="1">
      <c r="A6" s="402"/>
      <c r="B6" s="403"/>
      <c r="C6" s="3451" t="s">
        <v>2782</v>
      </c>
      <c r="D6" s="3452"/>
      <c r="E6" s="3453" t="s">
        <v>2782</v>
      </c>
      <c r="F6" s="3454"/>
      <c r="G6" s="3451" t="s">
        <v>2782</v>
      </c>
      <c r="H6" s="3452"/>
      <c r="I6" s="3451" t="s">
        <v>2782</v>
      </c>
      <c r="J6" s="3452"/>
      <c r="K6" s="606" t="s">
        <v>2534</v>
      </c>
      <c r="L6" s="1123"/>
      <c r="M6" s="1124"/>
      <c r="N6" s="1124"/>
      <c r="O6" s="1124"/>
      <c r="P6" s="3377"/>
      <c r="Q6" s="3378"/>
      <c r="R6" s="3358"/>
      <c r="S6" s="3359"/>
      <c r="T6" s="3379"/>
      <c r="U6" s="3380"/>
      <c r="V6" s="3381"/>
      <c r="W6" s="3381"/>
      <c r="X6" s="1805"/>
      <c r="Y6" s="3379"/>
      <c r="Z6" s="3380"/>
      <c r="AA6" s="3353"/>
      <c r="AB6" s="3353"/>
      <c r="AC6" s="3353"/>
    </row>
    <row r="7" spans="1:29" s="116" customFormat="1" ht="15.75" thickBot="1">
      <c r="A7" s="404" t="s">
        <v>2535</v>
      </c>
      <c r="B7" s="405"/>
      <c r="C7" s="406">
        <f>'数据-取费表'!B2</f>
        <v>43332</v>
      </c>
      <c r="D7" s="407">
        <v>100</v>
      </c>
      <c r="E7" s="408"/>
      <c r="F7" s="409">
        <f>SUMIF(65:65,YEAR(E7)&amp;"-"&amp;INT((MONTH(E7)+2)/3),66:66)</f>
        <v>0</v>
      </c>
      <c r="G7" s="2686"/>
      <c r="H7" s="407">
        <f>SUMIF(65:65,YEAR(G7)&amp;"-"&amp;INT((MONTH(G7)+2)/3),66:66)</f>
        <v>0</v>
      </c>
      <c r="I7" s="2686"/>
      <c r="J7" s="407">
        <f>SUMIF(65:65,YEAR(I7)&amp;"-"&amp;INT((MONTH(I7)+2)/3),66:66)</f>
        <v>0</v>
      </c>
      <c r="K7" s="607"/>
      <c r="L7" s="1125"/>
      <c r="M7" s="1126"/>
      <c r="N7" s="1126"/>
      <c r="O7" s="1126"/>
      <c r="P7" s="3354" t="s">
        <v>2536</v>
      </c>
      <c r="Q7" s="3382"/>
      <c r="R7" s="766" t="s">
        <v>17</v>
      </c>
      <c r="S7" s="767">
        <f t="shared" ref="S7:S15" si="0">F7</f>
        <v>0</v>
      </c>
      <c r="T7" s="766" t="s">
        <v>17</v>
      </c>
      <c r="U7" s="767">
        <f t="shared" ref="U7:U15" si="1">H7</f>
        <v>0</v>
      </c>
      <c r="V7" s="766" t="s">
        <v>17</v>
      </c>
      <c r="W7" s="767">
        <f t="shared" ref="W7:W15" si="2">J7</f>
        <v>0</v>
      </c>
      <c r="X7" s="768"/>
      <c r="Y7" s="3354" t="s">
        <v>2536</v>
      </c>
      <c r="Z7" s="3355"/>
      <c r="AA7" s="769" t="e">
        <f>D7/F7</f>
        <v>#DIV/0!</v>
      </c>
      <c r="AB7" s="769" t="e">
        <f>D7/H7</f>
        <v>#DIV/0!</v>
      </c>
      <c r="AC7" s="769" t="e">
        <f>D7/J7</f>
        <v>#DIV/0!</v>
      </c>
    </row>
    <row r="8" spans="1:29" s="116" customFormat="1" ht="15.75" thickBot="1">
      <c r="A8" s="404" t="s">
        <v>2537</v>
      </c>
      <c r="B8" s="405"/>
      <c r="C8" s="410" t="s">
        <v>2538</v>
      </c>
      <c r="D8" s="407">
        <v>100</v>
      </c>
      <c r="E8" s="410"/>
      <c r="F8" s="409">
        <f>SUMIF(68:68,E8,69:69)-SUMIF(68:68,C8,69:69)+100</f>
        <v>0</v>
      </c>
      <c r="G8" s="410"/>
      <c r="H8" s="407">
        <f>SUMIF(68:68,G8,69:69)-SUMIF(68:68,C8,69:69)+100</f>
        <v>0</v>
      </c>
      <c r="I8" s="410"/>
      <c r="J8" s="407">
        <f>SUMIF(68:68,I8,69:69)-SUMIF(68:68,C8,69:69)+100</f>
        <v>0</v>
      </c>
      <c r="K8" s="607"/>
      <c r="L8" s="1125"/>
      <c r="M8" s="1126"/>
      <c r="N8" s="1126"/>
      <c r="O8" s="1126"/>
      <c r="P8" s="3354" t="s">
        <v>2539</v>
      </c>
      <c r="Q8" s="3355"/>
      <c r="R8" s="766" t="s">
        <v>17</v>
      </c>
      <c r="S8" s="767">
        <f t="shared" si="0"/>
        <v>0</v>
      </c>
      <c r="T8" s="766" t="s">
        <v>17</v>
      </c>
      <c r="U8" s="767">
        <f t="shared" si="1"/>
        <v>0</v>
      </c>
      <c r="V8" s="766" t="s">
        <v>17</v>
      </c>
      <c r="W8" s="767">
        <f t="shared" si="2"/>
        <v>0</v>
      </c>
      <c r="X8" s="768"/>
      <c r="Y8" s="3354" t="s">
        <v>2539</v>
      </c>
      <c r="Z8" s="3355"/>
      <c r="AA8" s="769" t="e">
        <f t="shared" ref="AA8:AA40" si="3">D8/F8</f>
        <v>#DIV/0!</v>
      </c>
      <c r="AB8" s="769" t="e">
        <f t="shared" ref="AB8:AB40" si="4">D8/H8</f>
        <v>#DIV/0!</v>
      </c>
      <c r="AC8" s="769" t="e">
        <f t="shared" ref="AC8:AC40" si="5">D8/J8</f>
        <v>#DIV/0!</v>
      </c>
    </row>
    <row r="9" spans="1:29" s="116" customFormat="1">
      <c r="A9" s="411" t="s">
        <v>2540</v>
      </c>
      <c r="B9" s="71" t="s">
        <v>2541</v>
      </c>
      <c r="C9" s="2689"/>
      <c r="D9" s="132">
        <v>100</v>
      </c>
      <c r="E9" s="2689"/>
      <c r="F9" s="132">
        <f>SUMIF(70:70,E9,71:71)-SUMIF(70:70,C9,71:71)+100</f>
        <v>100</v>
      </c>
      <c r="G9" s="2689"/>
      <c r="H9" s="132">
        <f>SUMIF(70:70,G9,71:71)-SUMIF(70:70,C9,71:71)+100</f>
        <v>100</v>
      </c>
      <c r="I9" s="2689"/>
      <c r="J9" s="132">
        <f>SUMIF(70:70,I9,71:71)-SUMIF(70:70,C9,71:71)+100</f>
        <v>100</v>
      </c>
      <c r="K9" s="607"/>
      <c r="L9" s="1125"/>
      <c r="M9" s="1126"/>
      <c r="N9" s="1126"/>
      <c r="O9" s="1127"/>
      <c r="P9" s="3368" t="s">
        <v>2542</v>
      </c>
      <c r="Q9" s="1787" t="str">
        <f t="shared" ref="Q9:Q15" si="6">B9</f>
        <v>用途</v>
      </c>
      <c r="R9" s="766" t="s">
        <v>17</v>
      </c>
      <c r="S9" s="767">
        <f t="shared" si="0"/>
        <v>100</v>
      </c>
      <c r="T9" s="766" t="s">
        <v>17</v>
      </c>
      <c r="U9" s="767">
        <f t="shared" si="1"/>
        <v>100</v>
      </c>
      <c r="V9" s="766" t="s">
        <v>17</v>
      </c>
      <c r="W9" s="767">
        <f t="shared" si="2"/>
        <v>100</v>
      </c>
      <c r="X9" s="768"/>
      <c r="Y9" s="3224" t="s">
        <v>2543</v>
      </c>
      <c r="Z9" s="55" t="str">
        <f t="shared" ref="Z9:Z15" si="7">Q9</f>
        <v>用途</v>
      </c>
      <c r="AA9" s="769">
        <f t="shared" si="3"/>
        <v>1</v>
      </c>
      <c r="AB9" s="769">
        <f t="shared" si="4"/>
        <v>1</v>
      </c>
      <c r="AC9" s="769">
        <f t="shared" si="5"/>
        <v>1</v>
      </c>
    </row>
    <row r="10" spans="1:29" s="423" customFormat="1" ht="27">
      <c r="A10" s="417"/>
      <c r="B10" s="418" t="s">
        <v>2544</v>
      </c>
      <c r="C10" s="428"/>
      <c r="D10" s="133">
        <v>100</v>
      </c>
      <c r="E10" s="428"/>
      <c r="F10" s="133">
        <f>ROUND(100/'数据-取费表'!G16,0)</f>
        <v>108</v>
      </c>
      <c r="G10" s="428"/>
      <c r="H10" s="133">
        <f>ROUND(100/'数据-取费表'!G16,0)</f>
        <v>108</v>
      </c>
      <c r="I10" s="428"/>
      <c r="J10" s="133">
        <f>ROUND(100/'数据-取费表'!G16,0)</f>
        <v>108</v>
      </c>
      <c r="K10" s="668"/>
      <c r="L10" s="1128"/>
      <c r="M10" s="1129"/>
      <c r="N10" s="1129"/>
      <c r="O10" s="1130"/>
      <c r="P10" s="3368"/>
      <c r="Q10" s="1787" t="str">
        <f t="shared" si="6"/>
        <v>土地使用年限（年）</v>
      </c>
      <c r="R10" s="766" t="s">
        <v>17</v>
      </c>
      <c r="S10" s="767">
        <f t="shared" si="0"/>
        <v>108</v>
      </c>
      <c r="T10" s="766" t="s">
        <v>17</v>
      </c>
      <c r="U10" s="767">
        <f t="shared" si="1"/>
        <v>108</v>
      </c>
      <c r="V10" s="766" t="s">
        <v>17</v>
      </c>
      <c r="W10" s="767">
        <f t="shared" si="2"/>
        <v>108</v>
      </c>
      <c r="X10" s="768"/>
      <c r="Y10" s="3224"/>
      <c r="Z10" s="55" t="str">
        <f t="shared" si="7"/>
        <v>土地使用年限（年）</v>
      </c>
      <c r="AA10" s="769">
        <f t="shared" si="3"/>
        <v>0.92592592592592593</v>
      </c>
      <c r="AB10" s="769">
        <f t="shared" si="4"/>
        <v>0.92592592592592593</v>
      </c>
      <c r="AC10" s="769">
        <f t="shared" si="5"/>
        <v>0.92592592592592593</v>
      </c>
    </row>
    <row r="11" spans="1:29" ht="15">
      <c r="A11" s="424"/>
      <c r="B11" s="418" t="s">
        <v>2545</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31"/>
      <c r="M11" s="1124"/>
      <c r="N11" s="1124"/>
      <c r="O11" s="1132"/>
      <c r="P11" s="3368"/>
      <c r="Q11" s="1787" t="str">
        <f t="shared" si="6"/>
        <v>容积率</v>
      </c>
      <c r="R11" s="766" t="s">
        <v>17</v>
      </c>
      <c r="S11" s="767" t="e">
        <f t="shared" si="0"/>
        <v>#N/A</v>
      </c>
      <c r="T11" s="766" t="s">
        <v>17</v>
      </c>
      <c r="U11" s="767" t="e">
        <f t="shared" si="1"/>
        <v>#N/A</v>
      </c>
      <c r="V11" s="766" t="s">
        <v>17</v>
      </c>
      <c r="W11" s="767" t="e">
        <f t="shared" si="2"/>
        <v>#N/A</v>
      </c>
      <c r="X11" s="768"/>
      <c r="Y11" s="3224"/>
      <c r="Z11" s="55" t="str">
        <f t="shared" si="7"/>
        <v>容积率</v>
      </c>
      <c r="AA11" s="769" t="e">
        <f t="shared" si="3"/>
        <v>#N/A</v>
      </c>
      <c r="AB11" s="769" t="e">
        <f t="shared" si="4"/>
        <v>#N/A</v>
      </c>
      <c r="AC11" s="769" t="e">
        <f t="shared" si="5"/>
        <v>#N/A</v>
      </c>
    </row>
    <row r="12" spans="1:29" s="116" customFormat="1" ht="15">
      <c r="A12" s="427"/>
      <c r="B12" s="2590">
        <v>111</v>
      </c>
      <c r="C12" s="428"/>
      <c r="D12" s="429">
        <v>100</v>
      </c>
      <c r="E12" s="545"/>
      <c r="F12" s="133">
        <f>SUMIF(77:77,E12,78:78)-SUMIF(77:77,C12,78:78)+100</f>
        <v>100</v>
      </c>
      <c r="G12" s="670"/>
      <c r="H12" s="133">
        <f>SUMIF(77:77,G12,78:78)-SUMIF(77:77,C12,78:78)+100</f>
        <v>100</v>
      </c>
      <c r="I12" s="545"/>
      <c r="J12" s="133">
        <f>SUMIF(77:77,I12,78:78)-SUMIF(77:77,C12,78:78)+100</f>
        <v>100</v>
      </c>
      <c r="K12" s="668"/>
      <c r="L12" s="1125"/>
      <c r="M12" s="1126"/>
      <c r="N12" s="1126"/>
      <c r="O12" s="1127"/>
      <c r="P12" s="3368"/>
      <c r="Q12" s="1787">
        <f t="shared" si="6"/>
        <v>111</v>
      </c>
      <c r="R12" s="766" t="s">
        <v>17</v>
      </c>
      <c r="S12" s="767">
        <f t="shared" si="0"/>
        <v>100</v>
      </c>
      <c r="T12" s="766" t="s">
        <v>17</v>
      </c>
      <c r="U12" s="767">
        <f t="shared" si="1"/>
        <v>100</v>
      </c>
      <c r="V12" s="766" t="s">
        <v>17</v>
      </c>
      <c r="W12" s="767">
        <f t="shared" si="2"/>
        <v>100</v>
      </c>
      <c r="X12" s="768"/>
      <c r="Y12" s="3224"/>
      <c r="Z12" s="55">
        <f t="shared" si="7"/>
        <v>111</v>
      </c>
      <c r="AA12" s="769">
        <f>D12/F12</f>
        <v>1</v>
      </c>
      <c r="AB12" s="769">
        <f>D12/H12</f>
        <v>1</v>
      </c>
      <c r="AC12" s="769">
        <f>D12/J12</f>
        <v>1</v>
      </c>
    </row>
    <row r="13" spans="1:29" ht="15">
      <c r="A13" s="424"/>
      <c r="B13" s="2590">
        <v>111</v>
      </c>
      <c r="C13" s="430"/>
      <c r="D13" s="431">
        <v>100</v>
      </c>
      <c r="E13" s="545"/>
      <c r="F13" s="133">
        <f>SUMIF(79:79,E13,80:80)-SUMIF(79:79,C13,80:80)+100</f>
        <v>100</v>
      </c>
      <c r="G13" s="670"/>
      <c r="H13" s="431">
        <f>SUMIF(79:79,G13,80:80)-SUMIF(79:79,C13,80:80)+100</f>
        <v>100</v>
      </c>
      <c r="I13" s="545"/>
      <c r="J13" s="431">
        <f>SUMIF(79:79,I13,80:80)-SUMIF(79:79,C13,80:80)+100</f>
        <v>100</v>
      </c>
      <c r="K13" s="668"/>
      <c r="L13" s="1133"/>
      <c r="M13" s="1124"/>
      <c r="N13" s="1124"/>
      <c r="O13" s="1132"/>
      <c r="P13" s="3368"/>
      <c r="Q13" s="1787">
        <f t="shared" si="6"/>
        <v>111</v>
      </c>
      <c r="R13" s="766" t="s">
        <v>17</v>
      </c>
      <c r="S13" s="767">
        <f t="shared" si="0"/>
        <v>100</v>
      </c>
      <c r="T13" s="766" t="s">
        <v>17</v>
      </c>
      <c r="U13" s="767">
        <f t="shared" si="1"/>
        <v>100</v>
      </c>
      <c r="V13" s="766" t="s">
        <v>17</v>
      </c>
      <c r="W13" s="767">
        <f t="shared" si="2"/>
        <v>100</v>
      </c>
      <c r="X13" s="768"/>
      <c r="Y13" s="3224"/>
      <c r="Z13" s="55">
        <f t="shared" si="7"/>
        <v>111</v>
      </c>
      <c r="AA13" s="769">
        <f t="shared" si="3"/>
        <v>1</v>
      </c>
      <c r="AB13" s="769">
        <f t="shared" si="4"/>
        <v>1</v>
      </c>
      <c r="AC13" s="769">
        <f t="shared" si="5"/>
        <v>1</v>
      </c>
    </row>
    <row r="14" spans="1:29" ht="15.75" thickBot="1">
      <c r="A14" s="432"/>
      <c r="B14" s="2592">
        <v>111</v>
      </c>
      <c r="C14" s="433"/>
      <c r="D14" s="434">
        <v>100</v>
      </c>
      <c r="E14" s="545"/>
      <c r="F14" s="434">
        <f>SUMIF(81:81,E14,82:82)-SUMIF(81:81,C14,82:82)+100</f>
        <v>100</v>
      </c>
      <c r="G14" s="670"/>
      <c r="H14" s="434">
        <f>SUMIF(81:81,G14,82:82)-SUMIF(81:81,C14,82:82)+100</f>
        <v>100</v>
      </c>
      <c r="I14" s="545"/>
      <c r="J14" s="434">
        <f>SUMIF(81:81,I14,82:82)-SUMIF(81:81,C14,82:82)+100</f>
        <v>100</v>
      </c>
      <c r="K14" s="668"/>
      <c r="L14" s="1133"/>
      <c r="M14" s="1124"/>
      <c r="N14" s="1124"/>
      <c r="O14" s="1132"/>
      <c r="P14" s="3368"/>
      <c r="Q14" s="1787">
        <f t="shared" si="6"/>
        <v>111</v>
      </c>
      <c r="R14" s="766" t="s">
        <v>17</v>
      </c>
      <c r="S14" s="767">
        <f t="shared" si="0"/>
        <v>100</v>
      </c>
      <c r="T14" s="766" t="s">
        <v>17</v>
      </c>
      <c r="U14" s="767">
        <f t="shared" si="1"/>
        <v>100</v>
      </c>
      <c r="V14" s="766" t="s">
        <v>17</v>
      </c>
      <c r="W14" s="767">
        <f t="shared" si="2"/>
        <v>100</v>
      </c>
      <c r="X14" s="768"/>
      <c r="Y14" s="3224"/>
      <c r="Z14" s="55">
        <f t="shared" si="7"/>
        <v>111</v>
      </c>
      <c r="AA14" s="769">
        <f t="shared" si="3"/>
        <v>1</v>
      </c>
      <c r="AB14" s="769">
        <f t="shared" si="4"/>
        <v>1</v>
      </c>
      <c r="AC14" s="769">
        <f t="shared" si="5"/>
        <v>1</v>
      </c>
    </row>
    <row r="15" spans="1:29" ht="15">
      <c r="A15" s="436" t="s">
        <v>2546</v>
      </c>
      <c r="B15" s="625" t="s">
        <v>2783</v>
      </c>
      <c r="C15" s="2683">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3"/>
      <c r="M15" s="1124"/>
      <c r="N15" s="1124"/>
      <c r="O15" s="1132"/>
      <c r="P15" s="3383" t="s">
        <v>2547</v>
      </c>
      <c r="Q15" s="1802" t="str">
        <f t="shared" si="6"/>
        <v>产业集聚程度</v>
      </c>
      <c r="R15" s="770" t="s">
        <v>17</v>
      </c>
      <c r="S15" s="771">
        <f t="shared" si="0"/>
        <v>100</v>
      </c>
      <c r="T15" s="770" t="s">
        <v>17</v>
      </c>
      <c r="U15" s="771">
        <f t="shared" si="1"/>
        <v>100</v>
      </c>
      <c r="V15" s="770" t="s">
        <v>17</v>
      </c>
      <c r="W15" s="771">
        <f t="shared" si="2"/>
        <v>100</v>
      </c>
      <c r="X15" s="1805"/>
      <c r="Y15" s="3383" t="s">
        <v>2547</v>
      </c>
      <c r="Z15" s="1806" t="str">
        <f t="shared" si="7"/>
        <v>产业集聚程度</v>
      </c>
      <c r="AA15" s="1803">
        <f t="shared" si="3"/>
        <v>1</v>
      </c>
      <c r="AB15" s="1803">
        <f t="shared" si="4"/>
        <v>1</v>
      </c>
      <c r="AC15" s="1803">
        <f t="shared" si="5"/>
        <v>1</v>
      </c>
    </row>
    <row r="16" spans="1:29" ht="15">
      <c r="A16" s="424"/>
      <c r="B16" s="626"/>
      <c r="C16" s="443"/>
      <c r="D16" s="444"/>
      <c r="E16" s="2601"/>
      <c r="F16" s="444"/>
      <c r="G16" s="2601"/>
      <c r="H16" s="446"/>
      <c r="I16" s="2601"/>
      <c r="J16" s="444"/>
      <c r="K16" s="668"/>
      <c r="L16" s="1133"/>
      <c r="M16" s="1124"/>
      <c r="N16" s="1124"/>
      <c r="O16" s="1132"/>
      <c r="P16" s="3384"/>
      <c r="Q16" s="1802"/>
      <c r="R16" s="770"/>
      <c r="S16" s="771"/>
      <c r="T16" s="770"/>
      <c r="U16" s="771"/>
      <c r="V16" s="770"/>
      <c r="W16" s="771"/>
      <c r="X16" s="1805"/>
      <c r="Y16" s="3384"/>
      <c r="Z16" s="1806"/>
      <c r="AA16" s="1803">
        <v>1</v>
      </c>
      <c r="AB16" s="1803">
        <v>1</v>
      </c>
      <c r="AC16" s="1803">
        <v>1</v>
      </c>
    </row>
    <row r="17" spans="1:29" ht="15">
      <c r="A17" s="424"/>
      <c r="B17" s="627" t="s">
        <v>2696</v>
      </c>
      <c r="C17" s="2597">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3"/>
      <c r="M17" s="1124"/>
      <c r="N17" s="1124"/>
      <c r="O17" s="1132"/>
      <c r="P17" s="3384"/>
      <c r="Q17" s="1802" t="str">
        <f>B17</f>
        <v>交通便捷度</v>
      </c>
      <c r="R17" s="770" t="s">
        <v>17</v>
      </c>
      <c r="S17" s="771">
        <f>F17</f>
        <v>100</v>
      </c>
      <c r="T17" s="770" t="s">
        <v>17</v>
      </c>
      <c r="U17" s="771">
        <f>H17</f>
        <v>100</v>
      </c>
      <c r="V17" s="770" t="s">
        <v>17</v>
      </c>
      <c r="W17" s="771">
        <f>J17</f>
        <v>100</v>
      </c>
      <c r="X17" s="1805"/>
      <c r="Y17" s="3384"/>
      <c r="Z17" s="1806" t="str">
        <f>Q17</f>
        <v>交通便捷度</v>
      </c>
      <c r="AA17" s="1803">
        <f t="shared" si="3"/>
        <v>1</v>
      </c>
      <c r="AB17" s="1803">
        <f t="shared" si="4"/>
        <v>1</v>
      </c>
      <c r="AC17" s="1803">
        <f t="shared" si="5"/>
        <v>1</v>
      </c>
    </row>
    <row r="18" spans="1:29" ht="15">
      <c r="A18" s="424"/>
      <c r="B18" s="628"/>
      <c r="C18" s="443"/>
      <c r="D18" s="444"/>
      <c r="E18" s="2595"/>
      <c r="F18" s="444"/>
      <c r="G18" s="2595"/>
      <c r="H18" s="444"/>
      <c r="I18" s="2594"/>
      <c r="J18" s="444"/>
      <c r="K18" s="668"/>
      <c r="L18" s="1133"/>
      <c r="M18" s="1124"/>
      <c r="N18" s="1124"/>
      <c r="O18" s="1132"/>
      <c r="P18" s="3384"/>
      <c r="Q18" s="1802"/>
      <c r="R18" s="770"/>
      <c r="S18" s="771"/>
      <c r="T18" s="770"/>
      <c r="U18" s="771"/>
      <c r="V18" s="770"/>
      <c r="W18" s="771"/>
      <c r="X18" s="1805"/>
      <c r="Y18" s="3384"/>
      <c r="Z18" s="1806"/>
      <c r="AA18" s="1803">
        <v>1</v>
      </c>
      <c r="AB18" s="1803">
        <v>1</v>
      </c>
      <c r="AC18" s="1803">
        <v>1</v>
      </c>
    </row>
    <row r="19" spans="1:29" ht="15">
      <c r="A19" s="424"/>
      <c r="B19" s="627" t="s">
        <v>2734</v>
      </c>
      <c r="C19" s="2597">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3"/>
      <c r="M19" s="1124"/>
      <c r="N19" s="1124"/>
      <c r="O19" s="1132"/>
      <c r="P19" s="3384"/>
      <c r="Q19" s="1802" t="str">
        <f t="shared" ref="Q19:Q33" si="8">B19</f>
        <v>区域土地利用方向</v>
      </c>
      <c r="R19" s="770" t="s">
        <v>17</v>
      </c>
      <c r="S19" s="771">
        <f>F19</f>
        <v>100</v>
      </c>
      <c r="T19" s="770" t="s">
        <v>17</v>
      </c>
      <c r="U19" s="771">
        <f>H19</f>
        <v>100</v>
      </c>
      <c r="V19" s="770" t="s">
        <v>17</v>
      </c>
      <c r="W19" s="771">
        <f>J19</f>
        <v>100</v>
      </c>
      <c r="X19" s="1805"/>
      <c r="Y19" s="3384"/>
      <c r="Z19" s="1806" t="str">
        <f>Q19</f>
        <v>区域土地利用方向</v>
      </c>
      <c r="AA19" s="1803">
        <f t="shared" si="3"/>
        <v>1</v>
      </c>
      <c r="AB19" s="1803">
        <f t="shared" si="4"/>
        <v>1</v>
      </c>
      <c r="AC19" s="1803">
        <f t="shared" si="5"/>
        <v>1</v>
      </c>
    </row>
    <row r="20" spans="1:29" ht="15">
      <c r="A20" s="400"/>
      <c r="B20" s="628"/>
      <c r="C20" s="443"/>
      <c r="D20" s="444"/>
      <c r="E20" s="2595"/>
      <c r="F20" s="444"/>
      <c r="G20" s="2595"/>
      <c r="H20" s="444"/>
      <c r="I20" s="2595"/>
      <c r="J20" s="444"/>
      <c r="K20" s="802"/>
      <c r="L20" s="1133"/>
      <c r="M20" s="1124"/>
      <c r="N20" s="1124"/>
      <c r="O20" s="1132"/>
      <c r="P20" s="3384"/>
      <c r="Q20" s="1802"/>
      <c r="R20" s="770"/>
      <c r="S20" s="771"/>
      <c r="T20" s="770"/>
      <c r="U20" s="771"/>
      <c r="V20" s="770"/>
      <c r="W20" s="771"/>
      <c r="X20" s="1805"/>
      <c r="Y20" s="3384"/>
      <c r="Z20" s="1806"/>
      <c r="AA20" s="1803"/>
      <c r="AB20" s="1803"/>
      <c r="AC20" s="1803"/>
    </row>
    <row r="21" spans="1:29" ht="15">
      <c r="A21" s="400"/>
      <c r="B21" s="627" t="s">
        <v>2784</v>
      </c>
      <c r="C21" s="2597">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3"/>
      <c r="M21" s="1124"/>
      <c r="N21" s="1124"/>
      <c r="O21" s="1132"/>
      <c r="P21" s="3384"/>
      <c r="Q21" s="1802" t="str">
        <f t="shared" si="8"/>
        <v>环境状况</v>
      </c>
      <c r="R21" s="770" t="s">
        <v>17</v>
      </c>
      <c r="S21" s="771">
        <f>F21</f>
        <v>100</v>
      </c>
      <c r="T21" s="770" t="s">
        <v>17</v>
      </c>
      <c r="U21" s="771">
        <f>H21</f>
        <v>100</v>
      </c>
      <c r="V21" s="770" t="s">
        <v>17</v>
      </c>
      <c r="W21" s="771">
        <f>J21</f>
        <v>100</v>
      </c>
      <c r="X21" s="1805"/>
      <c r="Y21" s="3384"/>
      <c r="Z21" s="1806" t="str">
        <f>Q21</f>
        <v>环境状况</v>
      </c>
      <c r="AA21" s="1803">
        <f t="shared" si="3"/>
        <v>1</v>
      </c>
      <c r="AB21" s="1803">
        <f t="shared" si="4"/>
        <v>1</v>
      </c>
      <c r="AC21" s="1803">
        <f t="shared" si="5"/>
        <v>1</v>
      </c>
    </row>
    <row r="22" spans="1:29" ht="15">
      <c r="A22" s="400"/>
      <c r="B22" s="628"/>
      <c r="C22" s="443"/>
      <c r="D22" s="444"/>
      <c r="E22" s="2601"/>
      <c r="F22" s="444"/>
      <c r="G22" s="2601"/>
      <c r="H22" s="444"/>
      <c r="I22" s="443"/>
      <c r="J22" s="444"/>
      <c r="K22" s="668"/>
      <c r="L22" s="1133"/>
      <c r="M22" s="1124"/>
      <c r="N22" s="1124"/>
      <c r="O22" s="1132"/>
      <c r="P22" s="3384"/>
      <c r="Q22" s="1802"/>
      <c r="R22" s="770"/>
      <c r="S22" s="771"/>
      <c r="T22" s="770"/>
      <c r="U22" s="771"/>
      <c r="V22" s="770"/>
      <c r="W22" s="771"/>
      <c r="X22" s="1805"/>
      <c r="Y22" s="3384"/>
      <c r="Z22" s="1806"/>
      <c r="AA22" s="1803">
        <v>1</v>
      </c>
      <c r="AB22" s="1803">
        <v>1</v>
      </c>
      <c r="AC22" s="1803">
        <v>1</v>
      </c>
    </row>
    <row r="23" spans="1:29" s="116" customFormat="1" ht="15">
      <c r="A23" s="645"/>
      <c r="B23" s="629" t="s">
        <v>2641</v>
      </c>
      <c r="C23" s="2597">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5"/>
      <c r="M23" s="1126"/>
      <c r="N23" s="1126"/>
      <c r="O23" s="1127"/>
      <c r="P23" s="3384"/>
      <c r="Q23" s="1787" t="str">
        <f t="shared" si="8"/>
        <v>公共配套设施</v>
      </c>
      <c r="R23" s="766" t="s">
        <v>17</v>
      </c>
      <c r="S23" s="767">
        <f>F23</f>
        <v>100</v>
      </c>
      <c r="T23" s="766" t="s">
        <v>17</v>
      </c>
      <c r="U23" s="767">
        <f>H23</f>
        <v>100</v>
      </c>
      <c r="V23" s="766" t="s">
        <v>17</v>
      </c>
      <c r="W23" s="767">
        <f>J23</f>
        <v>100</v>
      </c>
      <c r="X23" s="768"/>
      <c r="Y23" s="3384"/>
      <c r="Z23" s="55" t="str">
        <f>Q23</f>
        <v>公共配套设施</v>
      </c>
      <c r="AA23" s="1803">
        <f>D23/F23</f>
        <v>1</v>
      </c>
      <c r="AB23" s="1803">
        <f>D23/H23</f>
        <v>1</v>
      </c>
      <c r="AC23" s="1803">
        <f>D23/J23</f>
        <v>1</v>
      </c>
    </row>
    <row r="24" spans="1:29" s="116" customFormat="1" ht="15">
      <c r="A24" s="645"/>
      <c r="B24" s="628"/>
      <c r="C24" s="2690"/>
      <c r="D24" s="444"/>
      <c r="E24" s="2601"/>
      <c r="F24" s="444"/>
      <c r="G24" s="2601"/>
      <c r="H24" s="444"/>
      <c r="I24" s="443"/>
      <c r="J24" s="444"/>
      <c r="K24" s="668"/>
      <c r="L24" s="1125"/>
      <c r="M24" s="1126"/>
      <c r="N24" s="1126"/>
      <c r="O24" s="1127"/>
      <c r="P24" s="3384"/>
      <c r="Q24" s="1787"/>
      <c r="R24" s="766"/>
      <c r="S24" s="767"/>
      <c r="T24" s="766"/>
      <c r="U24" s="767"/>
      <c r="V24" s="766"/>
      <c r="W24" s="767"/>
      <c r="X24" s="768"/>
      <c r="Y24" s="3384"/>
      <c r="Z24" s="55"/>
      <c r="AA24" s="769">
        <v>1</v>
      </c>
      <c r="AB24" s="769">
        <v>1</v>
      </c>
      <c r="AC24" s="769">
        <v>1</v>
      </c>
    </row>
    <row r="25" spans="1:29" s="116" customFormat="1" ht="15">
      <c r="A25" s="645"/>
      <c r="B25" s="629" t="s">
        <v>2642</v>
      </c>
      <c r="C25" s="2597">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5"/>
      <c r="M25" s="1126"/>
      <c r="N25" s="1126"/>
      <c r="O25" s="1127"/>
      <c r="P25" s="3384"/>
      <c r="Q25" s="1787" t="str">
        <f t="shared" ref="Q25" si="9">B25</f>
        <v>基础设施水平</v>
      </c>
      <c r="R25" s="766" t="s">
        <v>17</v>
      </c>
      <c r="S25" s="767">
        <f>F25</f>
        <v>100</v>
      </c>
      <c r="T25" s="766" t="s">
        <v>17</v>
      </c>
      <c r="U25" s="767">
        <f>H25</f>
        <v>100</v>
      </c>
      <c r="V25" s="766" t="s">
        <v>17</v>
      </c>
      <c r="W25" s="767">
        <f>J25</f>
        <v>100</v>
      </c>
      <c r="X25" s="768"/>
      <c r="Y25" s="3384"/>
      <c r="Z25" s="55" t="str">
        <f>Q25</f>
        <v>基础设施水平</v>
      </c>
      <c r="AA25" s="1803">
        <f>D25/F25</f>
        <v>1</v>
      </c>
      <c r="AB25" s="1803">
        <f>D25/H25</f>
        <v>1</v>
      </c>
      <c r="AC25" s="1803">
        <f>D25/J25</f>
        <v>1</v>
      </c>
    </row>
    <row r="26" spans="1:29" s="116" customFormat="1" ht="15">
      <c r="A26" s="645"/>
      <c r="B26" s="628"/>
      <c r="C26" s="2690"/>
      <c r="D26" s="444"/>
      <c r="E26" s="2691"/>
      <c r="F26" s="444"/>
      <c r="G26" s="2691"/>
      <c r="H26" s="444"/>
      <c r="I26" s="2691"/>
      <c r="J26" s="444"/>
      <c r="K26" s="668"/>
      <c r="L26" s="1125"/>
      <c r="M26" s="1126"/>
      <c r="N26" s="1126"/>
      <c r="O26" s="1127"/>
      <c r="P26" s="3384"/>
      <c r="Q26" s="1787"/>
      <c r="R26" s="766"/>
      <c r="S26" s="767"/>
      <c r="T26" s="766"/>
      <c r="U26" s="767"/>
      <c r="V26" s="766"/>
      <c r="W26" s="767"/>
      <c r="X26" s="768"/>
      <c r="Y26" s="3384"/>
      <c r="Z26" s="55"/>
      <c r="AA26" s="769">
        <v>1</v>
      </c>
      <c r="AB26" s="769">
        <v>1</v>
      </c>
      <c r="AC26" s="769">
        <v>1</v>
      </c>
    </row>
    <row r="27" spans="1:29" ht="15">
      <c r="A27" s="424"/>
      <c r="B27" s="628" t="s">
        <v>2643</v>
      </c>
      <c r="C27" s="612"/>
      <c r="D27" s="431">
        <v>100</v>
      </c>
      <c r="E27" s="630"/>
      <c r="F27" s="431">
        <f>SUMIF(95:95,E27,96:96)-SUMIF(95:95,C27,96:96)+100</f>
        <v>100</v>
      </c>
      <c r="G27" s="630"/>
      <c r="H27" s="431">
        <f>SUMIF(95:95,G27,96:96)-SUMIF(95:95,C27,96:96)+100</f>
        <v>100</v>
      </c>
      <c r="I27" s="630"/>
      <c r="J27" s="431">
        <f>SUMIF(95:95,I27,96:96)-SUMIF(95:95,C27,96:96)+100</f>
        <v>100</v>
      </c>
      <c r="K27" s="669"/>
      <c r="L27" s="1133"/>
      <c r="M27" s="1124"/>
      <c r="N27" s="1124"/>
      <c r="O27" s="1132"/>
      <c r="P27" s="3384"/>
      <c r="Q27" s="1802" t="str">
        <f t="shared" si="8"/>
        <v>临街状况</v>
      </c>
      <c r="R27" s="770" t="s">
        <v>17</v>
      </c>
      <c r="S27" s="771">
        <f t="shared" ref="S27:S40" si="10">F27</f>
        <v>100</v>
      </c>
      <c r="T27" s="770" t="s">
        <v>17</v>
      </c>
      <c r="U27" s="771">
        <f t="shared" ref="U27:U40" si="11">H27</f>
        <v>100</v>
      </c>
      <c r="V27" s="770" t="s">
        <v>17</v>
      </c>
      <c r="W27" s="771">
        <f t="shared" ref="W27:W40" si="12">J27</f>
        <v>100</v>
      </c>
      <c r="X27" s="1805"/>
      <c r="Y27" s="3384"/>
      <c r="Z27" s="1806" t="str">
        <f t="shared" ref="Z27:Z40" si="13">Q27</f>
        <v>临街状况</v>
      </c>
      <c r="AA27" s="1803">
        <f t="shared" si="3"/>
        <v>1</v>
      </c>
      <c r="AB27" s="1803">
        <f t="shared" si="4"/>
        <v>1</v>
      </c>
      <c r="AC27" s="1803">
        <f t="shared" si="5"/>
        <v>1</v>
      </c>
    </row>
    <row r="28" spans="1:29" ht="27">
      <c r="A28" s="424"/>
      <c r="B28" s="629" t="s">
        <v>2678</v>
      </c>
      <c r="C28" s="2703">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3"/>
      <c r="M28" s="1124"/>
      <c r="N28" s="1124"/>
      <c r="O28" s="1132"/>
      <c r="P28" s="3384"/>
      <c r="Q28" s="1802" t="str">
        <f t="shared" si="8"/>
        <v>毗邻道路的类型与等级</v>
      </c>
      <c r="R28" s="770" t="s">
        <v>17</v>
      </c>
      <c r="S28" s="771">
        <f t="shared" si="10"/>
        <v>100</v>
      </c>
      <c r="T28" s="770" t="s">
        <v>17</v>
      </c>
      <c r="U28" s="771">
        <f t="shared" si="11"/>
        <v>100</v>
      </c>
      <c r="V28" s="770" t="s">
        <v>17</v>
      </c>
      <c r="W28" s="771">
        <f t="shared" si="12"/>
        <v>100</v>
      </c>
      <c r="X28" s="1805"/>
      <c r="Y28" s="3384"/>
      <c r="Z28" s="1806" t="str">
        <f t="shared" si="13"/>
        <v>毗邻道路的类型与等级</v>
      </c>
      <c r="AA28" s="1803">
        <f t="shared" si="3"/>
        <v>1</v>
      </c>
      <c r="AB28" s="1803">
        <f t="shared" si="4"/>
        <v>1</v>
      </c>
      <c r="AC28" s="1803">
        <f t="shared" si="5"/>
        <v>1</v>
      </c>
    </row>
    <row r="29" spans="1:29" ht="15">
      <c r="A29" s="424"/>
      <c r="B29" s="628"/>
      <c r="C29" s="443"/>
      <c r="D29" s="444"/>
      <c r="E29" s="2601"/>
      <c r="F29" s="444"/>
      <c r="G29" s="2601"/>
      <c r="H29" s="444"/>
      <c r="I29" s="2601"/>
      <c r="J29" s="444"/>
      <c r="K29" s="609"/>
      <c r="L29" s="1133"/>
      <c r="M29" s="1124"/>
      <c r="N29" s="1124"/>
      <c r="O29" s="1132"/>
      <c r="P29" s="3384"/>
      <c r="Q29" s="1802"/>
      <c r="R29" s="770"/>
      <c r="S29" s="771"/>
      <c r="T29" s="770"/>
      <c r="U29" s="771"/>
      <c r="V29" s="770"/>
      <c r="W29" s="771"/>
      <c r="X29" s="1805"/>
      <c r="Y29" s="3384"/>
      <c r="Z29" s="1806"/>
      <c r="AA29" s="1803">
        <v>1</v>
      </c>
      <c r="AB29" s="1803">
        <v>1</v>
      </c>
      <c r="AC29" s="1803">
        <v>1</v>
      </c>
    </row>
    <row r="30" spans="1:29" ht="15">
      <c r="A30" s="424"/>
      <c r="B30" s="650" t="s">
        <v>2736</v>
      </c>
      <c r="C30" s="1382">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3"/>
      <c r="M30" s="1124"/>
      <c r="N30" s="1124"/>
      <c r="O30" s="1132"/>
      <c r="P30" s="3384"/>
      <c r="Q30" s="1802" t="str">
        <f t="shared" si="8"/>
        <v>土地级别</v>
      </c>
      <c r="R30" s="770" t="s">
        <v>17</v>
      </c>
      <c r="S30" s="771">
        <f t="shared" si="10"/>
        <v>100</v>
      </c>
      <c r="T30" s="770" t="s">
        <v>17</v>
      </c>
      <c r="U30" s="771">
        <f t="shared" si="11"/>
        <v>100</v>
      </c>
      <c r="V30" s="770" t="s">
        <v>17</v>
      </c>
      <c r="W30" s="771">
        <f t="shared" si="12"/>
        <v>100</v>
      </c>
      <c r="X30" s="1805"/>
      <c r="Y30" s="3384"/>
      <c r="Z30" s="1806" t="str">
        <f t="shared" si="13"/>
        <v>土地级别</v>
      </c>
      <c r="AA30" s="1803">
        <f t="shared" si="3"/>
        <v>1</v>
      </c>
      <c r="AB30" s="1803">
        <f t="shared" si="4"/>
        <v>1</v>
      </c>
      <c r="AC30" s="1803">
        <f t="shared" si="5"/>
        <v>1</v>
      </c>
    </row>
    <row r="31" spans="1:29" ht="15">
      <c r="A31" s="400"/>
      <c r="B31" s="2668">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3"/>
      <c r="M31" s="1124"/>
      <c r="N31" s="1124"/>
      <c r="O31" s="1132"/>
      <c r="P31" s="3384"/>
      <c r="Q31" s="1802">
        <f t="shared" si="8"/>
        <v>111</v>
      </c>
      <c r="R31" s="770" t="s">
        <v>17</v>
      </c>
      <c r="S31" s="771">
        <f t="shared" si="10"/>
        <v>100</v>
      </c>
      <c r="T31" s="770" t="s">
        <v>17</v>
      </c>
      <c r="U31" s="771">
        <f t="shared" si="11"/>
        <v>100</v>
      </c>
      <c r="V31" s="770" t="s">
        <v>17</v>
      </c>
      <c r="W31" s="771">
        <f t="shared" si="12"/>
        <v>100</v>
      </c>
      <c r="X31" s="1805"/>
      <c r="Y31" s="3384"/>
      <c r="Z31" s="1806">
        <f t="shared" si="13"/>
        <v>111</v>
      </c>
      <c r="AA31" s="1803">
        <f t="shared" si="3"/>
        <v>1</v>
      </c>
      <c r="AB31" s="1803">
        <f t="shared" si="4"/>
        <v>1</v>
      </c>
      <c r="AC31" s="1803">
        <f t="shared" si="5"/>
        <v>1</v>
      </c>
    </row>
    <row r="32" spans="1:29" ht="15">
      <c r="A32" s="671"/>
      <c r="B32" s="2704">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3"/>
      <c r="M32" s="1124"/>
      <c r="N32" s="1124"/>
      <c r="O32" s="1132"/>
      <c r="P32" s="3385" t="s">
        <v>2552</v>
      </c>
      <c r="Q32" s="1802">
        <f t="shared" si="8"/>
        <v>111</v>
      </c>
      <c r="R32" s="770" t="s">
        <v>17</v>
      </c>
      <c r="S32" s="771">
        <f t="shared" si="10"/>
        <v>100</v>
      </c>
      <c r="T32" s="770" t="s">
        <v>17</v>
      </c>
      <c r="U32" s="771">
        <f t="shared" si="11"/>
        <v>100</v>
      </c>
      <c r="V32" s="770" t="s">
        <v>17</v>
      </c>
      <c r="W32" s="771">
        <f t="shared" si="12"/>
        <v>100</v>
      </c>
      <c r="X32" s="1805"/>
      <c r="Y32" s="3386" t="s">
        <v>2552</v>
      </c>
      <c r="Z32" s="1806">
        <f t="shared" si="13"/>
        <v>111</v>
      </c>
      <c r="AA32" s="1803">
        <f t="shared" si="3"/>
        <v>1</v>
      </c>
      <c r="AB32" s="1803">
        <f t="shared" si="4"/>
        <v>1</v>
      </c>
      <c r="AC32" s="1803">
        <f t="shared" si="5"/>
        <v>1</v>
      </c>
    </row>
    <row r="33" spans="1:29" s="467" customFormat="1" ht="15.75" thickBot="1">
      <c r="A33" s="672"/>
      <c r="B33" s="2705">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31"/>
      <c r="M33" s="1134"/>
      <c r="N33" s="1134"/>
      <c r="O33" s="1135"/>
      <c r="P33" s="3386"/>
      <c r="Q33" s="1802">
        <f t="shared" si="8"/>
        <v>111</v>
      </c>
      <c r="R33" s="773" t="s">
        <v>17</v>
      </c>
      <c r="S33" s="774">
        <f t="shared" si="10"/>
        <v>100</v>
      </c>
      <c r="T33" s="773" t="s">
        <v>17</v>
      </c>
      <c r="U33" s="774">
        <f t="shared" si="11"/>
        <v>100</v>
      </c>
      <c r="V33" s="773" t="s">
        <v>17</v>
      </c>
      <c r="W33" s="774">
        <f t="shared" si="12"/>
        <v>100</v>
      </c>
      <c r="X33" s="775"/>
      <c r="Y33" s="3386"/>
      <c r="Z33" s="776">
        <f t="shared" si="13"/>
        <v>111</v>
      </c>
      <c r="AA33" s="1803">
        <f t="shared" si="3"/>
        <v>1</v>
      </c>
      <c r="AB33" s="1803">
        <f t="shared" si="4"/>
        <v>1</v>
      </c>
      <c r="AC33" s="1803">
        <f t="shared" si="5"/>
        <v>1</v>
      </c>
    </row>
    <row r="34" spans="1:29" ht="15">
      <c r="A34" s="436" t="s">
        <v>2550</v>
      </c>
      <c r="B34" s="452" t="s">
        <v>2737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3"/>
      <c r="M34" s="1124"/>
      <c r="N34" s="1124"/>
      <c r="O34" s="1132"/>
      <c r="P34" s="3386"/>
      <c r="Q34" s="1802" t="str">
        <f>B34</f>
        <v>宗地面积</v>
      </c>
      <c r="R34" s="770" t="s">
        <v>17</v>
      </c>
      <c r="S34" s="771" t="e">
        <f t="shared" si="10"/>
        <v>#N/A</v>
      </c>
      <c r="T34" s="770" t="s">
        <v>17</v>
      </c>
      <c r="U34" s="771" t="e">
        <f t="shared" si="11"/>
        <v>#N/A</v>
      </c>
      <c r="V34" s="770" t="s">
        <v>17</v>
      </c>
      <c r="W34" s="771" t="e">
        <f t="shared" si="12"/>
        <v>#N/A</v>
      </c>
      <c r="X34" s="1805"/>
      <c r="Y34" s="3386"/>
      <c r="Z34" s="1806" t="str">
        <f t="shared" si="13"/>
        <v>宗地面积</v>
      </c>
      <c r="AA34" s="1803" t="e">
        <f t="shared" si="3"/>
        <v>#N/A</v>
      </c>
      <c r="AB34" s="1803" t="e">
        <f t="shared" si="4"/>
        <v>#N/A</v>
      </c>
      <c r="AC34" s="1803" t="e">
        <f t="shared" si="5"/>
        <v>#N/A</v>
      </c>
    </row>
    <row r="35" spans="1:29" ht="15">
      <c r="A35" s="468"/>
      <c r="B35" s="418" t="s">
        <v>2738</v>
      </c>
      <c r="C35" s="2603"/>
      <c r="D35" s="431">
        <v>100</v>
      </c>
      <c r="E35" s="2603"/>
      <c r="F35" s="431">
        <f>SUMIF(110:110,E35,111:111)-SUMIF(110:110,C35,111:111)+100</f>
        <v>100</v>
      </c>
      <c r="G35" s="2603"/>
      <c r="H35" s="431">
        <f>SUMIF(110:110,G35,111:111)-SUMIF(110:110,C35,111:111)+100</f>
        <v>100</v>
      </c>
      <c r="I35" s="2603"/>
      <c r="J35" s="431">
        <f>SUMIF(110:110,I35,111:111)-SUMIF(110:110,C35,111:111)+100</f>
        <v>100</v>
      </c>
      <c r="K35" s="608"/>
      <c r="L35" s="1133"/>
      <c r="M35" s="1124"/>
      <c r="N35" s="1124"/>
      <c r="O35" s="1132"/>
      <c r="P35" s="3386"/>
      <c r="Q35" s="1802" t="str">
        <f t="shared" ref="Q35:Q40" si="14">B35</f>
        <v>宗地形状</v>
      </c>
      <c r="R35" s="770" t="s">
        <v>17</v>
      </c>
      <c r="S35" s="771">
        <f t="shared" si="10"/>
        <v>100</v>
      </c>
      <c r="T35" s="770" t="s">
        <v>17</v>
      </c>
      <c r="U35" s="771">
        <f t="shared" si="11"/>
        <v>100</v>
      </c>
      <c r="V35" s="770" t="s">
        <v>17</v>
      </c>
      <c r="W35" s="771">
        <f t="shared" si="12"/>
        <v>100</v>
      </c>
      <c r="X35" s="1805"/>
      <c r="Y35" s="3386"/>
      <c r="Z35" s="1806" t="str">
        <f t="shared" si="13"/>
        <v>宗地形状</v>
      </c>
      <c r="AA35" s="1803">
        <f t="shared" si="3"/>
        <v>1</v>
      </c>
      <c r="AB35" s="1803">
        <f t="shared" si="4"/>
        <v>1</v>
      </c>
      <c r="AC35" s="1803">
        <f t="shared" si="5"/>
        <v>1</v>
      </c>
    </row>
    <row r="36" spans="1:29" s="116" customFormat="1" ht="15">
      <c r="A36" s="469"/>
      <c r="B36" s="418" t="s">
        <v>2740</v>
      </c>
      <c r="C36" s="2692"/>
      <c r="D36" s="133">
        <v>100</v>
      </c>
      <c r="E36" s="2692"/>
      <c r="F36" s="431">
        <f>SUMIF(112:112,E36,113:113)-SUMIF(112:112,C36,113:113)+100</f>
        <v>100</v>
      </c>
      <c r="G36" s="2692"/>
      <c r="H36" s="431">
        <f>SUMIF(112:112,G36,113:113)-SUMIF(112:112,C36,113:113)+100</f>
        <v>100</v>
      </c>
      <c r="I36" s="2692"/>
      <c r="J36" s="431">
        <f>SUMIF(112:112,I36,113:113)-SUMIF(112:112,C36,113:113)+100</f>
        <v>100</v>
      </c>
      <c r="K36" s="608"/>
      <c r="L36" s="1125"/>
      <c r="M36" s="1126"/>
      <c r="N36" s="1126"/>
      <c r="O36" s="1127"/>
      <c r="P36" s="3386"/>
      <c r="Q36" s="1802" t="str">
        <f t="shared" si="14"/>
        <v>宗地开发程度</v>
      </c>
      <c r="R36" s="766" t="s">
        <v>17</v>
      </c>
      <c r="S36" s="767">
        <f t="shared" si="10"/>
        <v>100</v>
      </c>
      <c r="T36" s="766" t="s">
        <v>17</v>
      </c>
      <c r="U36" s="767">
        <f t="shared" si="11"/>
        <v>100</v>
      </c>
      <c r="V36" s="766" t="s">
        <v>17</v>
      </c>
      <c r="W36" s="767">
        <f t="shared" si="12"/>
        <v>100</v>
      </c>
      <c r="X36" s="768"/>
      <c r="Y36" s="3386"/>
      <c r="Z36" s="55" t="str">
        <f t="shared" si="13"/>
        <v>宗地开发程度</v>
      </c>
      <c r="AA36" s="769">
        <f t="shared" si="3"/>
        <v>1</v>
      </c>
      <c r="AB36" s="769">
        <f t="shared" si="4"/>
        <v>1</v>
      </c>
      <c r="AC36" s="769">
        <f t="shared" si="5"/>
        <v>1</v>
      </c>
    </row>
    <row r="37" spans="1:29" ht="15">
      <c r="A37" s="468"/>
      <c r="B37" s="418" t="s">
        <v>2741</v>
      </c>
      <c r="C37" s="2603"/>
      <c r="D37" s="431">
        <v>100</v>
      </c>
      <c r="E37" s="2603"/>
      <c r="F37" s="431">
        <f>SUMIF(114:114,E37,115:115)-SUMIF(114:114,C37,115:115)+100</f>
        <v>100</v>
      </c>
      <c r="G37" s="2603"/>
      <c r="H37" s="431">
        <f>SUMIF(114:114,G37,115:115)-SUMIF(114:114,C37,115:115)+100</f>
        <v>100</v>
      </c>
      <c r="I37" s="2603"/>
      <c r="J37" s="431">
        <f>SUMIF(114:114,I37,115:115)-SUMIF(114:114,C37,115:115)+100</f>
        <v>100</v>
      </c>
      <c r="K37" s="608"/>
      <c r="L37" s="1133"/>
      <c r="M37" s="1124"/>
      <c r="N37" s="1124"/>
      <c r="O37" s="1132"/>
      <c r="P37" s="3386" t="s">
        <v>2552</v>
      </c>
      <c r="Q37" s="1802" t="str">
        <f t="shared" si="14"/>
        <v>工程地质条件</v>
      </c>
      <c r="R37" s="770" t="s">
        <v>17</v>
      </c>
      <c r="S37" s="771">
        <f t="shared" si="10"/>
        <v>100</v>
      </c>
      <c r="T37" s="770" t="s">
        <v>17</v>
      </c>
      <c r="U37" s="771">
        <f t="shared" si="11"/>
        <v>100</v>
      </c>
      <c r="V37" s="770" t="s">
        <v>17</v>
      </c>
      <c r="W37" s="771">
        <f t="shared" si="12"/>
        <v>100</v>
      </c>
      <c r="X37" s="1805"/>
      <c r="Y37" s="3386" t="s">
        <v>2552</v>
      </c>
      <c r="Z37" s="1806" t="str">
        <f t="shared" si="13"/>
        <v>工程地质条件</v>
      </c>
      <c r="AA37" s="1803">
        <f t="shared" si="3"/>
        <v>1</v>
      </c>
      <c r="AB37" s="1803">
        <f t="shared" si="4"/>
        <v>1</v>
      </c>
      <c r="AC37" s="1803">
        <f t="shared" si="5"/>
        <v>1</v>
      </c>
    </row>
    <row r="38" spans="1:29" ht="15">
      <c r="A38" s="468"/>
      <c r="B38" s="1380">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3"/>
      <c r="M38" s="1124"/>
      <c r="N38" s="1124"/>
      <c r="O38" s="1132"/>
      <c r="P38" s="3386"/>
      <c r="Q38" s="1802">
        <f t="shared" si="14"/>
        <v>111</v>
      </c>
      <c r="R38" s="770" t="s">
        <v>17</v>
      </c>
      <c r="S38" s="771">
        <f t="shared" si="10"/>
        <v>100</v>
      </c>
      <c r="T38" s="770" t="s">
        <v>17</v>
      </c>
      <c r="U38" s="771">
        <f t="shared" si="11"/>
        <v>100</v>
      </c>
      <c r="V38" s="770" t="s">
        <v>17</v>
      </c>
      <c r="W38" s="771">
        <f t="shared" si="12"/>
        <v>100</v>
      </c>
      <c r="X38" s="1805"/>
      <c r="Y38" s="3386"/>
      <c r="Z38" s="1806">
        <f t="shared" si="13"/>
        <v>111</v>
      </c>
      <c r="AA38" s="1803">
        <f t="shared" si="3"/>
        <v>1</v>
      </c>
      <c r="AB38" s="1803">
        <f t="shared" si="4"/>
        <v>1</v>
      </c>
      <c r="AC38" s="1803">
        <f t="shared" si="5"/>
        <v>1</v>
      </c>
    </row>
    <row r="39" spans="1:29" ht="15">
      <c r="A39" s="468"/>
      <c r="B39" s="1380">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3"/>
      <c r="M39" s="1124"/>
      <c r="N39" s="1124"/>
      <c r="O39" s="1132"/>
      <c r="P39" s="3386"/>
      <c r="Q39" s="1802">
        <f t="shared" si="14"/>
        <v>111</v>
      </c>
      <c r="R39" s="770" t="s">
        <v>17</v>
      </c>
      <c r="S39" s="771">
        <f t="shared" si="10"/>
        <v>100</v>
      </c>
      <c r="T39" s="770" t="s">
        <v>17</v>
      </c>
      <c r="U39" s="771">
        <f t="shared" si="11"/>
        <v>100</v>
      </c>
      <c r="V39" s="770" t="s">
        <v>17</v>
      </c>
      <c r="W39" s="771">
        <f t="shared" si="12"/>
        <v>100</v>
      </c>
      <c r="X39" s="1805"/>
      <c r="Y39" s="3386"/>
      <c r="Z39" s="1806">
        <f t="shared" si="13"/>
        <v>111</v>
      </c>
      <c r="AA39" s="1803">
        <f t="shared" si="3"/>
        <v>1</v>
      </c>
      <c r="AB39" s="1803">
        <f t="shared" si="4"/>
        <v>1</v>
      </c>
      <c r="AC39" s="1803">
        <f t="shared" si="5"/>
        <v>1</v>
      </c>
    </row>
    <row r="40" spans="1:29" s="467" customFormat="1" ht="15.75" thickBot="1">
      <c r="A40" s="464"/>
      <c r="B40" s="1380">
        <v>111</v>
      </c>
      <c r="C40" s="2693"/>
      <c r="D40" s="134">
        <v>100</v>
      </c>
      <c r="E40" s="670"/>
      <c r="F40" s="434">
        <f>SUMIF(120:120,E40,121:121)-SUMIF(120:120,C40,121:121)+100</f>
        <v>100</v>
      </c>
      <c r="G40" s="670"/>
      <c r="H40" s="434">
        <f>SUMIF(120:120,G40,121:121)-SUMIF(120:120,C40,121:121)+100</f>
        <v>100</v>
      </c>
      <c r="I40" s="545"/>
      <c r="J40" s="434">
        <f>SUMIF(120:120,I40,121:121)-SUMIF(120:120,C40,121:121)+100</f>
        <v>100</v>
      </c>
      <c r="K40" s="677"/>
      <c r="L40" s="1131"/>
      <c r="M40" s="1134"/>
      <c r="N40" s="1134"/>
      <c r="O40" s="1135"/>
      <c r="P40" s="3386"/>
      <c r="Q40" s="1802">
        <f t="shared" si="14"/>
        <v>111</v>
      </c>
      <c r="R40" s="773" t="s">
        <v>17</v>
      </c>
      <c r="S40" s="774">
        <f t="shared" si="10"/>
        <v>100</v>
      </c>
      <c r="T40" s="773" t="s">
        <v>17</v>
      </c>
      <c r="U40" s="774">
        <f t="shared" si="11"/>
        <v>100</v>
      </c>
      <c r="V40" s="773" t="s">
        <v>17</v>
      </c>
      <c r="W40" s="774">
        <f t="shared" si="12"/>
        <v>100</v>
      </c>
      <c r="X40" s="775"/>
      <c r="Y40" s="3386"/>
      <c r="Z40" s="776">
        <f t="shared" si="13"/>
        <v>111</v>
      </c>
      <c r="AA40" s="1803">
        <f t="shared" si="3"/>
        <v>1</v>
      </c>
      <c r="AB40" s="1803">
        <f t="shared" si="4"/>
        <v>1</v>
      </c>
      <c r="AC40" s="1803">
        <f t="shared" si="5"/>
        <v>1</v>
      </c>
    </row>
    <row r="41" spans="1:29" ht="15">
      <c r="A41" s="475" t="s">
        <v>2707</v>
      </c>
      <c r="B41" s="2694" t="s">
        <v>2785</v>
      </c>
      <c r="C41" s="678" t="s">
        <v>1</v>
      </c>
      <c r="D41" s="477"/>
      <c r="E41" s="478"/>
      <c r="F41" s="479"/>
      <c r="G41" s="480"/>
      <c r="H41" s="481"/>
      <c r="I41" s="478"/>
      <c r="J41" s="481"/>
      <c r="K41" s="779"/>
      <c r="L41" s="1136"/>
      <c r="M41" s="1124"/>
      <c r="N41" s="1124"/>
      <c r="O41" s="1137"/>
      <c r="P41" s="3368" t="str">
        <f>A41</f>
        <v>成交单价</v>
      </c>
      <c r="Q41" s="3368"/>
      <c r="R41" s="3381">
        <f>E41</f>
        <v>0</v>
      </c>
      <c r="S41" s="3381"/>
      <c r="T41" s="3381">
        <f>G41</f>
        <v>0</v>
      </c>
      <c r="U41" s="3381"/>
      <c r="V41" s="3381">
        <f>I41</f>
        <v>0</v>
      </c>
      <c r="W41" s="3381"/>
      <c r="X41" s="755"/>
      <c r="Y41" s="777"/>
      <c r="Z41" s="755"/>
      <c r="AA41" s="755"/>
      <c r="AB41" s="755"/>
      <c r="AC41" s="755"/>
    </row>
    <row r="42" spans="1:29" ht="15.75" thickBot="1">
      <c r="A42" s="482" t="s">
        <v>2656</v>
      </c>
      <c r="B42" s="679"/>
      <c r="C42" s="486" t="e">
        <f>R43</f>
        <v>#DIV/0!</v>
      </c>
      <c r="D42" s="485"/>
      <c r="E42" s="486" t="e">
        <f>R42</f>
        <v>#DIV/0!</v>
      </c>
      <c r="F42" s="487"/>
      <c r="G42" s="484" t="e">
        <f>T42</f>
        <v>#DIV/0!</v>
      </c>
      <c r="H42" s="485"/>
      <c r="I42" s="486" t="e">
        <f>V42</f>
        <v>#DIV/0!</v>
      </c>
      <c r="J42" s="485"/>
      <c r="K42" s="780"/>
      <c r="L42" s="1136"/>
      <c r="M42" s="1124"/>
      <c r="N42" s="1124"/>
      <c r="O42" s="1137"/>
      <c r="P42" s="3368" t="str">
        <f>A42</f>
        <v>比较价值（元/平方米）</v>
      </c>
      <c r="Q42" s="3368"/>
      <c r="R42" s="3387" t="e">
        <f>ROUND(PRODUCT(R41,AA7:AA40),0)</f>
        <v>#DIV/0!</v>
      </c>
      <c r="S42" s="3387"/>
      <c r="T42" s="3387" t="e">
        <f>ROUND(PRODUCT(T41,AB7:AB40),0)</f>
        <v>#DIV/0!</v>
      </c>
      <c r="U42" s="3387"/>
      <c r="V42" s="3387" t="e">
        <f>ROUND(PRODUCT(V41,AC7:AC40),0)</f>
        <v>#DIV/0!</v>
      </c>
      <c r="W42" s="3387"/>
      <c r="X42" s="755"/>
      <c r="Y42" s="755"/>
      <c r="Z42" s="755"/>
      <c r="AA42" s="755"/>
      <c r="AB42" s="755"/>
      <c r="AC42" s="755"/>
    </row>
    <row r="43" spans="1:29" ht="15.75" thickBot="1">
      <c r="A43" s="488" t="s">
        <v>2657</v>
      </c>
      <c r="B43" s="489"/>
      <c r="C43" s="490" t="e">
        <f>R43</f>
        <v>#DIV/0!</v>
      </c>
      <c r="D43" s="490"/>
      <c r="E43" s="490"/>
      <c r="F43" s="490"/>
      <c r="G43" s="490"/>
      <c r="H43" s="490"/>
      <c r="I43" s="490"/>
      <c r="J43" s="490"/>
      <c r="K43" s="781"/>
      <c r="L43" s="1136"/>
      <c r="M43" s="1124"/>
      <c r="N43" s="1124"/>
      <c r="O43" s="1137"/>
      <c r="P43" s="3388" t="str">
        <f>A43</f>
        <v>估价对象XX用房的比较价值（楼面单价，元/平方米）</v>
      </c>
      <c r="Q43" s="3389"/>
      <c r="R43" s="3390" t="e">
        <f>ROUND(AVERAGE(R42:V42),0)</f>
        <v>#DIV/0!</v>
      </c>
      <c r="S43" s="3390"/>
      <c r="T43" s="3390"/>
      <c r="U43" s="3390"/>
      <c r="V43" s="3390"/>
      <c r="W43" s="3390"/>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3" t="s">
        <v>2658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8"/>
      <c r="L46" s="1099"/>
      <c r="M46" s="1124"/>
      <c r="N46" s="1124"/>
      <c r="O46" s="1137"/>
    </row>
    <row r="47" spans="1:29" ht="13.5" customHeight="1">
      <c r="A47" s="1137"/>
      <c r="B47" s="1137"/>
      <c r="C47" s="493" t="s">
        <v>2659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8"/>
      <c r="L47" s="1099"/>
      <c r="M47" s="1137"/>
      <c r="N47" s="1137"/>
      <c r="O47" s="1137"/>
    </row>
    <row r="48" spans="1:29" s="498" customFormat="1" ht="13.5" customHeight="1">
      <c r="A48" s="1138"/>
      <c r="B48" s="1138"/>
      <c r="C48" s="493" t="s">
        <v>2660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1"/>
      <c r="L48" s="1142"/>
      <c r="M48" s="1138"/>
      <c r="N48" s="1138"/>
      <c r="O48" s="1138"/>
    </row>
    <row r="49" spans="1:17" s="498" customFormat="1" ht="15" thickBot="1">
      <c r="A49" s="1138"/>
      <c r="B49" s="1139"/>
      <c r="C49" s="758"/>
      <c r="D49" s="756"/>
      <c r="E49" s="756"/>
      <c r="F49" s="756"/>
      <c r="G49" s="756"/>
      <c r="H49" s="756"/>
      <c r="I49" s="756"/>
      <c r="J49" s="756"/>
      <c r="K49" s="1141"/>
      <c r="L49" s="1142"/>
      <c r="M49" s="1138"/>
      <c r="N49" s="1138"/>
      <c r="O49" s="1138"/>
    </row>
    <row r="50" spans="1:17" ht="27">
      <c r="A50" s="680" t="s">
        <v>2744</v>
      </c>
      <c r="B50" s="681" t="s">
        <v>2745</v>
      </c>
      <c r="C50" s="2695" t="s">
        <v>2746</v>
      </c>
      <c r="D50" s="2696" t="s">
        <v>2747</v>
      </c>
      <c r="E50" s="682" t="s">
        <v>2748</v>
      </c>
      <c r="F50" s="683" t="s">
        <v>2749</v>
      </c>
      <c r="G50" s="3369" t="s">
        <v>2750</v>
      </c>
      <c r="H50" s="3391"/>
      <c r="I50" s="1806" t="s">
        <v>2786</v>
      </c>
      <c r="J50" s="1806" t="str">
        <f>项目基本情况!F35</f>
        <v>重庆市</v>
      </c>
      <c r="K50" s="2698" t="s">
        <v>2752</v>
      </c>
      <c r="L50" s="1099"/>
      <c r="M50" s="1137"/>
      <c r="N50" s="1137"/>
      <c r="O50" s="1137"/>
    </row>
    <row r="51" spans="1:17" s="688" customFormat="1">
      <c r="A51" s="684" t="s">
        <v>2753</v>
      </c>
      <c r="B51" s="685" t="e">
        <f>C43</f>
        <v>#DIV/0!</v>
      </c>
      <c r="C51" s="686">
        <v>1</v>
      </c>
      <c r="D51" s="1156">
        <v>1</v>
      </c>
      <c r="E51" s="686">
        <f>'数据-汇总表'!E8+'数据-汇总表'!E9</f>
        <v>212211.57</v>
      </c>
      <c r="F51" s="687" t="e">
        <f t="shared" ref="F51:F60" si="15">ROUND(B51*E51/10000,0)</f>
        <v>#DIV/0!</v>
      </c>
      <c r="G51" s="3392"/>
      <c r="H51" s="3368"/>
      <c r="I51" s="935">
        <v>1</v>
      </c>
      <c r="J51" s="935">
        <v>1</v>
      </c>
      <c r="K51" s="1138"/>
      <c r="L51" s="934"/>
      <c r="M51" s="934"/>
      <c r="N51" s="934"/>
      <c r="O51" s="934"/>
    </row>
    <row r="52" spans="1:17" s="688" customFormat="1">
      <c r="A52" s="689" t="s">
        <v>2754</v>
      </c>
      <c r="B52" s="258" t="e">
        <f>ROUND($C$43*C52*D52,0)</f>
        <v>#DIV/0!</v>
      </c>
      <c r="C52" s="196">
        <f t="shared" ref="C52:C60" si="16">IF($C$50="北京市系数",I52,J52)</f>
        <v>0</v>
      </c>
      <c r="D52" s="1157">
        <v>0.25</v>
      </c>
      <c r="E52" s="690"/>
      <c r="F52" s="687" t="e">
        <f t="shared" si="15"/>
        <v>#DIV/0!</v>
      </c>
      <c r="G52" s="3393" t="s">
        <v>2755</v>
      </c>
      <c r="H52" s="1097">
        <f>项目基本情况!B37</f>
        <v>0</v>
      </c>
      <c r="I52" s="935">
        <f>SUMIF(修正!A45:A56,H52,修正!B45:B56)</f>
        <v>0</v>
      </c>
      <c r="J52" s="936"/>
      <c r="K52" s="1137"/>
      <c r="L52" s="934"/>
      <c r="M52" s="934"/>
      <c r="N52" s="934"/>
      <c r="O52" s="934"/>
    </row>
    <row r="53" spans="1:17" s="688" customFormat="1">
      <c r="A53" s="689" t="s">
        <v>2756</v>
      </c>
      <c r="B53" s="258" t="e">
        <f t="shared" ref="B53:B60" si="17">ROUND($C$43*C53*D53,0)</f>
        <v>#DIV/0!</v>
      </c>
      <c r="C53" s="196">
        <f t="shared" si="16"/>
        <v>0</v>
      </c>
      <c r="D53" s="1157">
        <v>0.25</v>
      </c>
      <c r="E53" s="690"/>
      <c r="F53" s="687" t="e">
        <f t="shared" si="15"/>
        <v>#DIV/0!</v>
      </c>
      <c r="G53" s="3393"/>
      <c r="H53" s="1097">
        <f>项目基本情况!B37</f>
        <v>0</v>
      </c>
      <c r="I53" s="935">
        <f>SUMIF(修正!A45:A56,H53,修正!C45:C56)</f>
        <v>0</v>
      </c>
      <c r="J53" s="936"/>
      <c r="K53" s="1138"/>
      <c r="L53" s="934"/>
      <c r="M53" s="934"/>
      <c r="N53" s="934"/>
      <c r="O53" s="934"/>
    </row>
    <row r="54" spans="1:17" s="688" customFormat="1">
      <c r="A54" s="689" t="s">
        <v>2757</v>
      </c>
      <c r="B54" s="258" t="e">
        <f t="shared" si="17"/>
        <v>#DIV/0!</v>
      </c>
      <c r="C54" s="196">
        <f t="shared" si="16"/>
        <v>0</v>
      </c>
      <c r="D54" s="1157">
        <v>0.25</v>
      </c>
      <c r="E54" s="690"/>
      <c r="F54" s="687" t="e">
        <f t="shared" si="15"/>
        <v>#DIV/0!</v>
      </c>
      <c r="G54" s="3393"/>
      <c r="H54" s="1097">
        <f>项目基本情况!B37</f>
        <v>0</v>
      </c>
      <c r="I54" s="935">
        <f>SUMIF(修正!A45:A56,H54,修正!D45:D56)</f>
        <v>0</v>
      </c>
      <c r="J54" s="936"/>
      <c r="K54" s="1137"/>
      <c r="L54" s="934"/>
      <c r="M54" s="934"/>
      <c r="N54" s="934"/>
      <c r="O54" s="934"/>
    </row>
    <row r="55" spans="1:17" s="688" customFormat="1">
      <c r="A55" s="689" t="s">
        <v>2758</v>
      </c>
      <c r="B55" s="258" t="e">
        <f t="shared" si="17"/>
        <v>#DIV/0!</v>
      </c>
      <c r="C55" s="196">
        <f t="shared" si="16"/>
        <v>0</v>
      </c>
      <c r="D55" s="1157">
        <v>0.25</v>
      </c>
      <c r="E55" s="690"/>
      <c r="F55" s="687" t="e">
        <f t="shared" si="15"/>
        <v>#DIV/0!</v>
      </c>
      <c r="G55" s="3393"/>
      <c r="H55" s="1097">
        <f>项目基本情况!B37</f>
        <v>0</v>
      </c>
      <c r="I55" s="935">
        <f>SUMIF(修正!A45:A56,H55,修正!E45:E56)</f>
        <v>0</v>
      </c>
      <c r="J55" s="936"/>
      <c r="K55" s="1138"/>
      <c r="L55" s="934"/>
      <c r="M55" s="934"/>
      <c r="N55" s="934"/>
      <c r="O55" s="934"/>
    </row>
    <row r="56" spans="1:17" s="688" customFormat="1">
      <c r="A56" s="689" t="s">
        <v>2759</v>
      </c>
      <c r="B56" s="258" t="e">
        <f t="shared" si="17"/>
        <v>#DIV/0!</v>
      </c>
      <c r="C56" s="196">
        <f t="shared" si="16"/>
        <v>0</v>
      </c>
      <c r="D56" s="1157">
        <v>0.25</v>
      </c>
      <c r="E56" s="257">
        <f>'数据-汇总表'!E11</f>
        <v>0</v>
      </c>
      <c r="F56" s="687" t="e">
        <f t="shared" si="15"/>
        <v>#DIV/0!</v>
      </c>
      <c r="G56" s="2699" t="s">
        <v>2760</v>
      </c>
      <c r="H56" s="1097">
        <f>项目基本情况!C37</f>
        <v>0</v>
      </c>
      <c r="I56" s="935">
        <f>SUMIF(修正!A45:A56,H56,修正!F45:F56)</f>
        <v>0</v>
      </c>
      <c r="J56" s="936"/>
      <c r="K56" s="1137"/>
      <c r="L56" s="934"/>
      <c r="M56" s="934"/>
      <c r="N56" s="934"/>
      <c r="O56" s="934"/>
    </row>
    <row r="57" spans="1:17" s="688" customFormat="1">
      <c r="A57" s="689" t="s">
        <v>2761</v>
      </c>
      <c r="B57" s="258" t="e">
        <f t="shared" si="17"/>
        <v>#DIV/0!</v>
      </c>
      <c r="C57" s="196">
        <f t="shared" si="16"/>
        <v>0</v>
      </c>
      <c r="D57" s="1157">
        <v>0.25</v>
      </c>
      <c r="E57" s="257">
        <f>'数据-汇总表'!E12</f>
        <v>0</v>
      </c>
      <c r="F57" s="687"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8" customFormat="1">
      <c r="A58" s="689" t="s">
        <v>2763</v>
      </c>
      <c r="B58" s="258" t="e">
        <f t="shared" si="17"/>
        <v>#DIV/0!</v>
      </c>
      <c r="C58" s="196">
        <f t="shared" si="16"/>
        <v>0</v>
      </c>
      <c r="D58" s="1157">
        <v>0.25</v>
      </c>
      <c r="E58" s="257">
        <f>'数据-汇总表'!E13</f>
        <v>0</v>
      </c>
      <c r="F58" s="687"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8" customFormat="1">
      <c r="A59" s="689" t="s">
        <v>2765</v>
      </c>
      <c r="B59" s="258" t="e">
        <f t="shared" si="17"/>
        <v>#DIV/0!</v>
      </c>
      <c r="C59" s="196">
        <f t="shared" si="16"/>
        <v>0</v>
      </c>
      <c r="D59" s="1157">
        <v>0.25</v>
      </c>
      <c r="E59" s="257">
        <f>'数据-汇总表'!E14</f>
        <v>115386.06</v>
      </c>
      <c r="F59" s="687" t="e">
        <f t="shared" si="15"/>
        <v>#DIV/0!</v>
      </c>
      <c r="G59" s="2699" t="s">
        <v>2755</v>
      </c>
      <c r="H59" s="1097">
        <f>项目基本情况!B37</f>
        <v>0</v>
      </c>
      <c r="I59" s="935">
        <f>SUMIF(修正!A45:A56,H59,修正!H45:H56)</f>
        <v>0</v>
      </c>
      <c r="J59" s="936"/>
      <c r="K59" s="1138"/>
      <c r="L59" s="934"/>
      <c r="M59" s="934"/>
      <c r="N59" s="934"/>
      <c r="O59" s="934"/>
    </row>
    <row r="60" spans="1:17" s="688" customFormat="1" ht="15" thickBot="1">
      <c r="A60" s="689" t="s">
        <v>2766</v>
      </c>
      <c r="B60" s="258" t="e">
        <f t="shared" si="17"/>
        <v>#DIV/0!</v>
      </c>
      <c r="C60" s="196">
        <f t="shared" si="16"/>
        <v>0</v>
      </c>
      <c r="D60" s="1157">
        <v>0.25</v>
      </c>
      <c r="E60" s="257">
        <f>'数据-汇总表'!E15</f>
        <v>0</v>
      </c>
      <c r="F60" s="687" t="e">
        <f t="shared" si="15"/>
        <v>#DIV/0!</v>
      </c>
      <c r="G60" s="2700" t="s">
        <v>2760</v>
      </c>
      <c r="H60" s="1107">
        <f>项目基本情况!C37</f>
        <v>0</v>
      </c>
      <c r="I60" s="935">
        <f>SUMIF(修正!A45:A56,H60,修正!H45:H56)</f>
        <v>0</v>
      </c>
      <c r="J60" s="936"/>
      <c r="K60" s="1137"/>
      <c r="L60" s="934"/>
      <c r="M60" s="934"/>
      <c r="N60" s="934"/>
      <c r="O60" s="934"/>
    </row>
    <row r="61" spans="1:17" s="688" customFormat="1" ht="15" thickBot="1">
      <c r="A61" s="691" t="s">
        <v>2767</v>
      </c>
      <c r="B61" s="692" t="s">
        <v>28</v>
      </c>
      <c r="C61" s="692" t="s">
        <v>29</v>
      </c>
      <c r="D61" s="692" t="s">
        <v>1029</v>
      </c>
      <c r="E61" s="692">
        <f>IF(B41="楼面地价",SUM(E51:E60),'数据-汇总表'!D3)</f>
        <v>25136</v>
      </c>
      <c r="F61" s="693"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2018-8-1</v>
      </c>
      <c r="D63" s="757">
        <f>EDATE(C63,-3)</f>
        <v>43221</v>
      </c>
      <c r="E63" s="757">
        <f>EDATE(D63,-3)</f>
        <v>43132</v>
      </c>
      <c r="F63" s="757">
        <f t="shared" ref="F63:O63" si="18">EDATE(E63,-3)</f>
        <v>43040</v>
      </c>
      <c r="G63" s="757">
        <f t="shared" si="18"/>
        <v>42948</v>
      </c>
      <c r="H63" s="757">
        <f t="shared" si="18"/>
        <v>42856</v>
      </c>
      <c r="I63" s="757">
        <f t="shared" si="18"/>
        <v>42767</v>
      </c>
      <c r="J63" s="757">
        <f t="shared" si="18"/>
        <v>42675</v>
      </c>
      <c r="K63" s="757">
        <f t="shared" si="18"/>
        <v>42583</v>
      </c>
      <c r="L63" s="757">
        <f t="shared" si="18"/>
        <v>42491</v>
      </c>
      <c r="M63" s="757">
        <f t="shared" si="18"/>
        <v>42401</v>
      </c>
      <c r="N63" s="757">
        <f t="shared" si="18"/>
        <v>42309</v>
      </c>
      <c r="O63" s="757">
        <f t="shared" si="18"/>
        <v>42217</v>
      </c>
    </row>
    <row r="64" spans="1:17" ht="21.75" thickBot="1">
      <c r="A64" s="759" t="s">
        <v>2661</v>
      </c>
      <c r="B64" s="755"/>
      <c r="C64" s="760"/>
      <c r="D64" s="760"/>
      <c r="E64" s="760"/>
      <c r="F64" s="761"/>
      <c r="G64" s="761"/>
      <c r="H64" s="760"/>
      <c r="I64" s="760"/>
      <c r="J64" s="760"/>
      <c r="K64" s="762"/>
      <c r="L64" s="763"/>
      <c r="M64" s="760"/>
      <c r="N64" s="760"/>
      <c r="O64" s="1152"/>
      <c r="P64" s="499"/>
      <c r="Q64" s="500"/>
    </row>
    <row r="65" spans="1:17" s="504" customFormat="1" ht="15">
      <c r="A65" s="2701" t="s">
        <v>2768</v>
      </c>
      <c r="B65" s="1352"/>
      <c r="C65" s="1564" t="str">
        <f>YEAR(C63)&amp;"-"&amp;ROUNDUP(MONTH(C63)/3,0)</f>
        <v>2018-3</v>
      </c>
      <c r="D65" s="1564" t="str">
        <f t="shared" ref="D65:O65" si="19">YEAR(D63)&amp;"-"&amp;ROUNDUP(MONTH(D63)/3,0)</f>
        <v>2018-2</v>
      </c>
      <c r="E65" s="1564" t="str">
        <f t="shared" si="19"/>
        <v>2018-1</v>
      </c>
      <c r="F65" s="1564" t="str">
        <f t="shared" si="19"/>
        <v>2017-4</v>
      </c>
      <c r="G65" s="1564" t="str">
        <f t="shared" si="19"/>
        <v>2017-3</v>
      </c>
      <c r="H65" s="1564" t="str">
        <f t="shared" si="19"/>
        <v>2017-2</v>
      </c>
      <c r="I65" s="1564" t="str">
        <f t="shared" si="19"/>
        <v>2017-1</v>
      </c>
      <c r="J65" s="1564" t="str">
        <f t="shared" si="19"/>
        <v>2016-4</v>
      </c>
      <c r="K65" s="1564" t="str">
        <f t="shared" si="19"/>
        <v>2016-3</v>
      </c>
      <c r="L65" s="1564" t="str">
        <f t="shared" si="19"/>
        <v>2016-2</v>
      </c>
      <c r="M65" s="1564" t="str">
        <f t="shared" si="19"/>
        <v>2016-1</v>
      </c>
      <c r="N65" s="1564" t="str">
        <f t="shared" si="19"/>
        <v>2015-4</v>
      </c>
      <c r="O65" s="1564" t="str">
        <f t="shared" si="19"/>
        <v>2015-3</v>
      </c>
      <c r="P65" s="503"/>
    </row>
    <row r="66" spans="1:17" s="116" customFormat="1" ht="30.75" customHeight="1">
      <c r="A66" s="2706" t="s">
        <v>2787</v>
      </c>
      <c r="B66" s="328" t="str">
        <f>"北京市平均增长率"&amp;TEXT(基准地价修正!P24,"0.00%")</f>
        <v>北京市平均增长率1.41%</v>
      </c>
      <c r="C66" s="599">
        <v>100</v>
      </c>
      <c r="D66" s="591"/>
      <c r="E66" s="591"/>
      <c r="F66" s="591"/>
      <c r="G66" s="591"/>
      <c r="H66" s="591"/>
      <c r="I66" s="591"/>
      <c r="J66" s="591"/>
      <c r="K66" s="591"/>
      <c r="L66" s="591"/>
      <c r="M66" s="1560"/>
      <c r="N66" s="1560"/>
      <c r="O66" s="1561"/>
      <c r="P66" s="500"/>
    </row>
    <row r="67" spans="1:17" s="116" customFormat="1" ht="15.75" thickBot="1">
      <c r="A67" s="511" t="s">
        <v>2572</v>
      </c>
      <c r="B67" s="512"/>
      <c r="C67" s="513"/>
      <c r="D67" s="514"/>
      <c r="E67" s="514"/>
      <c r="F67" s="514"/>
      <c r="G67" s="514"/>
      <c r="H67" s="514"/>
      <c r="I67" s="514"/>
      <c r="J67" s="514"/>
      <c r="K67" s="514"/>
      <c r="L67" s="514"/>
      <c r="M67" s="515"/>
      <c r="N67" s="515"/>
      <c r="O67" s="516"/>
      <c r="P67" s="500"/>
      <c r="Q67" s="500"/>
    </row>
    <row r="68" spans="1:17" s="116" customFormat="1" ht="15">
      <c r="A68" s="517" t="s">
        <v>2537</v>
      </c>
      <c r="B68" s="506"/>
      <c r="C68" s="518" t="s">
        <v>2639</v>
      </c>
      <c r="D68" s="519"/>
      <c r="E68" s="519"/>
      <c r="F68" s="519"/>
      <c r="G68" s="519"/>
      <c r="H68" s="519"/>
      <c r="I68" s="519"/>
      <c r="J68" s="519"/>
      <c r="K68" s="519"/>
      <c r="L68" s="520"/>
      <c r="M68" s="521"/>
      <c r="N68" s="1144"/>
      <c r="O68" s="1144"/>
      <c r="P68" s="522"/>
      <c r="Q68" s="500"/>
    </row>
    <row r="69" spans="1:17" s="116" customFormat="1" ht="15.75" thickBot="1">
      <c r="A69" s="517"/>
      <c r="B69" s="506"/>
      <c r="C69" s="635">
        <v>100</v>
      </c>
      <c r="D69" s="508"/>
      <c r="E69" s="508"/>
      <c r="F69" s="508"/>
      <c r="G69" s="508"/>
      <c r="H69" s="508"/>
      <c r="I69" s="508"/>
      <c r="J69" s="508"/>
      <c r="K69" s="508"/>
      <c r="L69" s="508"/>
      <c r="M69" s="510"/>
      <c r="N69" s="1144"/>
      <c r="O69" s="1144"/>
      <c r="P69" s="500"/>
      <c r="Q69" s="500"/>
    </row>
    <row r="70" spans="1:17">
      <c r="A70" s="523" t="s">
        <v>2575</v>
      </c>
      <c r="B70" s="524" t="s">
        <v>2541</v>
      </c>
      <c r="C70" s="526"/>
      <c r="D70" s="526"/>
      <c r="E70" s="526"/>
      <c r="F70" s="526"/>
      <c r="G70" s="526"/>
      <c r="H70" s="526"/>
      <c r="I70" s="526"/>
      <c r="J70" s="526"/>
      <c r="K70" s="527"/>
      <c r="L70" s="528"/>
      <c r="M70" s="529"/>
      <c r="N70" s="1145"/>
      <c r="O70" s="1145"/>
      <c r="P70" s="45"/>
      <c r="Q70" s="500"/>
    </row>
    <row r="71" spans="1:17" ht="15.75" thickBot="1">
      <c r="A71" s="530"/>
      <c r="B71" s="531"/>
      <c r="C71" s="532"/>
      <c r="D71" s="532"/>
      <c r="E71" s="532"/>
      <c r="F71" s="532"/>
      <c r="G71" s="532"/>
      <c r="H71" s="532"/>
      <c r="I71" s="532"/>
      <c r="J71" s="532"/>
      <c r="K71" s="532"/>
      <c r="L71" s="532"/>
      <c r="M71" s="533"/>
      <c r="N71" s="1146"/>
      <c r="O71" s="1146"/>
      <c r="P71" s="45"/>
      <c r="Q71" s="500"/>
    </row>
    <row r="72" spans="1:17" ht="27.75" thickTop="1">
      <c r="A72" s="530"/>
      <c r="B72" s="534" t="s">
        <v>2544</v>
      </c>
      <c r="C72" s="535"/>
      <c r="D72" s="535"/>
      <c r="E72" s="535"/>
      <c r="F72" s="535"/>
      <c r="G72" s="535"/>
      <c r="H72" s="535"/>
      <c r="I72" s="535"/>
      <c r="J72" s="535"/>
      <c r="K72" s="536"/>
      <c r="L72" s="537"/>
      <c r="M72" s="538"/>
      <c r="N72" s="1145"/>
      <c r="O72" s="1145"/>
      <c r="P72" s="45"/>
      <c r="Q72" s="500"/>
    </row>
    <row r="73" spans="1:17" ht="15.75" thickBot="1">
      <c r="A73" s="530"/>
      <c r="B73" s="539"/>
      <c r="C73" s="540"/>
      <c r="D73" s="540"/>
      <c r="E73" s="540"/>
      <c r="F73" s="540"/>
      <c r="G73" s="540"/>
      <c r="H73" s="540"/>
      <c r="I73" s="540"/>
      <c r="J73" s="540"/>
      <c r="K73" s="540"/>
      <c r="L73" s="540"/>
      <c r="M73" s="541"/>
      <c r="N73" s="1146"/>
      <c r="O73" s="1146"/>
      <c r="P73" s="45"/>
      <c r="Q73" s="500"/>
    </row>
    <row r="74" spans="1:17" ht="15.75" thickTop="1">
      <c r="A74" s="530"/>
      <c r="B74" s="542" t="s">
        <v>2545</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6"/>
      <c r="O74" s="1146"/>
      <c r="P74" s="45"/>
      <c r="Q74" s="500"/>
    </row>
    <row r="75" spans="1:17" ht="15">
      <c r="A75" s="530"/>
      <c r="B75" s="544"/>
      <c r="C75" s="545"/>
      <c r="D75" s="545"/>
      <c r="E75" s="545"/>
      <c r="F75" s="545"/>
      <c r="G75" s="545"/>
      <c r="H75" s="545"/>
      <c r="I75" s="545"/>
      <c r="J75" s="545"/>
      <c r="K75" s="546"/>
      <c r="L75" s="547"/>
      <c r="M75" s="548"/>
      <c r="N75" s="1145"/>
      <c r="O75" s="1145"/>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6"/>
      <c r="O76" s="1146"/>
      <c r="P76" s="45"/>
      <c r="Q76" s="500"/>
    </row>
    <row r="77" spans="1:17" s="467" customFormat="1" ht="15.75" thickTop="1">
      <c r="A77" s="549"/>
      <c r="B77" s="534">
        <f>B12</f>
        <v>111</v>
      </c>
      <c r="C77" s="550"/>
      <c r="D77" s="550"/>
      <c r="E77" s="550"/>
      <c r="F77" s="550"/>
      <c r="G77" s="550"/>
      <c r="H77" s="551"/>
      <c r="I77" s="551"/>
      <c r="J77" s="551"/>
      <c r="K77" s="551"/>
      <c r="L77" s="552"/>
      <c r="M77" s="553"/>
      <c r="N77" s="1147"/>
      <c r="O77" s="1147"/>
      <c r="P77" s="554"/>
      <c r="Q77" s="555"/>
    </row>
    <row r="78" spans="1:17" s="467" customFormat="1" ht="15.75" thickBot="1">
      <c r="A78" s="549"/>
      <c r="B78" s="539"/>
      <c r="C78" s="556"/>
      <c r="D78" s="532"/>
      <c r="E78" s="532"/>
      <c r="F78" s="532"/>
      <c r="G78" s="532"/>
      <c r="H78" s="532"/>
      <c r="I78" s="532"/>
      <c r="J78" s="532"/>
      <c r="K78" s="532"/>
      <c r="L78" s="532"/>
      <c r="M78" s="533"/>
      <c r="N78" s="1146"/>
      <c r="O78" s="1146"/>
      <c r="P78" s="554"/>
      <c r="Q78" s="555"/>
    </row>
    <row r="79" spans="1:17" s="467" customFormat="1" ht="15.75" thickTop="1">
      <c r="A79" s="549"/>
      <c r="B79" s="534">
        <f>B13</f>
        <v>111</v>
      </c>
      <c r="C79" s="550"/>
      <c r="D79" s="550"/>
      <c r="E79" s="550"/>
      <c r="F79" s="550"/>
      <c r="G79" s="550"/>
      <c r="H79" s="551"/>
      <c r="I79" s="551"/>
      <c r="J79" s="551"/>
      <c r="K79" s="551"/>
      <c r="L79" s="552"/>
      <c r="M79" s="553"/>
      <c r="N79" s="1147"/>
      <c r="O79" s="1147"/>
      <c r="P79" s="466"/>
      <c r="Q79" s="557"/>
    </row>
    <row r="80" spans="1:17" s="467" customFormat="1" ht="15.75" thickBot="1">
      <c r="A80" s="549"/>
      <c r="B80" s="539"/>
      <c r="C80" s="556"/>
      <c r="D80" s="556"/>
      <c r="E80" s="556"/>
      <c r="F80" s="556"/>
      <c r="G80" s="556"/>
      <c r="H80" s="558"/>
      <c r="I80" s="558"/>
      <c r="J80" s="558"/>
      <c r="K80" s="558"/>
      <c r="L80" s="558"/>
      <c r="M80" s="559"/>
      <c r="N80" s="1147"/>
      <c r="O80" s="1147"/>
      <c r="P80" s="554"/>
      <c r="Q80" s="555"/>
    </row>
    <row r="81" spans="1:17" s="467" customFormat="1" ht="15.75" thickTop="1">
      <c r="A81" s="549"/>
      <c r="B81" s="542">
        <f>B14</f>
        <v>111</v>
      </c>
      <c r="C81" s="519"/>
      <c r="D81" s="519"/>
      <c r="E81" s="519"/>
      <c r="F81" s="519"/>
      <c r="G81" s="519"/>
      <c r="H81" s="560"/>
      <c r="I81" s="560"/>
      <c r="J81" s="560"/>
      <c r="K81" s="560"/>
      <c r="L81" s="561"/>
      <c r="M81" s="562"/>
      <c r="N81" s="1147"/>
      <c r="O81" s="1147"/>
      <c r="P81" s="563"/>
      <c r="Q81" s="555"/>
    </row>
    <row r="82" spans="1:17" s="467" customFormat="1" ht="15.75" thickBot="1">
      <c r="A82" s="564"/>
      <c r="B82" s="565"/>
      <c r="C82" s="566"/>
      <c r="D82" s="566"/>
      <c r="E82" s="566"/>
      <c r="F82" s="566"/>
      <c r="G82" s="566"/>
      <c r="H82" s="567"/>
      <c r="I82" s="567"/>
      <c r="J82" s="567"/>
      <c r="K82" s="567"/>
      <c r="L82" s="567"/>
      <c r="M82" s="568"/>
      <c r="N82" s="1147"/>
      <c r="O82" s="1147"/>
      <c r="P82" s="554"/>
      <c r="Q82" s="555"/>
    </row>
    <row r="83" spans="1:17">
      <c r="A83" s="523" t="s">
        <v>2546</v>
      </c>
      <c r="B83" s="524" t="s">
        <v>2692</v>
      </c>
      <c r="C83" s="569" t="s">
        <v>2584</v>
      </c>
      <c r="D83" s="569" t="s">
        <v>2585</v>
      </c>
      <c r="E83" s="569" t="s">
        <v>2586</v>
      </c>
      <c r="F83" s="569" t="s">
        <v>2587</v>
      </c>
      <c r="G83" s="569" t="s">
        <v>2588</v>
      </c>
      <c r="H83" s="525"/>
      <c r="I83" s="525"/>
      <c r="J83" s="525"/>
      <c r="K83" s="570"/>
      <c r="L83" s="571"/>
      <c r="M83" s="572"/>
      <c r="N83" s="1145"/>
      <c r="O83" s="1145"/>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6"/>
      <c r="O84" s="1146"/>
      <c r="P84" s="45"/>
      <c r="Q84" s="500"/>
    </row>
    <row r="85" spans="1:17" ht="15.75" thickTop="1">
      <c r="A85" s="530"/>
      <c r="B85" s="534" t="s">
        <v>2589</v>
      </c>
      <c r="C85" s="574" t="s">
        <v>2584</v>
      </c>
      <c r="D85" s="574" t="s">
        <v>2585</v>
      </c>
      <c r="E85" s="574" t="s">
        <v>2586</v>
      </c>
      <c r="F85" s="574" t="s">
        <v>2587</v>
      </c>
      <c r="G85" s="574" t="s">
        <v>2588</v>
      </c>
      <c r="H85" s="535"/>
      <c r="I85" s="535"/>
      <c r="J85" s="535"/>
      <c r="K85" s="536"/>
      <c r="L85" s="537"/>
      <c r="M85" s="538"/>
      <c r="N85" s="1145"/>
      <c r="O85" s="1145"/>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6"/>
      <c r="O86" s="1146"/>
      <c r="P86" s="45"/>
      <c r="Q86" s="500"/>
    </row>
    <row r="87" spans="1:17" s="116" customFormat="1" ht="15.75" thickTop="1">
      <c r="A87" s="575"/>
      <c r="B87" s="534" t="s">
        <v>2770</v>
      </c>
      <c r="C87" s="569" t="s">
        <v>2584</v>
      </c>
      <c r="D87" s="569" t="s">
        <v>2585</v>
      </c>
      <c r="E87" s="569" t="s">
        <v>2586</v>
      </c>
      <c r="F87" s="569" t="s">
        <v>2587</v>
      </c>
      <c r="G87" s="569" t="s">
        <v>2588</v>
      </c>
      <c r="H87" s="574"/>
      <c r="I87" s="574"/>
      <c r="J87" s="574"/>
      <c r="K87" s="574"/>
      <c r="L87" s="694"/>
      <c r="M87" s="618"/>
      <c r="N87" s="1144"/>
      <c r="O87" s="1144"/>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46"/>
      <c r="O88" s="1146"/>
      <c r="P88" s="45"/>
      <c r="Q88" s="500"/>
    </row>
    <row r="89" spans="1:17" s="116" customFormat="1" ht="27.75" thickTop="1">
      <c r="A89" s="575"/>
      <c r="B89" s="534" t="s">
        <v>2771</v>
      </c>
      <c r="C89" s="569" t="s">
        <v>2584</v>
      </c>
      <c r="D89" s="569" t="s">
        <v>2585</v>
      </c>
      <c r="E89" s="569" t="s">
        <v>2586</v>
      </c>
      <c r="F89" s="569" t="s">
        <v>2587</v>
      </c>
      <c r="G89" s="569" t="s">
        <v>2588</v>
      </c>
      <c r="H89" s="574"/>
      <c r="I89" s="574"/>
      <c r="J89" s="574"/>
      <c r="K89" s="574"/>
      <c r="L89" s="574"/>
      <c r="M89" s="618"/>
      <c r="N89" s="1144"/>
      <c r="O89" s="1144"/>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46"/>
      <c r="O90" s="1146"/>
      <c r="P90" s="45"/>
      <c r="Q90" s="500"/>
    </row>
    <row r="91" spans="1:17" s="467" customFormat="1" ht="15.75" thickTop="1">
      <c r="A91" s="549"/>
      <c r="B91" s="534" t="s">
        <v>2641</v>
      </c>
      <c r="C91" s="569" t="s">
        <v>2584</v>
      </c>
      <c r="D91" s="569" t="s">
        <v>2585</v>
      </c>
      <c r="E91" s="569" t="s">
        <v>2586</v>
      </c>
      <c r="F91" s="569" t="s">
        <v>2587</v>
      </c>
      <c r="G91" s="569" t="s">
        <v>2588</v>
      </c>
      <c r="H91" s="596"/>
      <c r="I91" s="596"/>
      <c r="J91" s="596"/>
      <c r="K91" s="596"/>
      <c r="L91" s="597"/>
      <c r="M91" s="598"/>
      <c r="N91" s="1147"/>
      <c r="O91" s="1147"/>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47"/>
      <c r="O92" s="1147"/>
      <c r="P92" s="554"/>
      <c r="Q92" s="555"/>
    </row>
    <row r="93" spans="1:17" s="467" customFormat="1" ht="15.75" thickTop="1">
      <c r="A93" s="549"/>
      <c r="B93" s="542" t="s">
        <v>2788</v>
      </c>
      <c r="C93" s="656" t="s">
        <v>2662</v>
      </c>
      <c r="D93" s="656" t="s">
        <v>2663</v>
      </c>
      <c r="E93" s="656" t="s">
        <v>2664</v>
      </c>
      <c r="F93" s="656" t="s">
        <v>2665</v>
      </c>
      <c r="G93" s="656" t="s">
        <v>2666</v>
      </c>
      <c r="H93" s="596"/>
      <c r="I93" s="596"/>
      <c r="J93" s="596"/>
      <c r="K93" s="596"/>
      <c r="L93" s="596"/>
      <c r="M93" s="598"/>
      <c r="N93" s="1147"/>
      <c r="O93" s="1147"/>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78"/>
      <c r="N94" s="1147"/>
      <c r="O94" s="1147"/>
      <c r="P94" s="554"/>
      <c r="Q94" s="555"/>
    </row>
    <row r="95" spans="1:17" ht="15.75" thickTop="1">
      <c r="A95" s="530"/>
      <c r="B95" s="534" t="str">
        <f>B27</f>
        <v>临街状况</v>
      </c>
      <c r="C95" s="535" t="s">
        <v>2772</v>
      </c>
      <c r="D95" s="535" t="s">
        <v>2773</v>
      </c>
      <c r="E95" s="535" t="s">
        <v>2774</v>
      </c>
      <c r="F95" s="535" t="s">
        <v>2775</v>
      </c>
      <c r="G95" s="535"/>
      <c r="H95" s="535"/>
      <c r="I95" s="535"/>
      <c r="J95" s="535"/>
      <c r="K95" s="536"/>
      <c r="L95" s="537"/>
      <c r="M95" s="538"/>
      <c r="N95" s="1145"/>
      <c r="O95" s="1145"/>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6"/>
      <c r="O96" s="1146"/>
      <c r="P96" s="45"/>
      <c r="Q96" s="500"/>
    </row>
    <row r="97" spans="1:17" ht="27.75" thickTop="1">
      <c r="A97" s="530"/>
      <c r="B97" s="534" t="s">
        <v>2678</v>
      </c>
      <c r="C97" s="550"/>
      <c r="D97" s="550"/>
      <c r="E97" s="550"/>
      <c r="F97" s="550"/>
      <c r="G97" s="550"/>
      <c r="H97" s="579"/>
      <c r="I97" s="579"/>
      <c r="J97" s="579"/>
      <c r="K97" s="580"/>
      <c r="L97" s="581"/>
      <c r="M97" s="582"/>
      <c r="N97" s="1145"/>
      <c r="O97" s="1145"/>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6"/>
      <c r="O98" s="1146"/>
      <c r="P98" s="45"/>
      <c r="Q98" s="500"/>
    </row>
    <row r="99" spans="1:17" ht="15.75" thickTop="1">
      <c r="A99" s="530"/>
      <c r="B99" s="534" t="s">
        <v>2736</v>
      </c>
      <c r="C99" s="579"/>
      <c r="D99" s="579"/>
      <c r="E99" s="579"/>
      <c r="F99" s="579"/>
      <c r="G99" s="579"/>
      <c r="H99" s="579"/>
      <c r="I99" s="579"/>
      <c r="J99" s="579"/>
      <c r="K99" s="580"/>
      <c r="L99" s="581"/>
      <c r="M99" s="582"/>
      <c r="N99" s="1145"/>
      <c r="O99" s="1145"/>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6"/>
      <c r="O100" s="1146"/>
      <c r="P100" s="45"/>
      <c r="Q100" s="500"/>
    </row>
    <row r="101" spans="1:17" ht="15.75" thickTop="1">
      <c r="A101" s="530"/>
      <c r="B101" s="542">
        <f>B31</f>
        <v>111</v>
      </c>
      <c r="C101" s="550"/>
      <c r="D101" s="550"/>
      <c r="E101" s="550"/>
      <c r="F101" s="550"/>
      <c r="G101" s="583"/>
      <c r="H101" s="583"/>
      <c r="I101" s="583"/>
      <c r="J101" s="583"/>
      <c r="K101" s="584"/>
      <c r="L101" s="585"/>
      <c r="M101" s="586"/>
      <c r="N101" s="1145"/>
      <c r="O101" s="1145"/>
      <c r="P101" s="45"/>
      <c r="Q101" s="500"/>
    </row>
    <row r="102" spans="1:17" ht="15.75" thickBot="1">
      <c r="A102" s="530"/>
      <c r="B102" s="565"/>
      <c r="C102" s="556"/>
      <c r="D102" s="532"/>
      <c r="E102" s="532"/>
      <c r="F102" s="532"/>
      <c r="G102" s="587"/>
      <c r="H102" s="587"/>
      <c r="I102" s="587"/>
      <c r="J102" s="587"/>
      <c r="K102" s="587"/>
      <c r="L102" s="587"/>
      <c r="M102" s="588"/>
      <c r="N102" s="1146"/>
      <c r="O102" s="1146"/>
      <c r="P102" s="45"/>
      <c r="Q102" s="500"/>
    </row>
    <row r="103" spans="1:17" ht="15" thickTop="1">
      <c r="A103" s="671"/>
      <c r="B103" s="534">
        <f>B32</f>
        <v>111</v>
      </c>
      <c r="C103" s="550"/>
      <c r="D103" s="550"/>
      <c r="E103" s="550"/>
      <c r="F103" s="550"/>
      <c r="G103" s="579"/>
      <c r="H103" s="579"/>
      <c r="I103" s="579"/>
      <c r="J103" s="579"/>
      <c r="K103" s="580"/>
      <c r="L103" s="581"/>
      <c r="M103" s="582"/>
      <c r="N103" s="1145"/>
      <c r="O103" s="1145"/>
      <c r="P103" s="45"/>
      <c r="Q103" s="500"/>
    </row>
    <row r="104" spans="1:17" ht="15.75" thickBot="1">
      <c r="A104" s="530"/>
      <c r="B104" s="539"/>
      <c r="C104" s="556"/>
      <c r="D104" s="556"/>
      <c r="E104" s="556"/>
      <c r="F104" s="556"/>
      <c r="G104" s="532"/>
      <c r="H104" s="532"/>
      <c r="I104" s="532"/>
      <c r="J104" s="532"/>
      <c r="K104" s="532"/>
      <c r="L104" s="532"/>
      <c r="M104" s="533"/>
      <c r="N104" s="1146"/>
      <c r="O104" s="1146"/>
      <c r="P104" s="45"/>
      <c r="Q104" s="500"/>
    </row>
    <row r="105" spans="1:17" s="467" customFormat="1" ht="15" thickTop="1">
      <c r="A105" s="589"/>
      <c r="B105" s="590">
        <f>B33</f>
        <v>111</v>
      </c>
      <c r="C105" s="519"/>
      <c r="D105" s="519"/>
      <c r="E105" s="519"/>
      <c r="F105" s="519"/>
      <c r="G105" s="591"/>
      <c r="H105" s="591"/>
      <c r="I105" s="591"/>
      <c r="J105" s="592"/>
      <c r="K105" s="592"/>
      <c r="L105" s="593"/>
      <c r="M105" s="594"/>
      <c r="N105" s="1147"/>
      <c r="O105" s="1147"/>
      <c r="P105" s="554"/>
      <c r="Q105" s="555"/>
    </row>
    <row r="106" spans="1:17" s="467" customFormat="1" ht="15.75" thickBot="1">
      <c r="A106" s="549"/>
      <c r="B106" s="542"/>
      <c r="C106" s="566"/>
      <c r="D106" s="566"/>
      <c r="E106" s="566"/>
      <c r="F106" s="566"/>
      <c r="G106" s="673"/>
      <c r="H106" s="673"/>
      <c r="I106" s="673"/>
      <c r="J106" s="673"/>
      <c r="K106" s="673"/>
      <c r="L106" s="673"/>
      <c r="M106" s="695"/>
      <c r="N106" s="1146"/>
      <c r="O106" s="1146"/>
      <c r="P106" s="554"/>
      <c r="Q106" s="555"/>
    </row>
    <row r="107" spans="1:17">
      <c r="A107" s="523" t="s">
        <v>2550</v>
      </c>
      <c r="B107" s="524" t="s">
        <v>2776</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58" t="str">
        <f t="shared" si="25"/>
        <v>(含)-</v>
      </c>
      <c r="L107" s="1758" t="str">
        <f t="shared" si="25"/>
        <v>(含)-</v>
      </c>
      <c r="M107" s="1759" t="str">
        <f>M108&amp;"(含)"&amp;"-"&amp;P108</f>
        <v>(含)-</v>
      </c>
      <c r="N107" s="1145"/>
      <c r="O107" s="1145"/>
      <c r="P107" s="45"/>
      <c r="Q107" s="500"/>
    </row>
    <row r="108" spans="1:17" ht="15">
      <c r="A108" s="530"/>
      <c r="B108" s="542"/>
      <c r="C108" s="591"/>
      <c r="D108" s="591"/>
      <c r="E108" s="591"/>
      <c r="F108" s="591"/>
      <c r="G108" s="591"/>
      <c r="H108" s="591"/>
      <c r="I108" s="591"/>
      <c r="J108" s="592"/>
      <c r="K108" s="592"/>
      <c r="L108" s="593"/>
      <c r="M108" s="594"/>
      <c r="N108" s="1145"/>
      <c r="O108" s="1145"/>
      <c r="P108" s="45"/>
      <c r="Q108" s="500"/>
    </row>
    <row r="109" spans="1:17" ht="15.75" thickBot="1">
      <c r="A109" s="530"/>
      <c r="B109" s="539"/>
      <c r="C109" s="566"/>
      <c r="D109" s="587"/>
      <c r="E109" s="587"/>
      <c r="F109" s="587"/>
      <c r="G109" s="587"/>
      <c r="H109" s="587"/>
      <c r="I109" s="587"/>
      <c r="J109" s="587"/>
      <c r="K109" s="587"/>
      <c r="L109" s="587"/>
      <c r="M109" s="588"/>
      <c r="N109" s="1146"/>
      <c r="O109" s="1146"/>
      <c r="P109" s="45"/>
      <c r="Q109" s="500"/>
    </row>
    <row r="110" spans="1:17" ht="15" thickTop="1">
      <c r="A110" s="595"/>
      <c r="B110" s="534" t="s">
        <v>2777</v>
      </c>
      <c r="C110" s="579"/>
      <c r="D110" s="579"/>
      <c r="E110" s="579"/>
      <c r="F110" s="579"/>
      <c r="G110" s="579"/>
      <c r="H110" s="579"/>
      <c r="I110" s="579"/>
      <c r="J110" s="579"/>
      <c r="K110" s="580"/>
      <c r="L110" s="581"/>
      <c r="M110" s="582"/>
      <c r="N110" s="1145"/>
      <c r="O110" s="1145"/>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6"/>
      <c r="O111" s="1146"/>
      <c r="P111" s="45"/>
      <c r="Q111" s="500"/>
    </row>
    <row r="112" spans="1:17" s="467" customFormat="1" ht="15" thickTop="1">
      <c r="A112" s="589"/>
      <c r="B112" s="534" t="s">
        <v>2779</v>
      </c>
      <c r="C112" s="550"/>
      <c r="D112" s="550"/>
      <c r="E112" s="550"/>
      <c r="F112" s="550"/>
      <c r="G112" s="550"/>
      <c r="H112" s="579"/>
      <c r="I112" s="579"/>
      <c r="J112" s="579"/>
      <c r="K112" s="580"/>
      <c r="L112" s="581"/>
      <c r="M112" s="582"/>
      <c r="N112" s="1147"/>
      <c r="O112" s="1147"/>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47"/>
      <c r="O113" s="1147"/>
      <c r="P113" s="554"/>
      <c r="Q113" s="555"/>
    </row>
    <row r="114" spans="1:17" ht="15" thickTop="1">
      <c r="A114" s="595"/>
      <c r="B114" s="534" t="s">
        <v>2780</v>
      </c>
      <c r="C114" s="550"/>
      <c r="D114" s="550"/>
      <c r="E114" s="579"/>
      <c r="F114" s="579"/>
      <c r="G114" s="579"/>
      <c r="H114" s="579"/>
      <c r="I114" s="579"/>
      <c r="J114" s="579"/>
      <c r="K114" s="580"/>
      <c r="L114" s="581"/>
      <c r="M114" s="582"/>
      <c r="N114" s="1145"/>
      <c r="O114" s="1145"/>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6"/>
      <c r="O115" s="1146"/>
      <c r="P115" s="45"/>
      <c r="Q115" s="500"/>
    </row>
    <row r="116" spans="1:17" ht="15" thickTop="1">
      <c r="A116" s="595"/>
      <c r="B116" s="534">
        <f>B38</f>
        <v>111</v>
      </c>
      <c r="C116" s="550"/>
      <c r="D116" s="550"/>
      <c r="E116" s="550"/>
      <c r="F116" s="550"/>
      <c r="G116" s="550"/>
      <c r="H116" s="579"/>
      <c r="I116" s="579"/>
      <c r="J116" s="579"/>
      <c r="K116" s="580"/>
      <c r="L116" s="581"/>
      <c r="M116" s="582"/>
      <c r="N116" s="1145"/>
      <c r="O116" s="1145"/>
      <c r="P116" s="45"/>
      <c r="Q116" s="500"/>
    </row>
    <row r="117" spans="1:17" ht="15.75" thickBot="1">
      <c r="A117" s="530"/>
      <c r="B117" s="539"/>
      <c r="C117" s="556"/>
      <c r="D117" s="532"/>
      <c r="E117" s="532"/>
      <c r="F117" s="532"/>
      <c r="G117" s="532"/>
      <c r="H117" s="532"/>
      <c r="I117" s="532"/>
      <c r="J117" s="532"/>
      <c r="K117" s="532"/>
      <c r="L117" s="532"/>
      <c r="M117" s="533"/>
      <c r="N117" s="1146"/>
      <c r="O117" s="1146"/>
      <c r="P117" s="45"/>
      <c r="Q117" s="500"/>
    </row>
    <row r="118" spans="1:17" ht="15" thickTop="1">
      <c r="A118" s="595"/>
      <c r="B118" s="534">
        <f>B39</f>
        <v>111</v>
      </c>
      <c r="C118" s="550"/>
      <c r="D118" s="550"/>
      <c r="E118" s="550"/>
      <c r="F118" s="550"/>
      <c r="G118" s="579"/>
      <c r="H118" s="579"/>
      <c r="I118" s="579"/>
      <c r="J118" s="579"/>
      <c r="K118" s="580"/>
      <c r="L118" s="581"/>
      <c r="M118" s="582"/>
      <c r="N118" s="1145"/>
      <c r="O118" s="1145"/>
      <c r="P118" s="45"/>
      <c r="Q118" s="500"/>
    </row>
    <row r="119" spans="1:17" ht="15.75" thickBot="1">
      <c r="A119" s="530"/>
      <c r="B119" s="539"/>
      <c r="C119" s="556"/>
      <c r="D119" s="556"/>
      <c r="E119" s="556"/>
      <c r="F119" s="556"/>
      <c r="G119" s="532"/>
      <c r="H119" s="532"/>
      <c r="I119" s="532"/>
      <c r="J119" s="532"/>
      <c r="K119" s="532"/>
      <c r="L119" s="532"/>
      <c r="M119" s="533"/>
      <c r="N119" s="1146"/>
      <c r="O119" s="1146"/>
      <c r="P119" s="45"/>
      <c r="Q119" s="500"/>
    </row>
    <row r="120" spans="1:17" s="467" customFormat="1" ht="15" thickTop="1">
      <c r="A120" s="589"/>
      <c r="B120" s="534">
        <f>B40</f>
        <v>111</v>
      </c>
      <c r="C120" s="519"/>
      <c r="D120" s="519"/>
      <c r="E120" s="519"/>
      <c r="F120" s="519"/>
      <c r="G120" s="551"/>
      <c r="H120" s="551"/>
      <c r="I120" s="551"/>
      <c r="J120" s="551"/>
      <c r="K120" s="551"/>
      <c r="L120" s="552"/>
      <c r="M120" s="553"/>
      <c r="N120" s="1147"/>
      <c r="O120" s="1147"/>
      <c r="P120" s="554"/>
      <c r="Q120" s="555"/>
    </row>
    <row r="121" spans="1:17" s="467" customFormat="1" ht="15.75" thickBot="1">
      <c r="A121" s="564"/>
      <c r="B121" s="696"/>
      <c r="C121" s="566"/>
      <c r="D121" s="566"/>
      <c r="E121" s="566"/>
      <c r="F121" s="566"/>
      <c r="G121" s="587"/>
      <c r="H121" s="587"/>
      <c r="I121" s="587"/>
      <c r="J121" s="587"/>
      <c r="K121" s="587"/>
      <c r="L121" s="587"/>
      <c r="M121" s="588"/>
      <c r="N121" s="1147"/>
      <c r="O121" s="1147"/>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zoomScalePageLayoutView="80" workbookViewId="0">
      <selection activeCell="R43" sqref="R43:W43"/>
    </sheetView>
  </sheetViews>
  <sheetFormatPr defaultColWidth="12" defaultRowHeight="12.75"/>
  <cols>
    <col min="1" max="1" width="9.625" style="2786" customWidth="1"/>
    <col min="2" max="2" width="19.125" style="2892" customWidth="1"/>
    <col min="3" max="4" width="12" style="2710"/>
    <col min="5" max="5" width="14.625" style="2710" customWidth="1"/>
    <col min="6" max="8" width="12" style="2710"/>
    <col min="9" max="9" width="12.125" style="2710" bestFit="1" customWidth="1"/>
    <col min="10" max="10" width="12" style="2710"/>
    <col min="11" max="11" width="8.125" style="2778" customWidth="1"/>
    <col min="12" max="12" width="12" style="2710"/>
    <col min="13" max="13" width="8.5" style="2710" customWidth="1"/>
    <col min="14" max="14" width="9.625" style="2710" customWidth="1"/>
    <col min="15" max="25" width="12" style="2710"/>
    <col min="26" max="26" width="9.375" style="2786" customWidth="1"/>
    <col min="27" max="32" width="9.375" style="1365" customWidth="1"/>
    <col min="33" max="36" width="9.375" style="2786" customWidth="1"/>
    <col min="37" max="38" width="9.375" style="2710" customWidth="1"/>
    <col min="39" max="16384" width="12" style="2710"/>
  </cols>
  <sheetData>
    <row r="1" spans="1:36" ht="28.5">
      <c r="A1" s="236" t="s">
        <v>2789</v>
      </c>
      <c r="B1" s="237"/>
      <c r="C1" s="241" t="s">
        <v>2790</v>
      </c>
      <c r="D1" s="384">
        <f>SUM(D29:D30,D33:D39)</f>
        <v>0</v>
      </c>
      <c r="E1" s="2707"/>
      <c r="F1" s="2707"/>
      <c r="G1" s="2707"/>
      <c r="H1" s="2707"/>
      <c r="I1" s="2707"/>
      <c r="J1" s="2707"/>
      <c r="K1" s="1363"/>
      <c r="L1" s="2708" t="s">
        <v>2791</v>
      </c>
      <c r="M1" s="1073">
        <f>SUMPRODUCT((区片价!B5:B9=I2)*(区片价!C3:F3=E2)*(区片价!C5:F9))</f>
        <v>0</v>
      </c>
      <c r="N1" s="1076">
        <f>SUMPRODUCT((因素修正幅度!B5:B9=I2)*(因素修正幅度!C3:F3=E2)*(因素修正幅度!C5:F9))</f>
        <v>0</v>
      </c>
      <c r="O1" s="2709"/>
      <c r="P1" s="2709"/>
      <c r="Q1" s="1363"/>
      <c r="R1" s="1594" t="s">
        <v>2792</v>
      </c>
      <c r="S1" s="1594" t="s">
        <v>2793</v>
      </c>
      <c r="T1" s="1594" t="s">
        <v>2794</v>
      </c>
      <c r="U1" s="1594" t="s">
        <v>2795</v>
      </c>
      <c r="V1" s="1594" t="s">
        <v>2796</v>
      </c>
      <c r="W1" s="1598"/>
      <c r="X1" s="1598"/>
      <c r="Y1" s="1598"/>
      <c r="Z1" s="1598"/>
      <c r="AA1" s="1598"/>
      <c r="AB1" s="1598"/>
      <c r="AC1" s="1599"/>
      <c r="AD1" s="1600"/>
      <c r="AE1" s="1600"/>
      <c r="AF1" s="1600"/>
      <c r="AG1" s="1600"/>
      <c r="AH1" s="1600"/>
      <c r="AI1" s="1600"/>
      <c r="AJ1" s="1601"/>
    </row>
    <row r="2" spans="1:36" ht="15.75">
      <c r="A2" s="241" t="s">
        <v>2797</v>
      </c>
      <c r="B2" s="244" t="e">
        <f>C26</f>
        <v>#DIV/0!</v>
      </c>
      <c r="C2" s="2711" t="s">
        <v>2798</v>
      </c>
      <c r="D2" s="2712" t="s">
        <v>2799</v>
      </c>
      <c r="E2" s="2713"/>
      <c r="F2" s="2712" t="s">
        <v>2800</v>
      </c>
      <c r="G2" s="2714">
        <f>IF(E2="商业",项目基本情况!B37,IF(E2="办公",项目基本情况!C37,IF(E2="住宅",项目基本情况!D37,项目基本情况!E37)))</f>
        <v>0</v>
      </c>
      <c r="H2" s="2712" t="s">
        <v>2801</v>
      </c>
      <c r="I2" s="2714">
        <f>IF(E2="商业",项目基本情况!B38,IF(E2="办公",项目基本情况!C38,IF(E2="住宅",项目基本情况!D38,项目基本情况!E38)))</f>
        <v>0</v>
      </c>
      <c r="J2" s="2715"/>
      <c r="K2" s="1363"/>
      <c r="L2" s="2716" t="s">
        <v>2802</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3" t="s">
        <v>2803</v>
      </c>
      <c r="B3" s="244" t="e">
        <f>ROUND(B2*10000/D1,0)</f>
        <v>#DIV/0!</v>
      </c>
      <c r="C3" s="2711" t="s">
        <v>2804</v>
      </c>
      <c r="D3" s="2712" t="s">
        <v>2805</v>
      </c>
      <c r="E3" s="2717"/>
      <c r="F3" s="2718" t="s">
        <v>2806</v>
      </c>
      <c r="G3" s="906">
        <f>IF(F3="宗地容积率",'数据-汇总表'!I4,IF(F3="估价对象容积率",'数据-汇总表'!I6,'数据-汇总表'!I7))</f>
        <v>8.73</v>
      </c>
      <c r="H3" s="194" t="s">
        <v>2807</v>
      </c>
      <c r="I3" s="937"/>
      <c r="J3" s="2715" t="s">
        <v>2808</v>
      </c>
      <c r="K3" s="1363"/>
      <c r="L3" s="2716" t="s">
        <v>2809</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469"/>
      <c r="B4" s="3470"/>
      <c r="C4" s="3470"/>
      <c r="D4" s="3471"/>
      <c r="E4" s="3471"/>
      <c r="F4" s="3471"/>
      <c r="G4" s="3471"/>
      <c r="H4" s="3471"/>
      <c r="I4" s="3471"/>
      <c r="J4" s="3472"/>
      <c r="K4" s="1363"/>
      <c r="L4" s="2716" t="s">
        <v>2810</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2811</v>
      </c>
      <c r="C5" s="907" t="e">
        <f>ROUND(IF(E2="商业",IF(F16="增加",C6*C7+C16,C6*C7-C16),IF(E2="住宅",IF(F16="增加",C6*C12+C16,C6*C12-C16),IF(F16="增加",C6+C16,C6-C16))),0)</f>
        <v>#DIV/0!</v>
      </c>
      <c r="D5" s="1779">
        <f>ROUND(IF(E2="商业",IF(F16="增加",C6+C16,C6-C16)),0)</f>
        <v>0</v>
      </c>
      <c r="E5" s="2721"/>
      <c r="F5" s="2721"/>
      <c r="G5" s="2722"/>
      <c r="H5" s="2722"/>
      <c r="I5" s="2722"/>
      <c r="J5" s="2723"/>
      <c r="K5" s="2724"/>
      <c r="L5" s="2716" t="s">
        <v>2812</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2813</v>
      </c>
      <c r="B6" s="2730" t="s">
        <v>2814</v>
      </c>
      <c r="C6" s="908">
        <f>SUMIF(L1:L12,G2,M1:M12)</f>
        <v>0</v>
      </c>
      <c r="D6" s="2731" t="s">
        <v>2815</v>
      </c>
      <c r="E6" s="2732"/>
      <c r="F6" s="2732"/>
      <c r="G6" s="2733"/>
      <c r="H6" s="2733"/>
      <c r="I6" s="2733"/>
      <c r="J6" s="2734"/>
      <c r="K6" s="1834"/>
      <c r="L6" s="2716" t="s">
        <v>2816</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455" t="str">
        <f>IF(E2="商业",IF(C8="不临58条商业街","",2),"")</f>
        <v/>
      </c>
      <c r="B7" s="2735" t="s">
        <v>2817</v>
      </c>
      <c r="C7" s="909" t="e">
        <f>IF(C8="不临58条商业街",1,ROUND(1+(1.6*E8+1.2*E9+0.8*E10+0.4*E11)*C9,4))</f>
        <v>#DIV/0!</v>
      </c>
      <c r="D7" s="2736" t="s">
        <v>2818</v>
      </c>
      <c r="E7" s="938"/>
      <c r="F7" s="2737"/>
      <c r="G7" s="2738"/>
      <c r="H7" s="2738"/>
      <c r="I7" s="2738"/>
      <c r="J7" s="2739"/>
      <c r="K7" s="1834"/>
      <c r="L7" s="2716" t="s">
        <v>2819</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2820</v>
      </c>
      <c r="X7" s="1596">
        <f>G2</f>
        <v>0</v>
      </c>
      <c r="Y7" s="1596" t="s">
        <v>2821</v>
      </c>
      <c r="Z7" s="1597">
        <f>G3</f>
        <v>8.73</v>
      </c>
      <c r="AA7" s="1598"/>
      <c r="AB7" s="1598"/>
      <c r="AC7" s="1599"/>
      <c r="AD7" s="1600"/>
      <c r="AE7" s="1600"/>
      <c r="AF7" s="1600"/>
      <c r="AG7" s="1600"/>
      <c r="AH7" s="1600"/>
      <c r="AI7" s="1600"/>
      <c r="AJ7" s="1601"/>
    </row>
    <row r="8" spans="1:36" ht="15">
      <c r="A8" s="3456"/>
      <c r="B8" s="194" t="s">
        <v>2822</v>
      </c>
      <c r="C8" s="2740"/>
      <c r="D8" s="910" t="s">
        <v>139</v>
      </c>
      <c r="E8" s="911" t="e">
        <f>ROUND(C11/E7,4)</f>
        <v>#DIV/0!</v>
      </c>
      <c r="F8" s="2741" t="s">
        <v>2823</v>
      </c>
      <c r="G8" s="2742"/>
      <c r="H8" s="2742"/>
      <c r="I8" s="2742"/>
      <c r="J8" s="2743"/>
      <c r="K8" s="1363"/>
      <c r="L8" s="2716" t="s">
        <v>2824</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466" t="s">
        <v>2825</v>
      </c>
      <c r="X8" s="3467"/>
      <c r="Y8" s="1602" t="s">
        <v>2826</v>
      </c>
      <c r="Z8" s="1602" t="s">
        <v>2827</v>
      </c>
      <c r="AA8" s="1602" t="s">
        <v>2828</v>
      </c>
      <c r="AB8" s="1602" t="s">
        <v>2829</v>
      </c>
      <c r="AC8" s="1602" t="s">
        <v>2830</v>
      </c>
      <c r="AD8" s="1602" t="s">
        <v>2831</v>
      </c>
      <c r="AE8" s="1602" t="s">
        <v>2832</v>
      </c>
      <c r="AF8" s="1602" t="s">
        <v>2833</v>
      </c>
      <c r="AG8" s="1602" t="s">
        <v>2834</v>
      </c>
      <c r="AH8" s="1602" t="s">
        <v>2835</v>
      </c>
      <c r="AI8" s="1602" t="s">
        <v>2836</v>
      </c>
      <c r="AJ8" s="1602" t="s">
        <v>2837</v>
      </c>
    </row>
    <row r="9" spans="1:36" ht="15">
      <c r="A9" s="3456"/>
      <c r="B9" s="194" t="s">
        <v>2838</v>
      </c>
      <c r="C9" s="912">
        <f>SUMIF(修正!C59:C119,C8,修正!E59:E119)</f>
        <v>0</v>
      </c>
      <c r="D9" s="196" t="s">
        <v>140</v>
      </c>
      <c r="E9" s="196" t="e">
        <f>ROUND(C11/E7,4)</f>
        <v>#DIV/0!</v>
      </c>
      <c r="F9" s="2741" t="s">
        <v>2839</v>
      </c>
      <c r="G9" s="2742"/>
      <c r="H9" s="2742"/>
      <c r="I9" s="2742"/>
      <c r="J9" s="2743"/>
      <c r="K9" s="1363"/>
      <c r="L9" s="2716" t="s">
        <v>2840</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468" t="s">
        <v>2841</v>
      </c>
      <c r="X9" s="1603" t="s">
        <v>2842</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456"/>
      <c r="B10" s="194" t="s">
        <v>2843</v>
      </c>
      <c r="C10" s="196">
        <f>SUMIF(修正!C59:C119,C8,修正!F59:F119)</f>
        <v>0</v>
      </c>
      <c r="D10" s="196" t="s">
        <v>141</v>
      </c>
      <c r="E10" s="196" t="e">
        <f>ROUND(C11/E7,4)</f>
        <v>#DIV/0!</v>
      </c>
      <c r="F10" s="2741" t="s">
        <v>2844</v>
      </c>
      <c r="G10" s="2742"/>
      <c r="H10" s="2742"/>
      <c r="I10" s="2742"/>
      <c r="J10" s="2743"/>
      <c r="K10" s="1363"/>
      <c r="L10" s="2716" t="s">
        <v>2845</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468"/>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456"/>
      <c r="B11" s="2744" t="s">
        <v>2846</v>
      </c>
      <c r="C11" s="913">
        <f>C10/4</f>
        <v>0</v>
      </c>
      <c r="D11" s="913" t="s">
        <v>142</v>
      </c>
      <c r="E11" s="913" t="e">
        <f>ROUND(C11/E7,4)</f>
        <v>#DIV/0!</v>
      </c>
      <c r="F11" s="2745" t="s">
        <v>2847</v>
      </c>
      <c r="G11" s="2746"/>
      <c r="H11" s="2746"/>
      <c r="I11" s="2746"/>
      <c r="J11" s="2747"/>
      <c r="K11" s="1363"/>
      <c r="L11" s="2716" t="s">
        <v>2848</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468" t="s">
        <v>2849</v>
      </c>
      <c r="X11" s="1606" t="s">
        <v>2850</v>
      </c>
      <c r="Y11" s="1607">
        <f>$G$3</f>
        <v>8.73</v>
      </c>
      <c r="Z11" s="1607">
        <f t="shared" ref="Z11:AJ11" si="3">$G$3</f>
        <v>8.73</v>
      </c>
      <c r="AA11" s="1607">
        <f t="shared" si="3"/>
        <v>8.73</v>
      </c>
      <c r="AB11" s="1607">
        <f t="shared" si="3"/>
        <v>8.73</v>
      </c>
      <c r="AC11" s="1607">
        <f t="shared" si="3"/>
        <v>8.73</v>
      </c>
      <c r="AD11" s="1607">
        <f t="shared" si="3"/>
        <v>8.73</v>
      </c>
      <c r="AE11" s="1607">
        <f t="shared" si="3"/>
        <v>8.73</v>
      </c>
      <c r="AF11" s="1607">
        <f t="shared" si="3"/>
        <v>8.73</v>
      </c>
      <c r="AG11" s="1607">
        <f t="shared" si="3"/>
        <v>8.73</v>
      </c>
      <c r="AH11" s="1607">
        <f t="shared" si="3"/>
        <v>8.73</v>
      </c>
      <c r="AI11" s="1607">
        <f t="shared" si="3"/>
        <v>8.73</v>
      </c>
      <c r="AJ11" s="1607">
        <f t="shared" si="3"/>
        <v>8.73</v>
      </c>
    </row>
    <row r="12" spans="1:36" ht="25.5" thickBot="1">
      <c r="A12" s="3455" t="s">
        <v>2851</v>
      </c>
      <c r="B12" s="2748" t="s">
        <v>2852</v>
      </c>
      <c r="C12" s="909">
        <f>ROUND(C15*D15*E15*F15*G15*H15*I15*J15,4)</f>
        <v>1</v>
      </c>
      <c r="D12" s="2749" t="s">
        <v>2853</v>
      </c>
      <c r="E12" s="2750"/>
      <c r="F12" s="2750"/>
      <c r="G12" s="2751"/>
      <c r="H12" s="2751"/>
      <c r="I12" s="2751"/>
      <c r="J12" s="2752"/>
      <c r="K12" s="1363"/>
      <c r="L12" s="2753" t="s">
        <v>2854</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468"/>
      <c r="X12" s="1608" t="s">
        <v>2855</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473"/>
      <c r="B13" s="2754" t="s">
        <v>2856</v>
      </c>
      <c r="C13" s="2755" t="s">
        <v>2857</v>
      </c>
      <c r="D13" s="1800" t="s">
        <v>2858</v>
      </c>
      <c r="E13" s="1800" t="s">
        <v>2859</v>
      </c>
      <c r="F13" s="30" t="s">
        <v>2860</v>
      </c>
      <c r="G13" s="2756" t="s">
        <v>2861</v>
      </c>
      <c r="H13" s="2756" t="s">
        <v>2861</v>
      </c>
      <c r="I13" s="2756" t="s">
        <v>2861</v>
      </c>
      <c r="J13" s="2757" t="s">
        <v>2861</v>
      </c>
      <c r="K13" s="1363"/>
      <c r="L13" s="1363"/>
      <c r="M13" s="1363"/>
      <c r="N13" s="1363"/>
      <c r="O13" s="1363"/>
      <c r="P13" s="1363"/>
      <c r="Q13" s="1363"/>
      <c r="R13" s="1594">
        <v>12</v>
      </c>
      <c r="S13" s="1595"/>
      <c r="T13" s="1594" t="e">
        <f t="shared" si="0"/>
        <v>#DIV/0!</v>
      </c>
      <c r="U13" s="1595"/>
      <c r="V13" s="1594" t="e">
        <f t="shared" si="1"/>
        <v>#DIV/0!</v>
      </c>
      <c r="W13" s="3468"/>
      <c r="X13" s="1608"/>
      <c r="Y13" s="1605">
        <f>(-0.163*(Y12^2)-0.59*Y12+7617)*(10^(-4))/Y11</f>
        <v>8.7250859106529216E-2</v>
      </c>
      <c r="Z13" s="1605">
        <f t="shared" ref="Z13:AJ13" si="5">(-0.163*(Z12^2)-0.59*Z12+7617)*(10^(-4))/Z11</f>
        <v>8.7250859106529216E-2</v>
      </c>
      <c r="AA13" s="1605">
        <f t="shared" si="5"/>
        <v>8.7250859106529216E-2</v>
      </c>
      <c r="AB13" s="1605">
        <f t="shared" si="5"/>
        <v>8.7250859106529216E-2</v>
      </c>
      <c r="AC13" s="1605">
        <f t="shared" si="5"/>
        <v>8.7250859106529216E-2</v>
      </c>
      <c r="AD13" s="1605">
        <f t="shared" si="5"/>
        <v>8.7250859106529216E-2</v>
      </c>
      <c r="AE13" s="1605">
        <f t="shared" si="5"/>
        <v>8.7250859106529216E-2</v>
      </c>
      <c r="AF13" s="1605">
        <f t="shared" si="5"/>
        <v>8.7250859106529216E-2</v>
      </c>
      <c r="AG13" s="1605">
        <f t="shared" si="5"/>
        <v>8.7250859106529216E-2</v>
      </c>
      <c r="AH13" s="1605">
        <f t="shared" si="5"/>
        <v>8.7250859106529216E-2</v>
      </c>
      <c r="AI13" s="1605">
        <f t="shared" si="5"/>
        <v>8.7250859106529216E-2</v>
      </c>
      <c r="AJ13" s="1605">
        <f t="shared" si="5"/>
        <v>8.7250859106529216E-2</v>
      </c>
    </row>
    <row r="14" spans="1:36" ht="15">
      <c r="A14" s="3473"/>
      <c r="B14" s="2758"/>
      <c r="C14" s="2759"/>
      <c r="D14" s="2760"/>
      <c r="E14" s="2760"/>
      <c r="F14" s="2761"/>
      <c r="G14" s="2762" t="s">
        <v>2862</v>
      </c>
      <c r="H14" s="2763"/>
      <c r="I14" s="2764"/>
      <c r="J14" s="2765"/>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474"/>
      <c r="B15" s="2766" t="s">
        <v>2863</v>
      </c>
      <c r="C15" s="225">
        <f>IF(C14="有",1.1,1)</f>
        <v>1</v>
      </c>
      <c r="D15" s="225">
        <f>IF(D14="有",1.1,1)</f>
        <v>1</v>
      </c>
      <c r="E15" s="225">
        <f>IF(E14="有",1.1,1)</f>
        <v>1</v>
      </c>
      <c r="F15" s="225">
        <f>IF(F14="500米范围内",1.2,IF(F14="500-1000米",1.1,1))</f>
        <v>1</v>
      </c>
      <c r="G15" s="939">
        <v>1</v>
      </c>
      <c r="H15" s="939">
        <v>1</v>
      </c>
      <c r="I15" s="939">
        <v>1</v>
      </c>
      <c r="J15" s="940">
        <v>1</v>
      </c>
      <c r="K15" s="1363"/>
      <c r="L15" s="2767" t="s">
        <v>2799</v>
      </c>
      <c r="M15" s="910" t="s">
        <v>2864</v>
      </c>
      <c r="N15" s="910" t="s">
        <v>2865</v>
      </c>
      <c r="O15" s="910" t="s">
        <v>2866</v>
      </c>
      <c r="P15" s="2768" t="s">
        <v>2867</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455" t="s">
        <v>2868</v>
      </c>
      <c r="B16" s="2735" t="s">
        <v>2869</v>
      </c>
      <c r="C16" s="1793" t="e">
        <f>ROUND(SUM(G17:J17)/C17,0)</f>
        <v>#DIV/0!</v>
      </c>
      <c r="D16" s="2769" t="s">
        <v>2870</v>
      </c>
      <c r="E16" s="2770"/>
      <c r="F16" s="2771"/>
      <c r="G16" s="2772"/>
      <c r="H16" s="2772"/>
      <c r="I16" s="2772"/>
      <c r="J16" s="2773"/>
      <c r="K16" s="1363"/>
      <c r="L16" s="2774" t="s">
        <v>2871</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456"/>
      <c r="B17" s="2775" t="s">
        <v>2872</v>
      </c>
      <c r="C17" s="914">
        <f>SUMPRODUCT((修正!A2:A5=E2)*(修正!B1:M1=G2)*(修正!B2:M5))</f>
        <v>0</v>
      </c>
      <c r="D17" s="2776" t="s">
        <v>2873</v>
      </c>
      <c r="E17" s="913" t="str">
        <f>IF(OR(G2="八级",G2="九级",G2="十级",G2="十一级",G2="十二级"),"五通一平","七通一平")</f>
        <v>七通一平</v>
      </c>
      <c r="F17" s="914" t="s">
        <v>2874</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7" t="s">
        <v>2875</v>
      </c>
      <c r="M17" s="207">
        <f ca="1">ROUND($E$20*(1+M16),3)</f>
        <v>5.3999999999999999E-2</v>
      </c>
      <c r="N17" s="207">
        <f ca="1">ROUND($E$20*(1+N16),3)</f>
        <v>5.1999999999999998E-2</v>
      </c>
      <c r="O17" s="207">
        <f ca="1">ROUND($E$20*(1+O16),3)</f>
        <v>0.05</v>
      </c>
      <c r="P17" s="1366">
        <f ca="1">ROUND($E$20*(1+P16),3)</f>
        <v>4.8000000000000001E-2</v>
      </c>
      <c r="Q17" s="1363"/>
      <c r="R17" s="1363"/>
      <c r="S17" s="1363"/>
      <c r="T17" s="1363"/>
      <c r="U17" s="1363"/>
      <c r="V17" s="1363"/>
      <c r="W17" s="1363"/>
      <c r="X17" s="1363"/>
      <c r="Y17" s="1363"/>
      <c r="Z17" s="1364"/>
      <c r="AE17" s="2778"/>
      <c r="AF17" s="2778"/>
      <c r="AG17" s="2710"/>
      <c r="AH17" s="2710"/>
      <c r="AI17" s="2710"/>
      <c r="AJ17" s="2710"/>
    </row>
    <row r="18" spans="1:37" s="2728" customFormat="1" ht="15.75" thickBot="1">
      <c r="A18" s="2779" t="s">
        <v>808</v>
      </c>
      <c r="B18" s="2780" t="s">
        <v>2876</v>
      </c>
      <c r="C18" s="916">
        <f>SUMIF(修正!C18:C39,E3,修正!E18:E39)</f>
        <v>0</v>
      </c>
      <c r="D18" s="2781"/>
      <c r="E18" s="2782"/>
      <c r="F18" s="2783"/>
      <c r="G18" s="2784"/>
      <c r="H18" s="2784"/>
      <c r="I18" s="2784"/>
      <c r="J18" s="2785"/>
      <c r="K18" s="1370"/>
      <c r="O18" s="1368"/>
      <c r="P18" s="1368"/>
      <c r="Q18" s="1369"/>
      <c r="R18" s="1369"/>
      <c r="S18" s="1369"/>
      <c r="T18" s="1364"/>
      <c r="U18" s="1364"/>
      <c r="V18" s="1364"/>
      <c r="W18" s="1363"/>
      <c r="X18" s="1363"/>
      <c r="Y18" s="1363"/>
      <c r="Z18" s="1370"/>
      <c r="AA18" s="1371"/>
      <c r="AB18" s="1371"/>
      <c r="AC18" s="1371"/>
      <c r="AD18" s="1371"/>
      <c r="AE18" s="1365"/>
      <c r="AF18" s="1365"/>
      <c r="AG18" s="2786"/>
      <c r="AH18" s="2786"/>
      <c r="AI18" s="2786"/>
    </row>
    <row r="19" spans="1:37" s="2728" customFormat="1" ht="27.75" thickBot="1">
      <c r="A19" s="2779" t="s">
        <v>809</v>
      </c>
      <c r="B19" s="2780" t="s">
        <v>2877</v>
      </c>
      <c r="C19" s="917" t="e">
        <f>ROUND(IF(H19="按公示增长率计算",SUMPRODUCT((地价!A3:A23=YEAR(G19)&amp;"-"&amp;ROUNDUP(MONTH(G19)/3,0))*(地价!X2:AB2=E2)*(地价!X3:AB23)),IF(H19="地价指数",M20/M19,(1+I19)^O19)),4)</f>
        <v>#DIV/0!</v>
      </c>
      <c r="D19" s="2787" t="s">
        <v>2878</v>
      </c>
      <c r="E19" s="918">
        <v>41640</v>
      </c>
      <c r="F19" s="2787" t="s">
        <v>2879</v>
      </c>
      <c r="G19" s="919">
        <f>'数据-取费表'!B2</f>
        <v>43332</v>
      </c>
      <c r="H19" s="2788" t="s">
        <v>2880</v>
      </c>
      <c r="I19" s="920" t="str">
        <f>IF(H19="季度增幅（自定义）",SUMIF(N21:N24,E2,O21:O24),"")</f>
        <v/>
      </c>
      <c r="J19" s="2785"/>
      <c r="K19" s="1370"/>
      <c r="L19" s="2789" t="s">
        <v>2881</v>
      </c>
      <c r="M19" s="1726">
        <f>ROUND(SUMIF(地价!B2:F2,E2,地价!B23:F23),0)</f>
        <v>0</v>
      </c>
      <c r="N19" s="2790" t="s">
        <v>2882</v>
      </c>
      <c r="O19" s="921">
        <f>ROUNDDOWN(DATEDIF(E19,G19,"M")/3,0)</f>
        <v>18</v>
      </c>
      <c r="P19" s="1367"/>
      <c r="Q19" s="1369"/>
      <c r="R19" s="1369"/>
      <c r="S19" s="1369"/>
      <c r="T19" s="1364"/>
      <c r="U19" s="1364"/>
      <c r="V19" s="1364"/>
      <c r="W19" s="1363"/>
      <c r="X19" s="1363"/>
      <c r="Y19" s="1363"/>
      <c r="Z19" s="1370"/>
      <c r="AA19" s="1371"/>
      <c r="AB19" s="1371"/>
      <c r="AC19" s="1371"/>
      <c r="AD19" s="1371"/>
      <c r="AE19" s="1371"/>
      <c r="AF19" s="2791"/>
      <c r="AG19" s="2792"/>
      <c r="AH19" s="2786"/>
      <c r="AI19" s="2793"/>
      <c r="AJ19" s="2793"/>
      <c r="AK19" s="2793"/>
    </row>
    <row r="20" spans="1:37" s="2728" customFormat="1" ht="27.75" thickBot="1">
      <c r="A20" s="2794" t="s">
        <v>810</v>
      </c>
      <c r="B20" s="2795" t="s">
        <v>2883</v>
      </c>
      <c r="C20" s="922" t="e">
        <f>ROUND(POWER(1+G20,J20-I20)*(POWER(1+G20,I20)-1)/(POWER(1+G20,J20)-1),4)</f>
        <v>#DIV/0!</v>
      </c>
      <c r="D20" s="2796" t="s">
        <v>2884</v>
      </c>
      <c r="E20" s="1760">
        <f ca="1">存贷款利率!D4/100</f>
        <v>4.3499999999999997E-2</v>
      </c>
      <c r="F20" s="2796" t="s">
        <v>2875</v>
      </c>
      <c r="G20" s="927">
        <f>SUMIF(M15:P15,E2,M17:P17)</f>
        <v>0</v>
      </c>
      <c r="H20" s="2796" t="s">
        <v>2885</v>
      </c>
      <c r="I20" s="928" t="e">
        <f>SUMIF('数据-取费表'!C6:C15,E2,'数据-取费表'!F6:F15)/COUNTIF('数据-取费表'!C6:C15,E2)</f>
        <v>#DIV/0!</v>
      </c>
      <c r="J20" s="929">
        <f>IF(E2="住宅",70,IF(E2="商业",40,50))</f>
        <v>50</v>
      </c>
      <c r="K20" s="1370"/>
      <c r="L20" s="2797" t="s">
        <v>2886</v>
      </c>
      <c r="M20" s="1727">
        <f>ROUND(SUMPRODUCT((地价!A4:A23=YEAR(G19)&amp;"-"&amp;ROUNDUP(MONTH(G19)/3,0))*(地价!B2:F2=E2)*(地价!B4:F23)),0)</f>
        <v>0</v>
      </c>
      <c r="N20" s="2798" t="s">
        <v>2887</v>
      </c>
      <c r="O20" s="2799" t="s">
        <v>2888</v>
      </c>
      <c r="P20" s="2800" t="s">
        <v>2889</v>
      </c>
      <c r="R20" s="1369"/>
      <c r="S20" s="1369"/>
      <c r="T20" s="1364"/>
      <c r="U20" s="1364"/>
      <c r="V20" s="1364"/>
      <c r="W20" s="1363"/>
      <c r="X20" s="1363"/>
      <c r="Y20" s="1363"/>
      <c r="Z20" s="1370"/>
      <c r="AA20" s="1371"/>
      <c r="AB20" s="1371"/>
      <c r="AC20" s="1371"/>
      <c r="AD20" s="1371"/>
      <c r="AE20" s="1371"/>
      <c r="AF20" s="1371"/>
    </row>
    <row r="21" spans="1:37" s="2728" customFormat="1" ht="15">
      <c r="A21" s="2801" t="s">
        <v>811</v>
      </c>
      <c r="B21" s="2802" t="s">
        <v>2890</v>
      </c>
      <c r="C21" s="930">
        <f>IF(B21="容积率修正",IF(G3&lt;=10,D22,J22),C23)</f>
        <v>0</v>
      </c>
      <c r="D21" s="2803"/>
      <c r="E21" s="2803"/>
      <c r="F21" s="2803"/>
      <c r="G21" s="2803"/>
      <c r="H21" s="2803"/>
      <c r="I21" s="2803"/>
      <c r="J21" s="2804"/>
      <c r="K21" s="1370"/>
      <c r="N21" s="2805" t="s">
        <v>2891</v>
      </c>
      <c r="O21" s="1554"/>
      <c r="P21" s="1555">
        <f>SUMPRODUCT((地价!A3:A23=YEAR(G19)&amp;"-"&amp;ROUNDUP(MONTH(G19)/3,0))*(地价!AD2:AH2=N21)*(地价!AD3:AH23))</f>
        <v>1.54E-2</v>
      </c>
      <c r="R21" s="1369"/>
      <c r="S21" s="1369"/>
      <c r="T21" s="1364"/>
      <c r="U21" s="1364"/>
      <c r="V21" s="1364"/>
      <c r="W21" s="1363"/>
      <c r="X21" s="1363"/>
      <c r="Y21" s="1363"/>
      <c r="Z21" s="1370"/>
      <c r="AA21" s="1371"/>
      <c r="AB21" s="1371"/>
      <c r="AC21" s="1371"/>
      <c r="AD21" s="1371"/>
      <c r="AE21" s="1371"/>
      <c r="AF21" s="1371"/>
    </row>
    <row r="22" spans="1:37" s="2728" customFormat="1" ht="14.25">
      <c r="A22" s="2654" t="s">
        <v>2892</v>
      </c>
      <c r="B22" s="2806" t="s">
        <v>2893</v>
      </c>
      <c r="C22" s="1802" t="s">
        <v>2894</v>
      </c>
      <c r="D22" s="1802">
        <f>IF(E22=G22,F22,IF(G3&lt;=10,ROUND(F22+(H22-F22)*(G3-E22)/(G22-E22),4),"——"))</f>
        <v>0</v>
      </c>
      <c r="E22" s="906">
        <f>ROUNDDOWN(G3,1)</f>
        <v>8.6999999999999993</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8.7999999999999989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5" t="s">
        <v>2895</v>
      </c>
      <c r="O22" s="1554"/>
      <c r="P22" s="1555">
        <f>SUMPRODUCT((地价!A3:A23=YEAR(G19)&amp;"-"&amp;ROUNDUP(MONTH(G19)/3,0))*(地价!AD2:AH2=N22)*(地价!AD3:AH23))</f>
        <v>1.54E-2</v>
      </c>
      <c r="R22" s="1369"/>
      <c r="S22" s="1369"/>
      <c r="T22" s="1364"/>
      <c r="U22" s="1364"/>
      <c r="V22" s="1364"/>
      <c r="W22" s="1363"/>
      <c r="X22" s="1363"/>
      <c r="Y22" s="1363"/>
      <c r="Z22" s="1370"/>
      <c r="AA22" s="1371"/>
      <c r="AB22" s="1371"/>
      <c r="AC22" s="1371"/>
      <c r="AD22" s="1371"/>
      <c r="AE22" s="1371"/>
      <c r="AF22" s="1371"/>
    </row>
    <row r="23" spans="1:37" ht="27.75" thickBot="1">
      <c r="A23" s="2654" t="s">
        <v>2896</v>
      </c>
      <c r="B23" s="2807" t="s">
        <v>2897</v>
      </c>
      <c r="C23" s="1006">
        <f>ROUND(IF(G3&gt;1,IF(I3&lt;7,SUMPRODUCT((B93:B98=I3)*(C92:N92=G2)*(C93:N98)),SUMIF(C92:N92,G2,C100:N100)),IF(I3&lt;7,SUMPRODUCT((B102:B107=I3)*(C92:N92=G2)*(C102:N107)),SUMIF(C92:N92,G2,C109:N109))),4)</f>
        <v>0</v>
      </c>
      <c r="D23" s="2763"/>
      <c r="E23" s="2763"/>
      <c r="F23" s="2808"/>
      <c r="G23" s="2809"/>
      <c r="H23" s="2810"/>
      <c r="I23" s="2811"/>
      <c r="J23" s="2812"/>
      <c r="K23" s="1363"/>
      <c r="N23" s="2805" t="s">
        <v>2898</v>
      </c>
      <c r="O23" s="1554"/>
      <c r="P23" s="1555">
        <f>SUMPRODUCT((地价!A3:A23=YEAR(G19)&amp;"-"&amp;ROUNDUP(MONTH(G19)/3,0))*(地价!AD2:AH2=N23)*(地价!AD3:AH23))</f>
        <v>2.4500000000000001E-2</v>
      </c>
      <c r="R23" s="1369"/>
      <c r="S23" s="1369"/>
      <c r="T23" s="1364"/>
      <c r="U23" s="1364"/>
      <c r="V23" s="1364"/>
      <c r="W23" s="1363"/>
      <c r="X23" s="1363"/>
      <c r="Y23" s="1363"/>
      <c r="Z23" s="1370"/>
      <c r="AA23" s="1371"/>
      <c r="AB23" s="1371"/>
      <c r="AC23" s="1371"/>
      <c r="AD23" s="1371"/>
      <c r="AK23" s="2786"/>
    </row>
    <row r="24" spans="1:37" s="2728" customFormat="1" ht="15.75" thickBot="1">
      <c r="A24" s="2794" t="s">
        <v>812</v>
      </c>
      <c r="B24" s="2780" t="s">
        <v>2899</v>
      </c>
      <c r="C24" s="917">
        <f>SUMIF(A45:A88,E2,B45:B88)</f>
        <v>0</v>
      </c>
      <c r="D24" s="2783"/>
      <c r="E24" s="2813"/>
      <c r="F24" s="2813"/>
      <c r="G24" s="2813"/>
      <c r="H24" s="2813"/>
      <c r="I24" s="2813"/>
      <c r="J24" s="2814"/>
      <c r="K24" s="1370"/>
      <c r="N24" s="2815" t="s">
        <v>2900</v>
      </c>
      <c r="O24" s="1556"/>
      <c r="P24" s="1557">
        <f>SUMPRODUCT((地价!A3:A23=YEAR(G19)&amp;"-"&amp;ROUNDUP(MONTH(G19)/3,0))*(地价!AD2:AH2=N24)*(地价!AD3:AH23))</f>
        <v>1.41E-2</v>
      </c>
      <c r="R24" s="1369"/>
      <c r="S24" s="1369"/>
      <c r="T24" s="1364"/>
      <c r="U24" s="1364"/>
      <c r="V24" s="1364"/>
      <c r="W24" s="1363"/>
      <c r="X24" s="1363"/>
      <c r="Y24" s="1363"/>
      <c r="Z24" s="1370"/>
      <c r="AA24" s="1371"/>
      <c r="AB24" s="1371"/>
      <c r="AC24" s="1371"/>
      <c r="AD24" s="1371"/>
      <c r="AE24" s="1371"/>
      <c r="AF24" s="1371"/>
    </row>
    <row r="25" spans="1:37" ht="15.75" thickBot="1">
      <c r="A25" s="2794" t="s">
        <v>813</v>
      </c>
      <c r="B25" s="2816" t="s">
        <v>2901</v>
      </c>
      <c r="C25" s="923"/>
      <c r="D25" s="2738"/>
      <c r="E25" s="2738"/>
      <c r="F25" s="2817"/>
      <c r="G25" s="2738"/>
      <c r="H25" s="2738"/>
      <c r="I25" s="2738"/>
      <c r="J25" s="2739"/>
      <c r="K25" s="1363"/>
      <c r="N25" s="2818" t="s">
        <v>2902</v>
      </c>
      <c r="O25" s="1558"/>
      <c r="P25" s="1557">
        <f>SUMPRODUCT((地价!A3:A23=YEAR(G19)&amp;"-"&amp;ROUNDUP(MONTH(G19)/3,0))*(地价!AD2:AH2=N25)*(地价!AD3:AH23))</f>
        <v>2.23E-2</v>
      </c>
      <c r="R25" s="1369"/>
      <c r="S25" s="1369"/>
      <c r="T25" s="1364"/>
      <c r="U25" s="1364"/>
      <c r="V25" s="1364"/>
      <c r="W25" s="1363"/>
      <c r="X25" s="1363"/>
      <c r="Y25" s="1363"/>
      <c r="Z25" s="1370"/>
      <c r="AA25" s="1371"/>
      <c r="AB25" s="1371"/>
      <c r="AC25" s="1371"/>
      <c r="AD25" s="1371"/>
    </row>
    <row r="26" spans="1:37" ht="15">
      <c r="A26" s="2819"/>
      <c r="B26" s="2806" t="s">
        <v>2903</v>
      </c>
      <c r="C26" s="202" t="e">
        <f>E29+SUM(E33:E39)</f>
        <v>#DIV/0!</v>
      </c>
      <c r="D26" s="2820"/>
      <c r="E26" s="2763"/>
      <c r="F26" s="2821"/>
      <c r="G26" s="2763"/>
      <c r="H26" s="2763"/>
      <c r="I26" s="2763"/>
      <c r="J26" s="2822"/>
      <c r="K26" s="1363"/>
      <c r="R26" s="1369"/>
      <c r="S26" s="1369"/>
      <c r="T26" s="1364"/>
      <c r="U26" s="1364"/>
      <c r="V26" s="1364"/>
      <c r="W26" s="1363"/>
      <c r="X26" s="1363"/>
      <c r="Y26" s="1363"/>
      <c r="Z26" s="1370"/>
      <c r="AA26" s="1371"/>
      <c r="AB26" s="1371"/>
      <c r="AC26" s="1371"/>
      <c r="AD26" s="1371"/>
    </row>
    <row r="27" spans="1:37" ht="15.75" thickBot="1">
      <c r="A27" s="2819"/>
      <c r="B27" s="2823" t="s">
        <v>2904</v>
      </c>
      <c r="C27" s="924" t="e">
        <f>E30+SUM(I33:I39)</f>
        <v>#DIV/0!</v>
      </c>
      <c r="D27" s="2824"/>
      <c r="E27" s="2825"/>
      <c r="F27" s="2826"/>
      <c r="G27" s="2825"/>
      <c r="H27" s="2825"/>
      <c r="I27" s="2825"/>
      <c r="J27" s="2827"/>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8"/>
      <c r="B28" s="2829" t="s">
        <v>2905</v>
      </c>
      <c r="C28" s="2830" t="s">
        <v>2906</v>
      </c>
      <c r="D28" s="2830" t="s">
        <v>2907</v>
      </c>
      <c r="E28" s="2831" t="s">
        <v>2908</v>
      </c>
      <c r="F28" s="2832"/>
      <c r="G28" s="2751"/>
      <c r="H28" s="2751"/>
      <c r="I28" s="2751"/>
      <c r="J28" s="2752"/>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3"/>
      <c r="B29" s="2834" t="s">
        <v>2909</v>
      </c>
      <c r="C29" s="202" t="e">
        <f>ROUND(C5*C18*C19*C20*C21*C24,0)</f>
        <v>#DIV/0!</v>
      </c>
      <c r="D29" s="2835"/>
      <c r="E29" s="935" t="e">
        <f>ROUND(C29*D29/10000,0)</f>
        <v>#DIV/0!</v>
      </c>
      <c r="F29" s="2836" t="s">
        <v>2910</v>
      </c>
      <c r="G29" s="2837"/>
      <c r="H29" s="2837"/>
      <c r="I29" s="2837"/>
      <c r="J29" s="2838"/>
      <c r="K29" s="1363"/>
      <c r="L29" s="1363"/>
      <c r="M29" s="1363"/>
      <c r="N29" s="1363"/>
      <c r="O29" s="1368"/>
      <c r="P29" s="1368"/>
      <c r="Q29" s="1369"/>
      <c r="R29" s="1369"/>
      <c r="S29" s="1369"/>
      <c r="T29" s="1364"/>
      <c r="U29" s="1364"/>
      <c r="V29" s="1364"/>
      <c r="W29" s="1363"/>
      <c r="X29" s="1363"/>
      <c r="Y29" s="1363"/>
      <c r="Z29" s="1370"/>
      <c r="AA29" s="1371"/>
      <c r="AB29" s="1371"/>
      <c r="AC29" s="1371"/>
      <c r="AD29" s="1371"/>
      <c r="AE29" s="2778"/>
      <c r="AF29" s="2778"/>
      <c r="AG29" s="2710"/>
      <c r="AH29" s="2710"/>
      <c r="AI29" s="2710"/>
      <c r="AJ29" s="2710"/>
    </row>
    <row r="30" spans="1:37" ht="25.5" thickBot="1">
      <c r="A30" s="2839"/>
      <c r="B30" s="2840" t="s">
        <v>2911</v>
      </c>
      <c r="C30" s="225" t="e">
        <f>ROUND(IF(E2="工业",C29*M39,C29*M38),0)</f>
        <v>#DIV/0!</v>
      </c>
      <c r="D30" s="2841"/>
      <c r="E30" s="935" t="e">
        <f>ROUND(C30*D30/10000,0)</f>
        <v>#DIV/0!</v>
      </c>
      <c r="F30" s="2842" t="s">
        <v>2912</v>
      </c>
      <c r="G30" s="2843"/>
      <c r="H30" s="2843"/>
      <c r="I30" s="2843"/>
      <c r="J30" s="2844"/>
      <c r="K30" s="1363"/>
      <c r="L30" s="1363"/>
      <c r="M30" s="1363"/>
      <c r="N30" s="1363"/>
      <c r="O30" s="1368"/>
      <c r="P30" s="1368"/>
      <c r="Q30" s="1369"/>
      <c r="R30" s="1369"/>
      <c r="S30" s="1369"/>
      <c r="T30" s="1364"/>
      <c r="U30" s="1364"/>
      <c r="V30" s="1364"/>
      <c r="W30" s="1363"/>
      <c r="X30" s="1363"/>
      <c r="Y30" s="1363"/>
      <c r="Z30" s="1370"/>
      <c r="AA30" s="1371"/>
      <c r="AB30" s="1371"/>
      <c r="AC30" s="1371"/>
      <c r="AD30" s="1371"/>
      <c r="AE30" s="2778"/>
      <c r="AF30" s="2778"/>
      <c r="AG30" s="2710"/>
      <c r="AH30" s="2710"/>
      <c r="AI30" s="2710"/>
      <c r="AJ30" s="2710"/>
    </row>
    <row r="31" spans="1:37" ht="14.25">
      <c r="A31" s="2845"/>
      <c r="B31" s="2846" t="s">
        <v>2913</v>
      </c>
      <c r="C31" s="2847" t="s">
        <v>2914</v>
      </c>
      <c r="D31" s="2751"/>
      <c r="E31" s="2847"/>
      <c r="F31" s="2847"/>
      <c r="G31" s="2749" t="s">
        <v>2915</v>
      </c>
      <c r="H31" s="2751"/>
      <c r="I31" s="2848"/>
      <c r="J31" s="2752"/>
      <c r="K31" s="1363"/>
      <c r="L31" s="1363"/>
      <c r="M31" s="1363"/>
      <c r="N31" s="1363"/>
      <c r="O31" s="1368"/>
      <c r="P31" s="1368"/>
      <c r="Q31" s="1369"/>
      <c r="R31" s="1369"/>
      <c r="S31" s="1369"/>
      <c r="T31" s="1364"/>
      <c r="U31" s="1364"/>
      <c r="V31" s="1364"/>
      <c r="W31" s="1363"/>
      <c r="X31" s="1363"/>
      <c r="Y31" s="1363"/>
      <c r="Z31" s="1370"/>
      <c r="AA31" s="1371"/>
      <c r="AB31" s="1371"/>
      <c r="AC31" s="1371"/>
      <c r="AD31" s="1371"/>
      <c r="AE31" s="2778"/>
      <c r="AF31" s="2778"/>
      <c r="AG31" s="2710"/>
      <c r="AH31" s="2710"/>
      <c r="AI31" s="2710"/>
      <c r="AJ31" s="2710"/>
    </row>
    <row r="32" spans="1:37" ht="24">
      <c r="A32" s="2833"/>
      <c r="B32" s="2849"/>
      <c r="C32" s="497" t="s">
        <v>2906</v>
      </c>
      <c r="D32" s="494" t="s">
        <v>2907</v>
      </c>
      <c r="E32" s="494" t="s">
        <v>2908</v>
      </c>
      <c r="F32" s="384" t="s">
        <v>2916</v>
      </c>
      <c r="G32" s="2850" t="s">
        <v>2906</v>
      </c>
      <c r="H32" s="2850" t="s">
        <v>2907</v>
      </c>
      <c r="I32" s="2850" t="s">
        <v>2908</v>
      </c>
      <c r="J32" s="283"/>
      <c r="K32" s="1363"/>
      <c r="L32" s="1363"/>
      <c r="M32" s="1363"/>
      <c r="N32" s="1363"/>
      <c r="O32" s="1368"/>
      <c r="P32" s="1368"/>
      <c r="Q32" s="1369"/>
      <c r="R32" s="1369"/>
      <c r="S32" s="1369"/>
      <c r="T32" s="1364"/>
      <c r="U32" s="1364"/>
      <c r="V32" s="1364"/>
      <c r="W32" s="1363"/>
      <c r="X32" s="1363"/>
      <c r="Y32" s="1363"/>
      <c r="Z32" s="1370"/>
      <c r="AA32" s="1371"/>
      <c r="AB32" s="1371"/>
      <c r="AC32" s="1371"/>
      <c r="AD32" s="1371"/>
      <c r="AE32" s="2778"/>
      <c r="AF32" s="2778"/>
      <c r="AG32" s="2710"/>
      <c r="AH32" s="2710"/>
      <c r="AI32" s="2710"/>
      <c r="AJ32" s="2710"/>
    </row>
    <row r="33" spans="1:37" ht="36" customHeight="1">
      <c r="A33" s="3463" t="s">
        <v>2917</v>
      </c>
      <c r="B33" s="2851" t="s">
        <v>2918</v>
      </c>
      <c r="C33" s="202" t="e">
        <f>ROUND(D5*C19*C20*C24*F33,0)</f>
        <v>#DIV/0!</v>
      </c>
      <c r="D33" s="2835"/>
      <c r="E33" s="196" t="e">
        <f>ROUND(C33*D33/10000,0)</f>
        <v>#DIV/0!</v>
      </c>
      <c r="F33" s="196">
        <f>SUMIF(修正!A45:A56,G2,修正!B45:B56)</f>
        <v>0</v>
      </c>
      <c r="G33" s="196" t="e">
        <f t="shared" ref="G33" si="6">ROUND(IF(E2="工业",C33*$M$39,C33*$M$38),0)</f>
        <v>#DIV/0!</v>
      </c>
      <c r="H33" s="196">
        <f>D33</f>
        <v>0</v>
      </c>
      <c r="I33" s="196" t="e">
        <f>ROUND(G33*H33/10000,0)</f>
        <v>#DIV/0!</v>
      </c>
      <c r="J33" s="285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464"/>
      <c r="B34" s="2755" t="s">
        <v>2919</v>
      </c>
      <c r="C34" s="202" t="e">
        <f>ROUND(D5*C19*C20*C24*F34,0)</f>
        <v>#DIV/0!</v>
      </c>
      <c r="D34" s="2835"/>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464"/>
      <c r="B35" s="2755" t="s">
        <v>2920</v>
      </c>
      <c r="C35" s="202" t="e">
        <f>ROUND(D5*C19*C20*C24*F35,0)</f>
        <v>#DIV/0!</v>
      </c>
      <c r="D35" s="2835"/>
      <c r="E35" s="196" t="e">
        <f t="shared" si="7"/>
        <v>#DIV/0!</v>
      </c>
      <c r="F35" s="196">
        <f>SUMIF(修正!A45:A56,G2,修正!D45:D56)</f>
        <v>0</v>
      </c>
      <c r="G35" s="196" t="e">
        <f>ROUND(IF(E2="工业",C35*$M$39,C35*$M$38),0)</f>
        <v>#DIV/0!</v>
      </c>
      <c r="H35" s="196">
        <f t="shared" si="8"/>
        <v>0</v>
      </c>
      <c r="I35" s="196" t="e">
        <f t="shared" si="9"/>
        <v>#DIV/0!</v>
      </c>
      <c r="J35" s="2852"/>
      <c r="K35" s="1363"/>
      <c r="L35" s="1363"/>
      <c r="M35" s="1363"/>
      <c r="N35" s="1363"/>
      <c r="O35" s="1363"/>
      <c r="P35" s="1363"/>
      <c r="Q35" s="1363"/>
      <c r="R35" s="1363"/>
      <c r="S35" s="1363"/>
      <c r="T35" s="1363"/>
      <c r="U35" s="1363"/>
      <c r="V35" s="1363"/>
      <c r="W35" s="1363"/>
      <c r="X35" s="1363"/>
      <c r="Y35" s="1363"/>
      <c r="Z35" s="1364"/>
    </row>
    <row r="36" spans="1:37" ht="13.5" thickBot="1">
      <c r="A36" s="3465"/>
      <c r="B36" s="2755" t="s">
        <v>2921</v>
      </c>
      <c r="C36" s="202" t="e">
        <f>ROUND(D5*C19*C20*C24*F36,0)</f>
        <v>#DIV/0!</v>
      </c>
      <c r="D36" s="2835"/>
      <c r="E36" s="196" t="e">
        <f t="shared" si="7"/>
        <v>#DIV/0!</v>
      </c>
      <c r="F36" s="196">
        <f>SUMIF(修正!A45:A56,G2,修正!E45:E56)</f>
        <v>0</v>
      </c>
      <c r="G36" s="196" t="e">
        <f>ROUND(IF(E2="工业",C36*$M$39,C36*$M$38),0)</f>
        <v>#DIV/0!</v>
      </c>
      <c r="H36" s="196">
        <f t="shared" si="8"/>
        <v>0</v>
      </c>
      <c r="I36" s="196" t="e">
        <f t="shared" si="9"/>
        <v>#DIV/0!</v>
      </c>
      <c r="J36" s="2852"/>
      <c r="K36" s="1363"/>
      <c r="L36" s="2709"/>
      <c r="M36" s="2709"/>
      <c r="N36" s="1363"/>
      <c r="O36" s="1363"/>
      <c r="P36" s="1363"/>
      <c r="Q36" s="1363"/>
      <c r="R36" s="1363"/>
      <c r="S36" s="1363"/>
      <c r="T36" s="1363"/>
      <c r="U36" s="1363"/>
      <c r="V36" s="1363"/>
      <c r="W36" s="1363"/>
      <c r="X36" s="1363"/>
      <c r="Y36" s="1363"/>
      <c r="Z36" s="1364"/>
    </row>
    <row r="37" spans="1:37">
      <c r="A37" s="2853"/>
      <c r="B37" s="2755" t="s">
        <v>2922</v>
      </c>
      <c r="C37" s="196" t="e">
        <f>ROUND(C5*C19*C20*C24*F37,0)</f>
        <v>#DIV/0!</v>
      </c>
      <c r="D37" s="2835"/>
      <c r="E37" s="196" t="e">
        <f t="shared" si="7"/>
        <v>#DIV/0!</v>
      </c>
      <c r="F37" s="202">
        <f>SUMIF(修正!A45:A56,G2,修正!F45:F56)</f>
        <v>0</v>
      </c>
      <c r="G37" s="196" t="e">
        <f>ROUND(IF(E2="工业",C37*$M$39,C37*$M$38),0)</f>
        <v>#DIV/0!</v>
      </c>
      <c r="H37" s="196">
        <f t="shared" si="8"/>
        <v>0</v>
      </c>
      <c r="I37" s="196" t="e">
        <f t="shared" si="9"/>
        <v>#DIV/0!</v>
      </c>
      <c r="J37" s="2852"/>
      <c r="K37" s="1363"/>
      <c r="L37" s="2854" t="s">
        <v>2923</v>
      </c>
      <c r="M37" s="2855"/>
      <c r="N37" s="1363"/>
      <c r="O37" s="1363"/>
      <c r="P37" s="1363"/>
      <c r="Q37" s="1363"/>
      <c r="R37" s="1363"/>
      <c r="S37" s="1363"/>
      <c r="T37" s="1363"/>
      <c r="U37" s="1363"/>
      <c r="V37" s="1363"/>
      <c r="W37" s="1363"/>
      <c r="X37" s="1363"/>
      <c r="Y37" s="1363"/>
      <c r="Z37" s="1364"/>
    </row>
    <row r="38" spans="1:37">
      <c r="A38" s="2853"/>
      <c r="B38" s="2755" t="s">
        <v>2924</v>
      </c>
      <c r="C38" s="196" t="e">
        <f>ROUND(C5*C19*C20*C24*F38,0)</f>
        <v>#DIV/0!</v>
      </c>
      <c r="D38" s="2835"/>
      <c r="E38" s="196" t="e">
        <f t="shared" si="7"/>
        <v>#DIV/0!</v>
      </c>
      <c r="F38" s="202">
        <f>SUMIF(修正!A45:A56,G2,修正!G45:G56)</f>
        <v>0</v>
      </c>
      <c r="G38" s="196" t="e">
        <f>ROUND(IF(E2="工业",C38*$M$39,C38*$M$38),0)</f>
        <v>#DIV/0!</v>
      </c>
      <c r="H38" s="196">
        <f t="shared" si="8"/>
        <v>0</v>
      </c>
      <c r="I38" s="196" t="e">
        <f t="shared" si="9"/>
        <v>#DIV/0!</v>
      </c>
      <c r="J38" s="2852"/>
      <c r="K38" s="1363"/>
      <c r="L38" s="1879" t="s">
        <v>2925</v>
      </c>
      <c r="M38" s="2856">
        <v>0.25</v>
      </c>
      <c r="N38" s="1363"/>
      <c r="O38" s="1363"/>
      <c r="P38" s="1363"/>
      <c r="Q38" s="1363"/>
      <c r="R38" s="1363"/>
      <c r="S38" s="1363"/>
      <c r="T38" s="1363"/>
      <c r="U38" s="1363"/>
      <c r="V38" s="1363"/>
      <c r="W38" s="1363"/>
      <c r="X38" s="1363"/>
      <c r="Y38" s="1363"/>
      <c r="Z38" s="1364"/>
    </row>
    <row r="39" spans="1:37" ht="13.5" thickBot="1">
      <c r="A39" s="2839"/>
      <c r="B39" s="2857" t="s">
        <v>2926</v>
      </c>
      <c r="C39" s="225" t="e">
        <f>ROUND(C5*C19*C20*C24*F39,0)</f>
        <v>#DIV/0!</v>
      </c>
      <c r="D39" s="2841"/>
      <c r="E39" s="225" t="e">
        <f t="shared" si="7"/>
        <v>#DIV/0!</v>
      </c>
      <c r="F39" s="925">
        <f>SUMIF(修正!A45:A56,G2,修正!H45:H56)</f>
        <v>0</v>
      </c>
      <c r="G39" s="225" t="e">
        <f>ROUND(IF(E2="工业",C39*$M$39,C39*$M$38),0)</f>
        <v>#DIV/0!</v>
      </c>
      <c r="H39" s="225">
        <f t="shared" si="8"/>
        <v>0</v>
      </c>
      <c r="I39" s="225" t="e">
        <f t="shared" si="9"/>
        <v>#DIV/0!</v>
      </c>
      <c r="J39" s="2858"/>
      <c r="K39" s="1363"/>
      <c r="L39" s="2859" t="s">
        <v>2867</v>
      </c>
      <c r="M39" s="286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1"/>
      <c r="Z41" s="1364"/>
      <c r="AA41" s="1364"/>
      <c r="AB41" s="1364"/>
      <c r="AC41" s="1364"/>
      <c r="AD41" s="1364"/>
      <c r="AE41" s="1364"/>
      <c r="AF41" s="1364"/>
      <c r="AG41" s="1364"/>
      <c r="AH41" s="1364"/>
      <c r="AI41" s="1364"/>
      <c r="AJ41" s="1364"/>
    </row>
    <row r="42" spans="1:37" s="1363" customFormat="1">
      <c r="A42" s="1364"/>
      <c r="B42" s="2861"/>
      <c r="Z42" s="1364"/>
      <c r="AA42" s="1364"/>
      <c r="AB42" s="1364"/>
      <c r="AC42" s="1364"/>
      <c r="AD42" s="1364"/>
      <c r="AE42" s="1364"/>
      <c r="AF42" s="1364"/>
      <c r="AG42" s="1364"/>
      <c r="AH42" s="1364"/>
      <c r="AI42" s="1364"/>
      <c r="AJ42" s="1364"/>
    </row>
    <row r="43" spans="1:37" s="1363" customFormat="1">
      <c r="A43" s="1364"/>
      <c r="B43" s="2861"/>
      <c r="Z43" s="1364"/>
      <c r="AA43" s="1364"/>
      <c r="AB43" s="1364"/>
      <c r="AC43" s="1364"/>
      <c r="AD43" s="1364"/>
      <c r="AE43" s="1364"/>
      <c r="AF43" s="1364"/>
      <c r="AG43" s="1364"/>
      <c r="AH43" s="1364"/>
      <c r="AI43" s="1364"/>
      <c r="AJ43" s="1364"/>
    </row>
    <row r="44" spans="1:37" s="1363" customFormat="1">
      <c r="A44" s="1364"/>
      <c r="B44" s="2861"/>
      <c r="Z44" s="1364"/>
      <c r="AA44" s="1364"/>
      <c r="AB44" s="1364"/>
      <c r="AC44" s="1364"/>
      <c r="AD44" s="1364"/>
      <c r="AE44" s="1364"/>
      <c r="AF44" s="1364"/>
      <c r="AG44" s="1364"/>
      <c r="AH44" s="1364"/>
      <c r="AI44" s="1364"/>
      <c r="AJ44" s="1364"/>
    </row>
    <row r="45" spans="1:37" s="1363" customFormat="1" ht="15.75" thickBot="1">
      <c r="A45" s="2862" t="s">
        <v>2927</v>
      </c>
      <c r="B45" s="2863"/>
      <c r="C45" s="7"/>
      <c r="D45" s="7"/>
      <c r="E45" s="7"/>
      <c r="F45" s="6"/>
      <c r="G45" s="6"/>
      <c r="H45" s="6"/>
      <c r="I45" s="7"/>
      <c r="J45" s="7"/>
      <c r="K45" s="7"/>
      <c r="L45" s="7"/>
      <c r="M45" s="7"/>
      <c r="N45" s="2778"/>
      <c r="Z45" s="1364"/>
      <c r="AA45" s="1364"/>
      <c r="AB45" s="1364"/>
      <c r="AC45" s="1364"/>
      <c r="AD45" s="1364"/>
      <c r="AE45" s="1364"/>
      <c r="AF45" s="1364"/>
      <c r="AG45" s="1364"/>
      <c r="AH45" s="1364"/>
      <c r="AI45" s="1364"/>
      <c r="AJ45" s="1364"/>
    </row>
    <row r="46" spans="1:37" s="1363" customFormat="1" ht="15">
      <c r="A46" s="2864" t="s">
        <v>2928</v>
      </c>
      <c r="B46" s="2865">
        <f>1+E48</f>
        <v>1</v>
      </c>
      <c r="C46" s="2866"/>
      <c r="D46" s="804"/>
      <c r="E46" s="805"/>
      <c r="F46" s="2867"/>
      <c r="G46" s="6"/>
      <c r="H46" s="7"/>
      <c r="I46" s="7"/>
      <c r="J46" s="7"/>
      <c r="K46" s="7"/>
      <c r="L46" s="7"/>
      <c r="M46" s="7"/>
      <c r="N46" s="2778"/>
      <c r="Z46" s="1364"/>
      <c r="AA46" s="1364"/>
      <c r="AB46" s="1364"/>
      <c r="AC46" s="1364"/>
      <c r="AD46" s="1364"/>
      <c r="AE46" s="1364"/>
      <c r="AF46" s="1364"/>
      <c r="AG46" s="1364"/>
      <c r="AH46" s="1364"/>
      <c r="AI46" s="1364"/>
      <c r="AJ46" s="1364"/>
    </row>
    <row r="47" spans="1:37" s="1363" customFormat="1" ht="24.75">
      <c r="A47" s="2868" t="s">
        <v>2929</v>
      </c>
      <c r="B47" s="1801" t="s">
        <v>2930</v>
      </c>
      <c r="C47" s="1801" t="s">
        <v>2931</v>
      </c>
      <c r="D47" s="1801" t="s">
        <v>2932</v>
      </c>
      <c r="E47" s="809" t="s">
        <v>2933</v>
      </c>
      <c r="F47" s="2869" t="s">
        <v>2934</v>
      </c>
      <c r="G47" s="1801" t="s">
        <v>754</v>
      </c>
      <c r="H47" s="2870" t="s">
        <v>2935</v>
      </c>
      <c r="I47" s="1801" t="s">
        <v>2936</v>
      </c>
      <c r="J47" s="599" t="s">
        <v>2584</v>
      </c>
      <c r="K47" s="599" t="s">
        <v>2585</v>
      </c>
      <c r="L47" s="599" t="s">
        <v>2586</v>
      </c>
      <c r="M47" s="599" t="s">
        <v>2587</v>
      </c>
      <c r="N47" s="599" t="s">
        <v>2588</v>
      </c>
      <c r="AA47" s="1364"/>
      <c r="AB47" s="1364"/>
      <c r="AC47" s="1364"/>
      <c r="AD47" s="1364"/>
      <c r="AE47" s="1364"/>
      <c r="AF47" s="1364"/>
      <c r="AG47" s="1364"/>
      <c r="AH47" s="1364"/>
      <c r="AI47" s="1364"/>
      <c r="AJ47" s="1364"/>
      <c r="AK47" s="1364"/>
    </row>
    <row r="48" spans="1:37" s="1363" customFormat="1" ht="25.5">
      <c r="A48" s="2868" t="s">
        <v>2937</v>
      </c>
      <c r="B48" s="2871" t="str">
        <f>估价对象房地状况!C4</f>
        <v>XX商圈，周边商业氛围，人流量</v>
      </c>
      <c r="C48" s="2760"/>
      <c r="D48" s="1279">
        <f t="shared" ref="D48:D56" si="10">SUMIF($J$47:$N$47,C48,J48:N48)</f>
        <v>0</v>
      </c>
      <c r="E48" s="811">
        <f>ROUND(SUM(D48:D56),4)</f>
        <v>0</v>
      </c>
      <c r="F48" s="2491"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38.25">
      <c r="A49" s="2868" t="s">
        <v>2938</v>
      </c>
      <c r="B49" s="2872" t="str">
        <f>估价对象房地状况!C18</f>
        <v>周边道路状况、公共交通通达情况、停车便捷程度（地铁三号线观音桥</v>
      </c>
      <c r="C49" s="2760"/>
      <c r="D49" s="1279">
        <f t="shared" si="10"/>
        <v>0</v>
      </c>
      <c r="E49" s="812"/>
      <c r="F49" s="2491"/>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8" t="s">
        <v>2939</v>
      </c>
      <c r="B50" s="2872">
        <f>估价对象房地状况!C19</f>
        <v>0</v>
      </c>
      <c r="C50" s="2760"/>
      <c r="D50" s="1279">
        <f t="shared" si="10"/>
        <v>0</v>
      </c>
      <c r="E50" s="812"/>
      <c r="F50" s="2491"/>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8" t="s">
        <v>2940</v>
      </c>
      <c r="B51" s="2873" t="s">
        <v>2941</v>
      </c>
      <c r="C51" s="2760"/>
      <c r="D51" s="1279">
        <f t="shared" si="10"/>
        <v>0</v>
      </c>
      <c r="E51" s="812"/>
      <c r="F51" s="2491"/>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8" t="s">
        <v>2942</v>
      </c>
      <c r="B52" s="2872">
        <f>估价对象房地状况!C24</f>
        <v>0</v>
      </c>
      <c r="C52" s="2760"/>
      <c r="D52" s="1279">
        <f t="shared" si="10"/>
        <v>0</v>
      </c>
      <c r="E52" s="812"/>
      <c r="F52" s="2491"/>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8" t="s">
        <v>2943</v>
      </c>
      <c r="B53" s="2874" t="s">
        <v>2944</v>
      </c>
      <c r="C53" s="2760"/>
      <c r="D53" s="1279">
        <f t="shared" si="10"/>
        <v>0</v>
      </c>
      <c r="E53" s="812"/>
      <c r="F53" s="2491"/>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75" t="s">
        <v>2945</v>
      </c>
      <c r="B54" s="1717">
        <f>估价对象房地状况!C21</f>
        <v>0</v>
      </c>
      <c r="C54" s="2760"/>
      <c r="D54" s="1279">
        <f t="shared" si="10"/>
        <v>0</v>
      </c>
      <c r="E54" s="812"/>
      <c r="F54" s="2491"/>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75" t="s">
        <v>2946</v>
      </c>
      <c r="B55" s="2872">
        <f>估价对象房地状况!C22</f>
        <v>0</v>
      </c>
      <c r="C55" s="2760"/>
      <c r="D55" s="1279">
        <f t="shared" si="10"/>
        <v>0</v>
      </c>
      <c r="E55" s="812"/>
      <c r="F55" s="2491"/>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24.75" thickBot="1">
      <c r="A56" s="2876" t="s">
        <v>2947</v>
      </c>
      <c r="B56" s="2877">
        <f>估价对象房地状况!C20</f>
        <v>0</v>
      </c>
      <c r="C56" s="2760"/>
      <c r="D56" s="1279">
        <f t="shared" si="10"/>
        <v>0</v>
      </c>
      <c r="E56" s="815"/>
      <c r="F56" s="2491"/>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4" t="s">
        <v>2948</v>
      </c>
      <c r="B57" s="2865">
        <f>1+E59</f>
        <v>1</v>
      </c>
      <c r="C57" s="804"/>
      <c r="D57" s="804"/>
      <c r="E57" s="805"/>
      <c r="F57" s="286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8" t="s">
        <v>2929</v>
      </c>
      <c r="B58" s="1801"/>
      <c r="C58" s="1801" t="s">
        <v>2931</v>
      </c>
      <c r="D58" s="1801" t="s">
        <v>2932</v>
      </c>
      <c r="E58" s="809" t="s">
        <v>2933</v>
      </c>
      <c r="F58" s="2869" t="s">
        <v>2949</v>
      </c>
      <c r="G58" s="1801" t="s">
        <v>754</v>
      </c>
      <c r="H58" s="2870" t="s">
        <v>2935</v>
      </c>
      <c r="I58" s="1801" t="s">
        <v>2936</v>
      </c>
      <c r="J58" s="599" t="s">
        <v>2584</v>
      </c>
      <c r="K58" s="599" t="s">
        <v>2585</v>
      </c>
      <c r="L58" s="599" t="s">
        <v>2586</v>
      </c>
      <c r="M58" s="599" t="s">
        <v>2587</v>
      </c>
      <c r="N58" s="599" t="s">
        <v>2588</v>
      </c>
      <c r="AA58" s="1364"/>
      <c r="AB58" s="1364"/>
      <c r="AC58" s="1364"/>
      <c r="AD58" s="1364"/>
      <c r="AE58" s="1364"/>
      <c r="AF58" s="1364"/>
      <c r="AG58" s="1364"/>
      <c r="AH58" s="1364"/>
      <c r="AI58" s="1364"/>
      <c r="AJ58" s="1364"/>
      <c r="AK58" s="1364"/>
    </row>
    <row r="59" spans="1:37" s="1363" customFormat="1" ht="25.5">
      <c r="A59" s="2868" t="s">
        <v>2950</v>
      </c>
      <c r="B59" s="2871" t="str">
        <f>估价对象房地状况!C17</f>
        <v>XX商圈，周边办公楼项目，入驻率</v>
      </c>
      <c r="C59" s="2760"/>
      <c r="D59" s="1279">
        <f t="shared" ref="D59:D67" si="15">SUMIF($J$58:$N$58,C59,J59:N59)</f>
        <v>0</v>
      </c>
      <c r="E59" s="811">
        <f>ROUND(SUM(D59:D67),4)</f>
        <v>0</v>
      </c>
      <c r="F59" s="2491"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38.25">
      <c r="A60" s="2868" t="s">
        <v>2938</v>
      </c>
      <c r="B60" s="2872" t="str">
        <f>估价对象房地状况!C18</f>
        <v>周边道路状况、公共交通通达情况、停车便捷程度（地铁三号线观音桥</v>
      </c>
      <c r="C60" s="2760"/>
      <c r="D60" s="1279">
        <f t="shared" si="15"/>
        <v>0</v>
      </c>
      <c r="E60" s="812"/>
      <c r="F60" s="2491"/>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8" t="s">
        <v>2939</v>
      </c>
      <c r="B61" s="2872">
        <f>估价对象房地状况!C19</f>
        <v>0</v>
      </c>
      <c r="C61" s="2760"/>
      <c r="D61" s="1279">
        <f t="shared" si="15"/>
        <v>0</v>
      </c>
      <c r="E61" s="812"/>
      <c r="F61" s="2491"/>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8" t="s">
        <v>2940</v>
      </c>
      <c r="B62" s="2873" t="s">
        <v>2941</v>
      </c>
      <c r="C62" s="2760"/>
      <c r="D62" s="1279">
        <f t="shared" si="15"/>
        <v>0</v>
      </c>
      <c r="E62" s="812"/>
      <c r="F62" s="2491"/>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8" t="s">
        <v>2942</v>
      </c>
      <c r="B63" s="2872">
        <f>估价对象房地状况!C24</f>
        <v>0</v>
      </c>
      <c r="C63" s="2760"/>
      <c r="D63" s="1279">
        <f t="shared" si="15"/>
        <v>0</v>
      </c>
      <c r="E63" s="812"/>
      <c r="F63" s="2491"/>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8" t="s">
        <v>2943</v>
      </c>
      <c r="B64" s="2874" t="s">
        <v>2944</v>
      </c>
      <c r="C64" s="2760"/>
      <c r="D64" s="1279">
        <f t="shared" si="15"/>
        <v>0</v>
      </c>
      <c r="E64" s="812"/>
      <c r="F64" s="2491"/>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68" t="s">
        <v>2945</v>
      </c>
      <c r="B65" s="1717">
        <f>估价对象房地状况!C21</f>
        <v>0</v>
      </c>
      <c r="C65" s="2760"/>
      <c r="D65" s="1279">
        <f t="shared" si="15"/>
        <v>0</v>
      </c>
      <c r="E65" s="812"/>
      <c r="F65" s="2491"/>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8" t="s">
        <v>2946</v>
      </c>
      <c r="B66" s="1717">
        <f>估价对象房地状况!C22</f>
        <v>0</v>
      </c>
      <c r="C66" s="2760"/>
      <c r="D66" s="1279">
        <f t="shared" si="15"/>
        <v>0</v>
      </c>
      <c r="E66" s="812"/>
      <c r="F66" s="2491"/>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24.75" thickBot="1">
      <c r="A67" s="2876" t="s">
        <v>2947</v>
      </c>
      <c r="B67" s="2878">
        <f>估价对象房地状况!C20</f>
        <v>0</v>
      </c>
      <c r="C67" s="2760"/>
      <c r="D67" s="1279">
        <f t="shared" si="15"/>
        <v>0</v>
      </c>
      <c r="E67" s="815"/>
      <c r="F67" s="2491"/>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4" t="s">
        <v>2951</v>
      </c>
      <c r="B68" s="2865">
        <f>1+E70</f>
        <v>1</v>
      </c>
      <c r="C68" s="804"/>
      <c r="D68" s="804"/>
      <c r="E68" s="805"/>
      <c r="F68" s="286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8" t="s">
        <v>2929</v>
      </c>
      <c r="B69" s="1801"/>
      <c r="C69" s="1801" t="s">
        <v>2931</v>
      </c>
      <c r="D69" s="1801" t="s">
        <v>2932</v>
      </c>
      <c r="E69" s="809" t="s">
        <v>2933</v>
      </c>
      <c r="F69" s="2869" t="s">
        <v>2949</v>
      </c>
      <c r="G69" s="1801" t="s">
        <v>754</v>
      </c>
      <c r="H69" s="2870" t="s">
        <v>2935</v>
      </c>
      <c r="I69" s="1801" t="s">
        <v>2936</v>
      </c>
      <c r="J69" s="599" t="s">
        <v>2584</v>
      </c>
      <c r="K69" s="599" t="s">
        <v>2585</v>
      </c>
      <c r="L69" s="599" t="s">
        <v>2586</v>
      </c>
      <c r="M69" s="599" t="s">
        <v>2587</v>
      </c>
      <c r="N69" s="599" t="s">
        <v>2588</v>
      </c>
      <c r="AA69" s="1364"/>
      <c r="AB69" s="1364"/>
      <c r="AC69" s="1364"/>
      <c r="AD69" s="1364"/>
      <c r="AE69" s="1364"/>
      <c r="AF69" s="1364"/>
      <c r="AG69" s="1364"/>
      <c r="AH69" s="1364"/>
      <c r="AI69" s="1364"/>
      <c r="AJ69" s="1364"/>
      <c r="AK69" s="1364"/>
    </row>
    <row r="70" spans="1:37" s="1363" customFormat="1" ht="38.25">
      <c r="A70" s="2868" t="s">
        <v>2952</v>
      </c>
      <c r="B70" s="2871" t="str">
        <f>估价对象房地状况!C15</f>
        <v>周边居住用地比例、居住小区规模和社区发展完善程度</v>
      </c>
      <c r="C70" s="2760"/>
      <c r="D70" s="1279">
        <f t="shared" ref="D70:D78" si="20">SUMIF($J$69:$N$69,C70,J70:N70)</f>
        <v>0</v>
      </c>
      <c r="E70" s="811">
        <f>ROUND(SUM(D70:D78),4)</f>
        <v>0</v>
      </c>
      <c r="F70" s="2491"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38.25">
      <c r="A71" s="2868" t="s">
        <v>2938</v>
      </c>
      <c r="B71" s="2872" t="str">
        <f>估价对象房地状况!C18</f>
        <v>周边道路状况、公共交通通达情况、停车便捷程度（地铁三号线观音桥</v>
      </c>
      <c r="C71" s="2760"/>
      <c r="D71" s="1279">
        <f t="shared" si="20"/>
        <v>0</v>
      </c>
      <c r="E71" s="816"/>
      <c r="F71" s="2491"/>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8" t="s">
        <v>2939</v>
      </c>
      <c r="B72" s="2872">
        <f>估价对象房地状况!C19</f>
        <v>0</v>
      </c>
      <c r="C72" s="2760"/>
      <c r="D72" s="1279">
        <f t="shared" si="20"/>
        <v>0</v>
      </c>
      <c r="E72" s="816"/>
      <c r="F72" s="2491"/>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8" t="s">
        <v>2953</v>
      </c>
      <c r="B73" s="2872">
        <f>估价对象房地状况!C24</f>
        <v>0</v>
      </c>
      <c r="C73" s="2760"/>
      <c r="D73" s="1279">
        <f t="shared" si="20"/>
        <v>0</v>
      </c>
      <c r="E73" s="816"/>
      <c r="F73" s="2491"/>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68" t="s">
        <v>2945</v>
      </c>
      <c r="B74" s="1717">
        <f>估价对象房地状况!C21</f>
        <v>0</v>
      </c>
      <c r="C74" s="2760"/>
      <c r="D74" s="1279">
        <f t="shared" si="20"/>
        <v>0</v>
      </c>
      <c r="E74" s="816"/>
      <c r="F74" s="2491"/>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8" t="s">
        <v>2946</v>
      </c>
      <c r="B75" s="1717">
        <f>估价对象房地状况!C22</f>
        <v>0</v>
      </c>
      <c r="C75" s="2760"/>
      <c r="D75" s="1279">
        <f t="shared" si="20"/>
        <v>0</v>
      </c>
      <c r="E75" s="816"/>
      <c r="F75" s="2491"/>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9" customFormat="1" ht="24">
      <c r="A76" s="2868" t="s">
        <v>2943</v>
      </c>
      <c r="B76" s="2874" t="s">
        <v>2944</v>
      </c>
      <c r="C76" s="2760"/>
      <c r="D76" s="1279">
        <f t="shared" si="20"/>
        <v>0</v>
      </c>
      <c r="E76" s="816"/>
      <c r="F76" s="2491"/>
      <c r="G76" s="1277"/>
      <c r="H76" s="1281" t="str">
        <f t="shared" si="21"/>
        <v>——</v>
      </c>
      <c r="I76" s="810">
        <v>0.05</v>
      </c>
      <c r="J76" s="1278">
        <f t="shared" si="22"/>
        <v>0</v>
      </c>
      <c r="K76" s="1278">
        <f t="shared" si="23"/>
        <v>0</v>
      </c>
      <c r="L76" s="1278">
        <v>0</v>
      </c>
      <c r="M76" s="1278">
        <f t="shared" si="24"/>
        <v>0</v>
      </c>
      <c r="N76" s="1278">
        <f t="shared" si="24"/>
        <v>0</v>
      </c>
      <c r="AA76" s="2879"/>
      <c r="AB76" s="1364"/>
      <c r="AC76" s="1364"/>
      <c r="AD76" s="1364"/>
      <c r="AE76" s="1364"/>
      <c r="AF76" s="1364"/>
      <c r="AG76" s="1364"/>
      <c r="AH76" s="2879"/>
      <c r="AI76" s="2879"/>
      <c r="AJ76" s="2879"/>
      <c r="AK76" s="2879"/>
    </row>
    <row r="77" spans="1:37" ht="24">
      <c r="A77" s="2868" t="s">
        <v>2947</v>
      </c>
      <c r="B77" s="2871">
        <f>估价对象房地状况!C20</f>
        <v>0</v>
      </c>
      <c r="C77" s="2760"/>
      <c r="D77" s="1279">
        <f t="shared" si="20"/>
        <v>0</v>
      </c>
      <c r="E77" s="816"/>
      <c r="F77" s="2491"/>
      <c r="G77" s="1277"/>
      <c r="H77" s="1281" t="str">
        <f t="shared" si="21"/>
        <v>——</v>
      </c>
      <c r="I77" s="810">
        <v>0.15</v>
      </c>
      <c r="J77" s="1278">
        <f t="shared" si="22"/>
        <v>0</v>
      </c>
      <c r="K77" s="1278">
        <f t="shared" si="23"/>
        <v>0</v>
      </c>
      <c r="L77" s="1278">
        <v>0</v>
      </c>
      <c r="M77" s="1278">
        <f t="shared" si="24"/>
        <v>0</v>
      </c>
      <c r="N77" s="1278">
        <f t="shared" si="24"/>
        <v>0</v>
      </c>
      <c r="Z77" s="2710"/>
      <c r="AA77" s="2786"/>
      <c r="AG77" s="1365"/>
      <c r="AK77" s="2786"/>
    </row>
    <row r="78" spans="1:37" ht="24.75" thickBot="1">
      <c r="A78" s="2876" t="s">
        <v>2954</v>
      </c>
      <c r="B78" s="2880"/>
      <c r="C78" s="2760"/>
      <c r="D78" s="1279">
        <f t="shared" si="20"/>
        <v>0</v>
      </c>
      <c r="E78" s="817"/>
      <c r="F78" s="2491"/>
      <c r="G78" s="1277"/>
      <c r="H78" s="1281" t="str">
        <f t="shared" si="21"/>
        <v>——</v>
      </c>
      <c r="I78" s="814">
        <v>0.04</v>
      </c>
      <c r="J78" s="1278">
        <f t="shared" si="22"/>
        <v>0</v>
      </c>
      <c r="K78" s="1278">
        <f t="shared" si="23"/>
        <v>0</v>
      </c>
      <c r="L78" s="1278">
        <v>0</v>
      </c>
      <c r="M78" s="1278">
        <f t="shared" si="24"/>
        <v>0</v>
      </c>
      <c r="N78" s="1278">
        <f t="shared" si="24"/>
        <v>0</v>
      </c>
      <c r="Z78" s="2710"/>
      <c r="AA78" s="2786"/>
      <c r="AG78" s="1365"/>
      <c r="AK78" s="2786"/>
    </row>
    <row r="79" spans="1:37" ht="15">
      <c r="A79" s="2864" t="s">
        <v>2955</v>
      </c>
      <c r="B79" s="2865">
        <f>1+E81</f>
        <v>1</v>
      </c>
      <c r="C79" s="804"/>
      <c r="D79" s="804"/>
      <c r="E79" s="805"/>
      <c r="F79" s="2867"/>
      <c r="G79" s="6"/>
      <c r="H79" s="6"/>
      <c r="I79" s="6"/>
      <c r="J79" s="7"/>
      <c r="K79" s="7"/>
      <c r="L79" s="7"/>
      <c r="M79" s="7"/>
      <c r="N79" s="7"/>
      <c r="Z79" s="2710"/>
      <c r="AA79" s="2786"/>
      <c r="AG79" s="1365"/>
      <c r="AK79" s="2786"/>
    </row>
    <row r="80" spans="1:37" ht="24.75">
      <c r="A80" s="2868" t="s">
        <v>2929</v>
      </c>
      <c r="B80" s="1801"/>
      <c r="C80" s="1801" t="s">
        <v>2931</v>
      </c>
      <c r="D80" s="1801" t="s">
        <v>2932</v>
      </c>
      <c r="E80" s="809" t="s">
        <v>2933</v>
      </c>
      <c r="F80" s="2869" t="s">
        <v>2949</v>
      </c>
      <c r="G80" s="1801" t="s">
        <v>754</v>
      </c>
      <c r="H80" s="2870" t="s">
        <v>2935</v>
      </c>
      <c r="I80" s="1801" t="s">
        <v>2936</v>
      </c>
      <c r="J80" s="599" t="s">
        <v>2584</v>
      </c>
      <c r="K80" s="599" t="s">
        <v>2585</v>
      </c>
      <c r="L80" s="599" t="s">
        <v>2586</v>
      </c>
      <c r="M80" s="599" t="s">
        <v>2587</v>
      </c>
      <c r="N80" s="599" t="s">
        <v>2588</v>
      </c>
      <c r="Z80" s="2710"/>
      <c r="AA80" s="2786"/>
      <c r="AG80" s="1365"/>
      <c r="AK80" s="2786"/>
    </row>
    <row r="81" spans="1:37" ht="24">
      <c r="A81" s="2868" t="s">
        <v>2956</v>
      </c>
      <c r="B81" s="2872">
        <f>估价对象房地状况!G15</f>
        <v>0</v>
      </c>
      <c r="C81" s="2760"/>
      <c r="D81" s="1279">
        <f t="shared" ref="D81:D88" si="25">SUMIF($J$80:$N$80,C81,J81:N81)</f>
        <v>0</v>
      </c>
      <c r="E81" s="811">
        <f>ROUND(SUM(D81:D88),4)</f>
        <v>0</v>
      </c>
      <c r="F81" s="2491"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0"/>
      <c r="AA81" s="2786"/>
      <c r="AG81" s="1365"/>
      <c r="AK81" s="2786"/>
    </row>
    <row r="82" spans="1:37" ht="14.25">
      <c r="A82" s="2868" t="s">
        <v>2938</v>
      </c>
      <c r="B82" s="2872">
        <f>估价对象房地状况!G16</f>
        <v>0</v>
      </c>
      <c r="C82" s="2760"/>
      <c r="D82" s="1279">
        <f t="shared" si="25"/>
        <v>0</v>
      </c>
      <c r="E82" s="816"/>
      <c r="F82" s="2491"/>
      <c r="G82" s="1277"/>
      <c r="H82" s="1281" t="str">
        <f t="shared" si="26"/>
        <v>——</v>
      </c>
      <c r="I82" s="810">
        <v>0.33</v>
      </c>
      <c r="J82" s="1278">
        <f t="shared" si="27"/>
        <v>0</v>
      </c>
      <c r="K82" s="1278">
        <f t="shared" si="28"/>
        <v>0</v>
      </c>
      <c r="L82" s="1278">
        <v>0</v>
      </c>
      <c r="M82" s="1278">
        <f t="shared" si="29"/>
        <v>0</v>
      </c>
      <c r="N82" s="1278">
        <f t="shared" si="29"/>
        <v>0</v>
      </c>
      <c r="Z82" s="2710"/>
      <c r="AA82" s="2786"/>
      <c r="AG82" s="1365"/>
      <c r="AK82" s="2786"/>
    </row>
    <row r="83" spans="1:37" ht="24">
      <c r="A83" s="2868" t="s">
        <v>2939</v>
      </c>
      <c r="B83" s="2872">
        <f>估价对象房地状况!G17</f>
        <v>0</v>
      </c>
      <c r="C83" s="2760"/>
      <c r="D83" s="1279">
        <f t="shared" si="25"/>
        <v>0</v>
      </c>
      <c r="E83" s="816"/>
      <c r="F83" s="2491"/>
      <c r="G83" s="1277"/>
      <c r="H83" s="1281" t="str">
        <f t="shared" si="26"/>
        <v>——</v>
      </c>
      <c r="I83" s="810">
        <v>0.05</v>
      </c>
      <c r="J83" s="1278">
        <f t="shared" si="27"/>
        <v>0</v>
      </c>
      <c r="K83" s="1278">
        <f t="shared" si="28"/>
        <v>0</v>
      </c>
      <c r="L83" s="1278">
        <v>0</v>
      </c>
      <c r="M83" s="1278">
        <f t="shared" si="29"/>
        <v>0</v>
      </c>
      <c r="N83" s="1278">
        <f t="shared" si="29"/>
        <v>0</v>
      </c>
      <c r="Z83" s="2710"/>
      <c r="AA83" s="2786"/>
      <c r="AG83" s="1365"/>
      <c r="AK83" s="2786"/>
    </row>
    <row r="84" spans="1:37" ht="14.25">
      <c r="A84" s="2868" t="s">
        <v>2953</v>
      </c>
      <c r="B84" s="2872">
        <f>估价对象房地状况!G22</f>
        <v>0</v>
      </c>
      <c r="C84" s="2760"/>
      <c r="D84" s="1279">
        <f t="shared" si="25"/>
        <v>0</v>
      </c>
      <c r="E84" s="816"/>
      <c r="F84" s="2491"/>
      <c r="G84" s="1277"/>
      <c r="H84" s="1281" t="str">
        <f t="shared" si="26"/>
        <v>——</v>
      </c>
      <c r="I84" s="810">
        <v>0.04</v>
      </c>
      <c r="J84" s="1278">
        <f t="shared" si="27"/>
        <v>0</v>
      </c>
      <c r="K84" s="1278">
        <f t="shared" si="28"/>
        <v>0</v>
      </c>
      <c r="L84" s="1278">
        <v>0</v>
      </c>
      <c r="M84" s="1278">
        <f t="shared" si="29"/>
        <v>0</v>
      </c>
      <c r="N84" s="1278">
        <f t="shared" si="29"/>
        <v>0</v>
      </c>
      <c r="Z84" s="2710"/>
      <c r="AA84" s="2786"/>
      <c r="AG84" s="1365"/>
      <c r="AK84" s="2786"/>
    </row>
    <row r="85" spans="1:37" ht="24">
      <c r="A85" s="2868" t="s">
        <v>2945</v>
      </c>
      <c r="B85" s="1717">
        <f>估价对象房地状况!G19</f>
        <v>0</v>
      </c>
      <c r="C85" s="2760"/>
      <c r="D85" s="1279">
        <f t="shared" si="25"/>
        <v>0</v>
      </c>
      <c r="E85" s="816"/>
      <c r="F85" s="2491"/>
      <c r="G85" s="1277"/>
      <c r="H85" s="1281" t="str">
        <f t="shared" si="26"/>
        <v>——</v>
      </c>
      <c r="I85" s="810">
        <v>0.06</v>
      </c>
      <c r="J85" s="1278">
        <f t="shared" si="27"/>
        <v>0</v>
      </c>
      <c r="K85" s="1278">
        <f t="shared" si="28"/>
        <v>0</v>
      </c>
      <c r="L85" s="1278">
        <v>0</v>
      </c>
      <c r="M85" s="1278">
        <f t="shared" si="29"/>
        <v>0</v>
      </c>
      <c r="N85" s="1278">
        <f t="shared" si="29"/>
        <v>0</v>
      </c>
      <c r="Z85" s="2710"/>
      <c r="AA85" s="2786"/>
      <c r="AG85" s="1365"/>
      <c r="AK85" s="2786"/>
    </row>
    <row r="86" spans="1:37" ht="24">
      <c r="A86" s="2868" t="s">
        <v>2946</v>
      </c>
      <c r="B86" s="1717">
        <f>估价对象房地状况!G20</f>
        <v>0</v>
      </c>
      <c r="C86" s="2760"/>
      <c r="D86" s="1279">
        <f t="shared" si="25"/>
        <v>0</v>
      </c>
      <c r="E86" s="816"/>
      <c r="F86" s="2491"/>
      <c r="G86" s="1277"/>
      <c r="H86" s="1281" t="str">
        <f t="shared" si="26"/>
        <v>——</v>
      </c>
      <c r="I86" s="810">
        <v>0.15</v>
      </c>
      <c r="J86" s="1278">
        <f t="shared" si="27"/>
        <v>0</v>
      </c>
      <c r="K86" s="1278">
        <f t="shared" si="28"/>
        <v>0</v>
      </c>
      <c r="L86" s="1278">
        <v>0</v>
      </c>
      <c r="M86" s="1278">
        <f t="shared" si="29"/>
        <v>0</v>
      </c>
      <c r="N86" s="1278">
        <f t="shared" si="29"/>
        <v>0</v>
      </c>
      <c r="Z86" s="2710"/>
      <c r="AA86" s="2786"/>
      <c r="AG86" s="1365"/>
      <c r="AK86" s="2786"/>
    </row>
    <row r="87" spans="1:37" ht="24">
      <c r="A87" s="2868" t="s">
        <v>2943</v>
      </c>
      <c r="B87" s="2874" t="s">
        <v>2957</v>
      </c>
      <c r="C87" s="2760"/>
      <c r="D87" s="1279">
        <f t="shared" si="25"/>
        <v>0</v>
      </c>
      <c r="E87" s="816"/>
      <c r="F87" s="2491"/>
      <c r="G87" s="1277"/>
      <c r="H87" s="1281" t="str">
        <f t="shared" si="26"/>
        <v>——</v>
      </c>
      <c r="I87" s="810">
        <v>0.05</v>
      </c>
      <c r="J87" s="1278">
        <f t="shared" si="27"/>
        <v>0</v>
      </c>
      <c r="K87" s="1278">
        <f t="shared" si="28"/>
        <v>0</v>
      </c>
      <c r="L87" s="1278">
        <v>0</v>
      </c>
      <c r="M87" s="1278">
        <f t="shared" si="29"/>
        <v>0</v>
      </c>
      <c r="N87" s="1278">
        <f t="shared" si="29"/>
        <v>0</v>
      </c>
      <c r="Z87" s="2710"/>
      <c r="AA87" s="2786"/>
      <c r="AG87" s="1365"/>
      <c r="AK87" s="2786"/>
    </row>
    <row r="88" spans="1:37" ht="15" thickBot="1">
      <c r="A88" s="2876" t="s">
        <v>2958</v>
      </c>
      <c r="B88" s="2881">
        <f>估价对象房地状况!G18</f>
        <v>0</v>
      </c>
      <c r="C88" s="2760"/>
      <c r="D88" s="1279">
        <f t="shared" si="25"/>
        <v>0</v>
      </c>
      <c r="E88" s="817"/>
      <c r="F88" s="2491"/>
      <c r="G88" s="1277"/>
      <c r="H88" s="1281" t="str">
        <f t="shared" si="26"/>
        <v>——</v>
      </c>
      <c r="I88" s="814">
        <v>0.06</v>
      </c>
      <c r="J88" s="1278">
        <f t="shared" si="27"/>
        <v>0</v>
      </c>
      <c r="K88" s="1278">
        <f t="shared" si="28"/>
        <v>0</v>
      </c>
      <c r="L88" s="1278">
        <v>0</v>
      </c>
      <c r="M88" s="1278">
        <f t="shared" si="29"/>
        <v>0</v>
      </c>
      <c r="N88" s="1278">
        <f t="shared" si="29"/>
        <v>0</v>
      </c>
      <c r="Z88" s="2710"/>
      <c r="AA88" s="2786"/>
      <c r="AG88" s="1365"/>
      <c r="AK88" s="2786"/>
    </row>
    <row r="90" spans="1:37">
      <c r="A90" s="3457" t="s">
        <v>2959</v>
      </c>
      <c r="B90" s="3457"/>
      <c r="C90" s="3457"/>
      <c r="D90" s="3457"/>
      <c r="E90" s="3457"/>
      <c r="F90" s="3457"/>
      <c r="G90" s="3457"/>
      <c r="H90" s="3457"/>
      <c r="I90" s="3457"/>
      <c r="J90" s="3457"/>
      <c r="K90" s="2882"/>
      <c r="L90" s="2882"/>
      <c r="M90" s="2882"/>
      <c r="N90" s="2882"/>
    </row>
    <row r="91" spans="1:37">
      <c r="A91" s="3459" t="s">
        <v>2960</v>
      </c>
      <c r="B91" s="3459" t="s">
        <v>2961</v>
      </c>
      <c r="C91" s="2836" t="s">
        <v>2962</v>
      </c>
      <c r="D91" s="2837"/>
      <c r="E91" s="2837"/>
      <c r="F91" s="2837"/>
      <c r="G91" s="2837"/>
      <c r="H91" s="2837"/>
      <c r="I91" s="2837"/>
      <c r="J91" s="2883"/>
      <c r="K91" s="2884"/>
      <c r="L91" s="2884"/>
      <c r="M91" s="2884"/>
      <c r="N91" s="2884"/>
    </row>
    <row r="92" spans="1:37">
      <c r="A92" s="3459"/>
      <c r="B92" s="3459"/>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460" t="s">
        <v>2963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46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46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46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46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46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461"/>
      <c r="B99" s="2885" t="s">
        <v>2842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46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460" t="s">
        <v>2964</v>
      </c>
      <c r="B101" s="2889" t="s">
        <v>2965</v>
      </c>
      <c r="C101" s="2890">
        <f>$G$3</f>
        <v>8.73</v>
      </c>
      <c r="D101" s="2890">
        <f t="shared" ref="D101:N101" si="31">$G$3</f>
        <v>8.73</v>
      </c>
      <c r="E101" s="2890">
        <f t="shared" si="31"/>
        <v>8.73</v>
      </c>
      <c r="F101" s="2890">
        <f t="shared" si="31"/>
        <v>8.73</v>
      </c>
      <c r="G101" s="2890">
        <f t="shared" si="31"/>
        <v>8.73</v>
      </c>
      <c r="H101" s="2890">
        <f t="shared" si="31"/>
        <v>8.73</v>
      </c>
      <c r="I101" s="2890">
        <f t="shared" si="31"/>
        <v>8.73</v>
      </c>
      <c r="J101" s="2890">
        <f t="shared" si="31"/>
        <v>8.73</v>
      </c>
      <c r="K101" s="2890">
        <f t="shared" si="31"/>
        <v>8.73</v>
      </c>
      <c r="L101" s="2890">
        <f t="shared" si="31"/>
        <v>8.73</v>
      </c>
      <c r="M101" s="2890">
        <f t="shared" si="31"/>
        <v>8.73</v>
      </c>
      <c r="N101" s="2890">
        <f t="shared" si="31"/>
        <v>8.73</v>
      </c>
    </row>
    <row r="102" spans="1:14">
      <c r="A102" s="3461"/>
      <c r="B102" s="2885">
        <v>1</v>
      </c>
      <c r="C102" s="2886">
        <f>1.9362/C101</f>
        <v>0.22178694158075599</v>
      </c>
      <c r="D102" s="2886">
        <f>1.9362/D101</f>
        <v>0.22178694158075599</v>
      </c>
      <c r="E102" s="2886">
        <f>1.8629/E101</f>
        <v>0.21339060710194729</v>
      </c>
      <c r="F102" s="2886">
        <f>1.8629/F101</f>
        <v>0.21339060710194729</v>
      </c>
      <c r="G102" s="2886">
        <f>1.8629/G101</f>
        <v>0.21339060710194729</v>
      </c>
      <c r="H102" s="2886">
        <f>1.8629/H101</f>
        <v>0.21339060710194729</v>
      </c>
      <c r="I102" s="2886">
        <f>1.8629/I101</f>
        <v>0.21339060710194729</v>
      </c>
      <c r="J102" s="2886">
        <f>1.942/J101</f>
        <v>0.22245131729667811</v>
      </c>
      <c r="K102" s="2886">
        <f>1.942/K101</f>
        <v>0.22245131729667811</v>
      </c>
      <c r="L102" s="2886">
        <f>1.942/L101</f>
        <v>0.22245131729667811</v>
      </c>
      <c r="M102" s="2886">
        <f>1.942/M101</f>
        <v>0.22245131729667811</v>
      </c>
      <c r="N102" s="2886">
        <f>1.942/N101</f>
        <v>0.22245131729667811</v>
      </c>
    </row>
    <row r="103" spans="1:14">
      <c r="A103" s="3461"/>
      <c r="B103" s="2885">
        <v>2</v>
      </c>
      <c r="C103" s="2886">
        <f>1.4198/C101</f>
        <v>0.16263459335624283</v>
      </c>
      <c r="D103" s="2886">
        <f>1.4198/D101</f>
        <v>0.16263459335624283</v>
      </c>
      <c r="E103" s="2886">
        <f>1.3372/E101</f>
        <v>0.1531729667812142</v>
      </c>
      <c r="F103" s="2886">
        <f>1.3372/F101</f>
        <v>0.1531729667812142</v>
      </c>
      <c r="G103" s="2886">
        <f>1.3372/G101</f>
        <v>0.1531729667812142</v>
      </c>
      <c r="H103" s="2886">
        <f>1.3372/H101</f>
        <v>0.1531729667812142</v>
      </c>
      <c r="I103" s="2886">
        <f>1.3372/I101</f>
        <v>0.1531729667812142</v>
      </c>
      <c r="J103" s="2886">
        <f>1.2799/J101</f>
        <v>0.14660939289805269</v>
      </c>
      <c r="K103" s="2886">
        <f>1.2799/K101</f>
        <v>0.14660939289805269</v>
      </c>
      <c r="L103" s="2886">
        <f>1.2799/L101</f>
        <v>0.14660939289805269</v>
      </c>
      <c r="M103" s="2886">
        <f>1.2799/M101</f>
        <v>0.14660939289805269</v>
      </c>
      <c r="N103" s="2886">
        <f>1.2799/N101</f>
        <v>0.14660939289805269</v>
      </c>
    </row>
    <row r="104" spans="1:14">
      <c r="A104" s="3461"/>
      <c r="B104" s="2885">
        <v>3</v>
      </c>
      <c r="C104" s="2886">
        <f>1.1594/C101</f>
        <v>0.13280641466208476</v>
      </c>
      <c r="D104" s="2886">
        <f>1.1594/D101</f>
        <v>0.13280641466208476</v>
      </c>
      <c r="E104" s="2886">
        <f>1.0788/E101</f>
        <v>0.12357388316151202</v>
      </c>
      <c r="F104" s="2886">
        <f>1.0788/F101</f>
        <v>0.12357388316151202</v>
      </c>
      <c r="G104" s="2886">
        <f>1.0788/G101</f>
        <v>0.12357388316151202</v>
      </c>
      <c r="H104" s="2886">
        <f>1.0788/H101</f>
        <v>0.12357388316151202</v>
      </c>
      <c r="I104" s="2886">
        <f>1.0788/I101</f>
        <v>0.12357388316151202</v>
      </c>
      <c r="J104" s="2886">
        <f>1.0072/J101</f>
        <v>0.11537227949599084</v>
      </c>
      <c r="K104" s="2886">
        <f>1.0072/K101</f>
        <v>0.11537227949599084</v>
      </c>
      <c r="L104" s="2886">
        <f>1.0072/L101</f>
        <v>0.11537227949599084</v>
      </c>
      <c r="M104" s="2886">
        <f>1.0072/M101</f>
        <v>0.11537227949599084</v>
      </c>
      <c r="N104" s="2886">
        <f>1.0072/N101</f>
        <v>0.11537227949599084</v>
      </c>
    </row>
    <row r="105" spans="1:14">
      <c r="A105" s="3461"/>
      <c r="B105" s="2885">
        <v>4</v>
      </c>
      <c r="C105" s="2886">
        <f>0.9622/C101</f>
        <v>0.1102176403207331</v>
      </c>
      <c r="D105" s="2886">
        <f>0.9622/D101</f>
        <v>0.1102176403207331</v>
      </c>
      <c r="E105" s="2886">
        <f>0.8656/E101</f>
        <v>9.9152348224513173E-2</v>
      </c>
      <c r="F105" s="2886">
        <f>0.8656/F101</f>
        <v>9.9152348224513173E-2</v>
      </c>
      <c r="G105" s="2886">
        <f>0.8656/G101</f>
        <v>9.9152348224513173E-2</v>
      </c>
      <c r="H105" s="2886">
        <f>0.8656/H101</f>
        <v>9.9152348224513173E-2</v>
      </c>
      <c r="I105" s="2886">
        <f>0.8656/I101</f>
        <v>9.9152348224513173E-2</v>
      </c>
      <c r="J105" s="2886">
        <f>0.7525/J101</f>
        <v>8.6197021764032059E-2</v>
      </c>
      <c r="K105" s="2886">
        <f>0.7525/K101</f>
        <v>8.6197021764032059E-2</v>
      </c>
      <c r="L105" s="2886">
        <f>0.7525/L101</f>
        <v>8.6197021764032059E-2</v>
      </c>
      <c r="M105" s="2886">
        <f>0.7525/M101</f>
        <v>8.6197021764032059E-2</v>
      </c>
      <c r="N105" s="2886">
        <f>0.7525/N101</f>
        <v>8.6197021764032059E-2</v>
      </c>
    </row>
    <row r="106" spans="1:14">
      <c r="A106" s="3461"/>
      <c r="B106" s="2885">
        <v>5</v>
      </c>
      <c r="C106" s="2886">
        <f>0.8417/C101</f>
        <v>9.6414662084765179E-2</v>
      </c>
      <c r="D106" s="2886">
        <f>0.8417/D101</f>
        <v>9.6414662084765179E-2</v>
      </c>
      <c r="E106" s="2886">
        <f>0.7371/E101</f>
        <v>8.4432989690721647E-2</v>
      </c>
      <c r="F106" s="2886">
        <f>0.7371/F101</f>
        <v>8.4432989690721647E-2</v>
      </c>
      <c r="G106" s="2886">
        <f>0.7371/G101</f>
        <v>8.4432989690721647E-2</v>
      </c>
      <c r="H106" s="2886">
        <f>0.7371/H101</f>
        <v>8.4432989690721647E-2</v>
      </c>
      <c r="I106" s="2886">
        <f>0.7371/I101</f>
        <v>8.4432989690721647E-2</v>
      </c>
      <c r="J106" s="2886">
        <f>0.5659/J101</f>
        <v>6.4822451317296664E-2</v>
      </c>
      <c r="K106" s="2886">
        <f>0.5659/K101</f>
        <v>6.4822451317296664E-2</v>
      </c>
      <c r="L106" s="2886">
        <f>0.5659/L101</f>
        <v>6.4822451317296664E-2</v>
      </c>
      <c r="M106" s="2886">
        <f>0.5659/M101</f>
        <v>6.4822451317296664E-2</v>
      </c>
      <c r="N106" s="2886">
        <f>0.5659/N101</f>
        <v>6.4822451317296664E-2</v>
      </c>
    </row>
    <row r="107" spans="1:14">
      <c r="A107" s="3461"/>
      <c r="B107" s="2885">
        <v>6</v>
      </c>
      <c r="C107" s="2886">
        <f>0.7608/C101</f>
        <v>8.7147766323024053E-2</v>
      </c>
      <c r="D107" s="2886">
        <f>0.7608/D101</f>
        <v>8.7147766323024053E-2</v>
      </c>
      <c r="E107" s="2886">
        <f>0.6482/E101</f>
        <v>7.4249713631156927E-2</v>
      </c>
      <c r="F107" s="2886">
        <f>0.6482/F101</f>
        <v>7.4249713631156927E-2</v>
      </c>
      <c r="G107" s="2886">
        <f>0.6482/G101</f>
        <v>7.4249713631156927E-2</v>
      </c>
      <c r="H107" s="2886">
        <f>0.6482/H101</f>
        <v>7.4249713631156927E-2</v>
      </c>
      <c r="I107" s="2886">
        <f>0.6482/I101</f>
        <v>7.4249713631156927E-2</v>
      </c>
      <c r="J107" s="2886">
        <f>0.4525/J101</f>
        <v>5.183276059564719E-2</v>
      </c>
      <c r="K107" s="2886">
        <f>0.4525/K101</f>
        <v>5.183276059564719E-2</v>
      </c>
      <c r="L107" s="2886">
        <f>0.4525/L101</f>
        <v>5.183276059564719E-2</v>
      </c>
      <c r="M107" s="2886">
        <f>0.4525/M101</f>
        <v>5.183276059564719E-2</v>
      </c>
      <c r="N107" s="2886">
        <f>0.4525/N101</f>
        <v>5.183276059564719E-2</v>
      </c>
    </row>
    <row r="108" spans="1:14">
      <c r="A108" s="3461"/>
      <c r="B108" s="3282" t="s">
        <v>2966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462"/>
      <c r="B109" s="3283"/>
      <c r="C109" s="2888">
        <f>(-0.163*(C108^2)-0.59*C108+7617)*(10^(-4))/C101</f>
        <v>8.7250859106529216E-2</v>
      </c>
      <c r="D109" s="2888">
        <f>(-0.163*(D108^2)-0.59*D108+7617)*(10^(-4))/D101</f>
        <v>8.7250859106529216E-2</v>
      </c>
      <c r="E109" s="2888">
        <f>(-0.161*(E108^2)-7.509*E108+6533)*(10^(-4))/E101</f>
        <v>7.4833906071019474E-2</v>
      </c>
      <c r="F109" s="2888">
        <f>(-0.161*(F108^2)-7.509*F108+6533)*(10^(-4))/F101</f>
        <v>7.4833906071019474E-2</v>
      </c>
      <c r="G109" s="2888">
        <f>(-0.161*(G108^2)-7.509*G108+6533)*(10^(-4))/G101</f>
        <v>7.4833906071019474E-2</v>
      </c>
      <c r="H109" s="2888">
        <f>(-0.161*(H108^2)-7.509*H108+6533)*(10^(-4))/H101</f>
        <v>7.4833906071019474E-2</v>
      </c>
      <c r="I109" s="2888">
        <f>(-0.161*(I108^2)-7.509*I108+6533)*(10^(-4))/I101</f>
        <v>7.4833906071019474E-2</v>
      </c>
      <c r="J109" s="2888">
        <f>(-0.214*(J108^2)-21.991*J108+4665)*(10^(-4))/J101</f>
        <v>5.3436426116838485E-2</v>
      </c>
      <c r="K109" s="2888">
        <f>(-0.214*(K108^2)-21.991*K108+4665)*(10^(-4))/K101</f>
        <v>5.3436426116838485E-2</v>
      </c>
      <c r="L109" s="2888">
        <f>(-0.214*(L108^2)-21.991*L108+4665)*(10^(-4))/L101</f>
        <v>5.3436426116838485E-2</v>
      </c>
      <c r="M109" s="2888">
        <f>(-0.214*(M108^2)-21.991*M108+4665)*(10^(-4))/M101</f>
        <v>5.3436426116838485E-2</v>
      </c>
      <c r="N109" s="2888">
        <f>(-0.214*(N108^2)-21.991*N108+4665)*(10^(-4))/N101</f>
        <v>5.3436426116838485E-2</v>
      </c>
    </row>
    <row r="110" spans="1:14">
      <c r="A110" s="3458" t="s">
        <v>2967</v>
      </c>
      <c r="B110" s="3458"/>
      <c r="C110" s="3458"/>
      <c r="D110" s="3458"/>
      <c r="E110" s="3458"/>
      <c r="F110" s="3458"/>
      <c r="G110" s="3458"/>
      <c r="H110" s="3458"/>
      <c r="I110" s="3458"/>
      <c r="J110" s="3458"/>
      <c r="K110" s="2891"/>
      <c r="L110" s="2891"/>
      <c r="M110" s="2891"/>
      <c r="N110" s="2891"/>
    </row>
    <row r="112" spans="1:14" ht="13.5" thickBot="1"/>
    <row r="113" spans="1:13" ht="25.5" thickBot="1">
      <c r="A113" s="893" t="s">
        <v>2968</v>
      </c>
      <c r="B113" s="1280">
        <f>G3</f>
        <v>8.73</v>
      </c>
      <c r="C113" s="894" t="s">
        <v>2969</v>
      </c>
      <c r="D113" s="895">
        <f>SUMPRODUCT((A115:A118=F113)*(B114:M114=H113)*B115:M118)</f>
        <v>0</v>
      </c>
      <c r="E113" s="2714" t="s">
        <v>2799</v>
      </c>
      <c r="F113" s="2893">
        <f>E2</f>
        <v>0</v>
      </c>
      <c r="G113" s="2714" t="s">
        <v>2800</v>
      </c>
      <c r="H113" s="2893">
        <f>G2</f>
        <v>0</v>
      </c>
      <c r="I113" s="2714"/>
      <c r="J113" s="2894"/>
      <c r="K113" s="2894"/>
      <c r="L113" s="2894"/>
      <c r="M113" s="2894"/>
    </row>
    <row r="114" spans="1:13">
      <c r="A114" s="898"/>
      <c r="B114" s="2895" t="s">
        <v>2970</v>
      </c>
      <c r="C114" s="2895" t="s">
        <v>2971</v>
      </c>
      <c r="D114" s="2895" t="s">
        <v>2972</v>
      </c>
      <c r="E114" s="2896" t="s">
        <v>2973</v>
      </c>
      <c r="F114" s="2896" t="s">
        <v>2974</v>
      </c>
      <c r="G114" s="2896" t="s">
        <v>2975</v>
      </c>
      <c r="H114" s="2897" t="s">
        <v>2976</v>
      </c>
      <c r="I114" s="2897" t="s">
        <v>2977</v>
      </c>
      <c r="J114" s="2898" t="s">
        <v>2978</v>
      </c>
      <c r="K114" s="2898" t="s">
        <v>2979</v>
      </c>
      <c r="L114" s="2898" t="s">
        <v>2980</v>
      </c>
      <c r="M114" s="2899" t="s">
        <v>2981</v>
      </c>
    </row>
    <row r="115" spans="1:13">
      <c r="A115" s="899" t="s">
        <v>2864</v>
      </c>
      <c r="B115" s="900">
        <f>ROUND(0.9335-0.0094*B113,4)</f>
        <v>0.85140000000000005</v>
      </c>
      <c r="C115" s="900">
        <f>B115</f>
        <v>0.85140000000000005</v>
      </c>
      <c r="D115" s="900">
        <f>ROUND(0.8331-0.0109*B113,4)</f>
        <v>0.7379</v>
      </c>
      <c r="E115" s="900">
        <f>D115</f>
        <v>0.7379</v>
      </c>
      <c r="F115" s="900">
        <f>E115</f>
        <v>0.7379</v>
      </c>
      <c r="G115" s="900">
        <f>F115</f>
        <v>0.7379</v>
      </c>
      <c r="H115" s="900">
        <f>G115</f>
        <v>0.7379</v>
      </c>
      <c r="I115" s="900">
        <f>ROUND(0.689-0.0155*B113,4)</f>
        <v>0.55369999999999997</v>
      </c>
      <c r="J115" s="900">
        <f t="shared" ref="J115:M118" si="33">I115</f>
        <v>0.55369999999999997</v>
      </c>
      <c r="K115" s="900">
        <f t="shared" si="33"/>
        <v>0.55369999999999997</v>
      </c>
      <c r="L115" s="900">
        <f t="shared" si="33"/>
        <v>0.55369999999999997</v>
      </c>
      <c r="M115" s="901">
        <f t="shared" si="33"/>
        <v>0.55369999999999997</v>
      </c>
    </row>
    <row r="116" spans="1:13">
      <c r="A116" s="899" t="s">
        <v>2865</v>
      </c>
      <c r="B116" s="900">
        <f>ROUND(0.949-0.012*B113,4)</f>
        <v>0.84419999999999995</v>
      </c>
      <c r="C116" s="900">
        <f>B116</f>
        <v>0.84419999999999995</v>
      </c>
      <c r="D116" s="900">
        <f>ROUND(0.8567-0.013*B113,4)</f>
        <v>0.74319999999999997</v>
      </c>
      <c r="E116" s="900">
        <f t="shared" ref="E116:H117" si="34">D116</f>
        <v>0.74319999999999997</v>
      </c>
      <c r="F116" s="900">
        <f t="shared" si="34"/>
        <v>0.74319999999999997</v>
      </c>
      <c r="G116" s="900">
        <f t="shared" si="34"/>
        <v>0.74319999999999997</v>
      </c>
      <c r="H116" s="900">
        <f t="shared" si="34"/>
        <v>0.74319999999999997</v>
      </c>
      <c r="I116" s="900">
        <f>ROUND(0.7694-0.014*B113,4)</f>
        <v>0.6472</v>
      </c>
      <c r="J116" s="900">
        <f t="shared" si="33"/>
        <v>0.6472</v>
      </c>
      <c r="K116" s="900">
        <f t="shared" si="33"/>
        <v>0.6472</v>
      </c>
      <c r="L116" s="900">
        <f t="shared" si="33"/>
        <v>0.6472</v>
      </c>
      <c r="M116" s="901">
        <f t="shared" si="33"/>
        <v>0.6472</v>
      </c>
    </row>
    <row r="117" spans="1:13">
      <c r="A117" s="899" t="s">
        <v>2866</v>
      </c>
      <c r="B117" s="900">
        <f>ROUND(0.8808-0.006*B113,4)</f>
        <v>0.82840000000000003</v>
      </c>
      <c r="C117" s="900">
        <f>B117</f>
        <v>0.82840000000000003</v>
      </c>
      <c r="D117" s="900">
        <f>ROUND(0.8748-0.008*B113,4)</f>
        <v>0.80500000000000005</v>
      </c>
      <c r="E117" s="900">
        <f t="shared" si="34"/>
        <v>0.80500000000000005</v>
      </c>
      <c r="F117" s="900">
        <f t="shared" si="34"/>
        <v>0.80500000000000005</v>
      </c>
      <c r="G117" s="900">
        <f t="shared" si="34"/>
        <v>0.80500000000000005</v>
      </c>
      <c r="H117" s="900">
        <f t="shared" si="34"/>
        <v>0.80500000000000005</v>
      </c>
      <c r="I117" s="900">
        <f>ROUND(0.7412-0.0095*B113,4)</f>
        <v>0.6583</v>
      </c>
      <c r="J117" s="900">
        <f t="shared" si="33"/>
        <v>0.6583</v>
      </c>
      <c r="K117" s="900">
        <f t="shared" si="33"/>
        <v>0.6583</v>
      </c>
      <c r="L117" s="900">
        <f t="shared" si="33"/>
        <v>0.6583</v>
      </c>
      <c r="M117" s="901">
        <f t="shared" si="33"/>
        <v>0.6583</v>
      </c>
    </row>
    <row r="118" spans="1:13" ht="13.5" thickBot="1">
      <c r="A118" s="710" t="s">
        <v>2867</v>
      </c>
      <c r="B118" s="902">
        <f>ROUND(0.7275-0.01*B113,4)</f>
        <v>0.64019999999999999</v>
      </c>
      <c r="C118" s="902">
        <f>B118</f>
        <v>0.64019999999999999</v>
      </c>
      <c r="D118" s="902">
        <f>ROUND(0.7043-0.012*B113,4)</f>
        <v>0.59950000000000003</v>
      </c>
      <c r="E118" s="902">
        <f>D118</f>
        <v>0.59950000000000003</v>
      </c>
      <c r="F118" s="902">
        <f>E118</f>
        <v>0.59950000000000003</v>
      </c>
      <c r="G118" s="902">
        <f>ROUND(0.6299-0.0122*B113,4)</f>
        <v>0.52339999999999998</v>
      </c>
      <c r="H118" s="902">
        <f>G118</f>
        <v>0.52339999999999998</v>
      </c>
      <c r="I118" s="902">
        <f>ROUND(0.5667-0.0136*B113,4)</f>
        <v>0.44800000000000001</v>
      </c>
      <c r="J118" s="902">
        <f t="shared" si="33"/>
        <v>0.44800000000000001</v>
      </c>
      <c r="K118" s="902">
        <f t="shared" si="33"/>
        <v>0.44800000000000001</v>
      </c>
      <c r="L118" s="902">
        <f t="shared" si="33"/>
        <v>0.44800000000000001</v>
      </c>
      <c r="M118" s="903">
        <f t="shared" si="33"/>
        <v>0.44800000000000001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6" customWidth="1"/>
    <col min="2" max="9" width="8.125" style="868" customWidth="1"/>
    <col min="10" max="13" width="8.125" style="806"/>
    <col min="14" max="14" width="10" style="806" customWidth="1"/>
    <col min="15" max="16" width="8.125" style="806"/>
    <col min="17" max="17" width="34.125" style="806" customWidth="1"/>
    <col min="18" max="18" width="8.125" style="806" customWidth="1"/>
    <col min="19" max="19" width="8.125" style="806"/>
    <col min="20" max="20" width="11.625" style="806" customWidth="1"/>
    <col min="21" max="16384" width="8.1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475" t="s">
        <v>183</v>
      </c>
      <c r="B18" s="872" t="s">
        <v>560</v>
      </c>
      <c r="C18" s="873" t="s">
        <v>561</v>
      </c>
      <c r="D18" s="874"/>
      <c r="E18" s="872">
        <v>1</v>
      </c>
      <c r="F18" s="875" t="s">
        <v>562</v>
      </c>
      <c r="G18" s="876"/>
      <c r="H18" s="868"/>
      <c r="I18" s="868"/>
    </row>
    <row r="19" spans="1:9" s="877" customFormat="1" ht="19.5" customHeight="1">
      <c r="A19" s="3475"/>
      <c r="B19" s="3475" t="s">
        <v>563</v>
      </c>
      <c r="C19" s="873" t="s">
        <v>564</v>
      </c>
      <c r="D19" s="874"/>
      <c r="E19" s="872">
        <v>0.9</v>
      </c>
      <c r="F19" s="875" t="s">
        <v>565</v>
      </c>
      <c r="G19" s="876"/>
      <c r="H19" s="868"/>
      <c r="I19" s="868"/>
    </row>
    <row r="20" spans="1:9" s="877" customFormat="1" ht="19.5" customHeight="1">
      <c r="A20" s="3475"/>
      <c r="B20" s="3475"/>
      <c r="C20" s="873" t="s">
        <v>566</v>
      </c>
      <c r="D20" s="874"/>
      <c r="E20" s="872">
        <v>1.1000000000000001</v>
      </c>
      <c r="F20" s="875" t="s">
        <v>567</v>
      </c>
      <c r="G20" s="876"/>
      <c r="H20" s="868"/>
      <c r="I20" s="868"/>
    </row>
    <row r="21" spans="1:9" s="877" customFormat="1" ht="19.5" customHeight="1">
      <c r="A21" s="3475"/>
      <c r="B21" s="3475"/>
      <c r="C21" s="873" t="s">
        <v>568</v>
      </c>
      <c r="D21" s="874"/>
      <c r="E21" s="872">
        <v>0.8</v>
      </c>
      <c r="F21" s="875" t="s">
        <v>569</v>
      </c>
      <c r="G21" s="876"/>
      <c r="H21" s="868"/>
      <c r="I21" s="868"/>
    </row>
    <row r="22" spans="1:9" s="877" customFormat="1" ht="19.5" customHeight="1">
      <c r="A22" s="3475"/>
      <c r="B22" s="3475"/>
      <c r="C22" s="873" t="s">
        <v>570</v>
      </c>
      <c r="D22" s="874"/>
      <c r="E22" s="872">
        <v>0.5</v>
      </c>
      <c r="F22" s="875"/>
      <c r="G22" s="876"/>
      <c r="H22" s="868"/>
      <c r="I22" s="868"/>
    </row>
    <row r="23" spans="1:9" s="877" customFormat="1" ht="19.5" customHeight="1">
      <c r="A23" s="3475" t="s">
        <v>184</v>
      </c>
      <c r="B23" s="872" t="s">
        <v>560</v>
      </c>
      <c r="C23" s="873" t="s">
        <v>571</v>
      </c>
      <c r="D23" s="874"/>
      <c r="E23" s="872">
        <v>1</v>
      </c>
      <c r="F23" s="875" t="s">
        <v>572</v>
      </c>
      <c r="G23" s="876"/>
      <c r="H23" s="868"/>
      <c r="I23" s="868"/>
    </row>
    <row r="24" spans="1:9" s="877" customFormat="1" ht="19.5" customHeight="1">
      <c r="A24" s="3475"/>
      <c r="B24" s="3475" t="s">
        <v>563</v>
      </c>
      <c r="C24" s="873" t="s">
        <v>573</v>
      </c>
      <c r="D24" s="874"/>
      <c r="E24" s="872">
        <v>0.5</v>
      </c>
      <c r="F24" s="875"/>
      <c r="G24" s="876"/>
      <c r="H24" s="868"/>
      <c r="I24" s="868"/>
    </row>
    <row r="25" spans="1:9" s="877" customFormat="1" ht="19.5" customHeight="1">
      <c r="A25" s="3475"/>
      <c r="B25" s="3475"/>
      <c r="C25" s="873" t="s">
        <v>574</v>
      </c>
      <c r="D25" s="874"/>
      <c r="E25" s="872">
        <v>1.1000000000000001</v>
      </c>
      <c r="F25" s="875"/>
      <c r="G25" s="876"/>
      <c r="H25" s="868"/>
      <c r="I25" s="868"/>
    </row>
    <row r="26" spans="1:9" s="877" customFormat="1" ht="19.5" customHeight="1">
      <c r="A26" s="3475"/>
      <c r="B26" s="3475"/>
      <c r="C26" s="873" t="s">
        <v>575</v>
      </c>
      <c r="D26" s="874"/>
      <c r="E26" s="872">
        <v>1.1000000000000001</v>
      </c>
      <c r="F26" s="875"/>
      <c r="G26" s="876"/>
      <c r="H26" s="868"/>
      <c r="I26" s="868"/>
    </row>
    <row r="27" spans="1:9" s="877" customFormat="1" ht="19.5" customHeight="1">
      <c r="A27" s="3475"/>
      <c r="B27" s="3475"/>
      <c r="C27" s="873" t="s">
        <v>576</v>
      </c>
      <c r="D27" s="874"/>
      <c r="E27" s="872">
        <v>0.9</v>
      </c>
      <c r="F27" s="875" t="s">
        <v>577</v>
      </c>
      <c r="G27" s="876"/>
      <c r="H27" s="868"/>
      <c r="I27" s="868"/>
    </row>
    <row r="28" spans="1:9" s="877" customFormat="1" ht="19.5" customHeight="1">
      <c r="A28" s="3475"/>
      <c r="B28" s="3475"/>
      <c r="C28" s="873" t="s">
        <v>578</v>
      </c>
      <c r="D28" s="874"/>
      <c r="E28" s="872">
        <v>0.9</v>
      </c>
      <c r="F28" s="875" t="s">
        <v>579</v>
      </c>
      <c r="G28" s="876"/>
      <c r="H28" s="868"/>
      <c r="I28" s="868"/>
    </row>
    <row r="29" spans="1:9" s="877" customFormat="1" ht="19.5" customHeight="1">
      <c r="A29" s="3475"/>
      <c r="B29" s="3475"/>
      <c r="C29" s="873" t="s">
        <v>580</v>
      </c>
      <c r="D29" s="874"/>
      <c r="E29" s="872">
        <v>0.9</v>
      </c>
      <c r="F29" s="875" t="s">
        <v>581</v>
      </c>
      <c r="G29" s="876"/>
      <c r="H29" s="868"/>
      <c r="I29" s="868"/>
    </row>
    <row r="30" spans="1:9" s="877" customFormat="1" ht="19.5" customHeight="1">
      <c r="A30" s="3475"/>
      <c r="B30" s="3475"/>
      <c r="C30" s="873" t="s">
        <v>582</v>
      </c>
      <c r="D30" s="874"/>
      <c r="E30" s="872">
        <v>0.9</v>
      </c>
      <c r="F30" s="875" t="s">
        <v>583</v>
      </c>
      <c r="G30" s="876"/>
      <c r="H30" s="868"/>
      <c r="I30" s="868"/>
    </row>
    <row r="31" spans="1:9" s="877" customFormat="1" ht="19.5" customHeight="1">
      <c r="A31" s="3475"/>
      <c r="B31" s="3475"/>
      <c r="C31" s="873" t="s">
        <v>584</v>
      </c>
      <c r="D31" s="874"/>
      <c r="E31" s="872">
        <v>0.8</v>
      </c>
      <c r="F31" s="875" t="s">
        <v>585</v>
      </c>
      <c r="G31" s="876"/>
      <c r="H31" s="868"/>
      <c r="I31" s="868"/>
    </row>
    <row r="32" spans="1:9" s="877" customFormat="1" ht="19.5" customHeight="1">
      <c r="A32" s="3475"/>
      <c r="B32" s="3475"/>
      <c r="C32" s="873" t="s">
        <v>586</v>
      </c>
      <c r="D32" s="874"/>
      <c r="E32" s="872">
        <v>0.8</v>
      </c>
      <c r="F32" s="875" t="s">
        <v>587</v>
      </c>
      <c r="G32" s="876"/>
      <c r="H32" s="868"/>
      <c r="I32" s="868"/>
    </row>
    <row r="33" spans="1:9" s="877" customFormat="1" ht="19.5" customHeight="1">
      <c r="A33" s="3475" t="s">
        <v>185</v>
      </c>
      <c r="B33" s="872" t="s">
        <v>560</v>
      </c>
      <c r="C33" s="873" t="s">
        <v>588</v>
      </c>
      <c r="D33" s="874"/>
      <c r="E33" s="872">
        <v>1</v>
      </c>
      <c r="F33" s="875" t="s">
        <v>589</v>
      </c>
      <c r="G33" s="876"/>
      <c r="H33" s="868"/>
      <c r="I33" s="868"/>
    </row>
    <row r="34" spans="1:9" s="877" customFormat="1" ht="19.5" customHeight="1">
      <c r="A34" s="3475"/>
      <c r="B34" s="872" t="s">
        <v>563</v>
      </c>
      <c r="C34" s="873" t="s">
        <v>590</v>
      </c>
      <c r="D34" s="874"/>
      <c r="E34" s="872">
        <v>1.5</v>
      </c>
      <c r="F34" s="875" t="s">
        <v>591</v>
      </c>
      <c r="G34" s="876"/>
      <c r="H34" s="868"/>
      <c r="I34" s="868"/>
    </row>
    <row r="35" spans="1:9" s="877" customFormat="1" ht="19.5" customHeight="1">
      <c r="A35" s="3475" t="s">
        <v>186</v>
      </c>
      <c r="B35" s="872" t="s">
        <v>560</v>
      </c>
      <c r="C35" s="873" t="s">
        <v>592</v>
      </c>
      <c r="D35" s="874"/>
      <c r="E35" s="872">
        <v>1</v>
      </c>
      <c r="F35" s="875" t="s">
        <v>593</v>
      </c>
      <c r="G35" s="876"/>
      <c r="H35" s="868"/>
      <c r="I35" s="868"/>
    </row>
    <row r="36" spans="1:9" s="877" customFormat="1" ht="19.5" customHeight="1">
      <c r="A36" s="3475"/>
      <c r="B36" s="3475" t="s">
        <v>563</v>
      </c>
      <c r="C36" s="873" t="s">
        <v>594</v>
      </c>
      <c r="D36" s="874"/>
      <c r="E36" s="872">
        <v>1</v>
      </c>
      <c r="F36" s="875" t="s">
        <v>595</v>
      </c>
      <c r="G36" s="876"/>
      <c r="H36" s="868"/>
      <c r="I36" s="868"/>
    </row>
    <row r="37" spans="1:9" s="877" customFormat="1" ht="19.5" customHeight="1">
      <c r="A37" s="3475"/>
      <c r="B37" s="3475"/>
      <c r="C37" s="873" t="s">
        <v>596</v>
      </c>
      <c r="D37" s="874"/>
      <c r="E37" s="872">
        <v>1.5</v>
      </c>
      <c r="F37" s="875" t="s">
        <v>597</v>
      </c>
      <c r="G37" s="876"/>
      <c r="H37" s="868"/>
      <c r="I37" s="868"/>
    </row>
    <row r="38" spans="1:9" s="877" customFormat="1" ht="19.5" customHeight="1">
      <c r="A38" s="3475"/>
      <c r="B38" s="3475"/>
      <c r="C38" s="873" t="s">
        <v>598</v>
      </c>
      <c r="D38" s="874"/>
      <c r="E38" s="872">
        <v>1</v>
      </c>
      <c r="F38" s="875" t="s">
        <v>599</v>
      </c>
      <c r="G38" s="876"/>
      <c r="H38" s="868"/>
      <c r="I38" s="868"/>
    </row>
    <row r="39" spans="1:9" s="877" customFormat="1" ht="19.5" customHeight="1">
      <c r="A39" s="3475"/>
      <c r="B39" s="3475"/>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475" t="s">
        <v>614</v>
      </c>
      <c r="C61" s="808" t="s">
        <v>615</v>
      </c>
      <c r="D61" s="808" t="s">
        <v>616</v>
      </c>
      <c r="E61" s="885">
        <v>0.5</v>
      </c>
      <c r="F61" s="872">
        <v>80</v>
      </c>
    </row>
    <row r="62" spans="1:8" s="868" customFormat="1" ht="24">
      <c r="A62" s="872">
        <v>2</v>
      </c>
      <c r="B62" s="3475"/>
      <c r="C62" s="808" t="s">
        <v>617</v>
      </c>
      <c r="D62" s="808" t="s">
        <v>618</v>
      </c>
      <c r="E62" s="885">
        <v>0.5</v>
      </c>
      <c r="F62" s="872">
        <v>80</v>
      </c>
    </row>
    <row r="63" spans="1:8" s="868" customFormat="1" ht="36">
      <c r="A63" s="872">
        <v>3</v>
      </c>
      <c r="B63" s="3475"/>
      <c r="C63" s="808" t="s">
        <v>619</v>
      </c>
      <c r="D63" s="808" t="s">
        <v>620</v>
      </c>
      <c r="E63" s="885">
        <v>0.5</v>
      </c>
      <c r="F63" s="872">
        <v>80</v>
      </c>
    </row>
    <row r="64" spans="1:8" s="868" customFormat="1" ht="36">
      <c r="A64" s="872">
        <v>4</v>
      </c>
      <c r="B64" s="3475"/>
      <c r="C64" s="808" t="s">
        <v>621</v>
      </c>
      <c r="D64" s="808" t="s">
        <v>622</v>
      </c>
      <c r="E64" s="885">
        <v>0.4</v>
      </c>
      <c r="F64" s="872">
        <v>60</v>
      </c>
    </row>
    <row r="65" spans="1:6" s="868" customFormat="1" ht="36">
      <c r="A65" s="872">
        <v>5</v>
      </c>
      <c r="B65" s="3475"/>
      <c r="C65" s="808" t="s">
        <v>623</v>
      </c>
      <c r="D65" s="808" t="s">
        <v>624</v>
      </c>
      <c r="E65" s="885">
        <v>0.2</v>
      </c>
      <c r="F65" s="872">
        <v>30</v>
      </c>
    </row>
    <row r="66" spans="1:6" s="868" customFormat="1" ht="36">
      <c r="A66" s="872">
        <v>6</v>
      </c>
      <c r="B66" s="3475"/>
      <c r="C66" s="808" t="s">
        <v>625</v>
      </c>
      <c r="D66" s="808" t="s">
        <v>626</v>
      </c>
      <c r="E66" s="885">
        <v>0.3</v>
      </c>
      <c r="F66" s="872">
        <v>50</v>
      </c>
    </row>
    <row r="67" spans="1:6" s="868" customFormat="1" ht="36">
      <c r="A67" s="872">
        <v>7</v>
      </c>
      <c r="B67" s="3475"/>
      <c r="C67" s="808" t="s">
        <v>627</v>
      </c>
      <c r="D67" s="808" t="s">
        <v>628</v>
      </c>
      <c r="E67" s="885">
        <v>0.2</v>
      </c>
      <c r="F67" s="872">
        <v>30</v>
      </c>
    </row>
    <row r="68" spans="1:6" s="868" customFormat="1" ht="36">
      <c r="A68" s="872">
        <v>8</v>
      </c>
      <c r="B68" s="3475"/>
      <c r="C68" s="808" t="s">
        <v>629</v>
      </c>
      <c r="D68" s="808" t="s">
        <v>630</v>
      </c>
      <c r="E68" s="885">
        <v>0.2</v>
      </c>
      <c r="F68" s="872">
        <v>30</v>
      </c>
    </row>
    <row r="69" spans="1:6" s="868" customFormat="1" ht="36">
      <c r="A69" s="872">
        <v>9</v>
      </c>
      <c r="B69" s="3475"/>
      <c r="C69" s="808" t="s">
        <v>631</v>
      </c>
      <c r="D69" s="808" t="s">
        <v>632</v>
      </c>
      <c r="E69" s="885">
        <v>0.2</v>
      </c>
      <c r="F69" s="872">
        <v>30</v>
      </c>
    </row>
    <row r="70" spans="1:6" s="868" customFormat="1" ht="48">
      <c r="A70" s="872">
        <v>10</v>
      </c>
      <c r="B70" s="3475"/>
      <c r="C70" s="808" t="s">
        <v>633</v>
      </c>
      <c r="D70" s="808" t="s">
        <v>634</v>
      </c>
      <c r="E70" s="885">
        <v>0.2</v>
      </c>
      <c r="F70" s="872">
        <v>30</v>
      </c>
    </row>
    <row r="71" spans="1:6" s="868" customFormat="1" ht="48">
      <c r="A71" s="872">
        <v>11</v>
      </c>
      <c r="B71" s="3475"/>
      <c r="C71" s="808" t="s">
        <v>635</v>
      </c>
      <c r="D71" s="808" t="s">
        <v>636</v>
      </c>
      <c r="E71" s="885">
        <v>0.2</v>
      </c>
      <c r="F71" s="872">
        <v>30</v>
      </c>
    </row>
    <row r="72" spans="1:6" s="868" customFormat="1" ht="36">
      <c r="A72" s="872">
        <v>12</v>
      </c>
      <c r="B72" s="3475"/>
      <c r="C72" s="808" t="s">
        <v>637</v>
      </c>
      <c r="D72" s="808" t="s">
        <v>638</v>
      </c>
      <c r="E72" s="885">
        <v>0.5</v>
      </c>
      <c r="F72" s="872">
        <v>80</v>
      </c>
    </row>
    <row r="73" spans="1:6" s="868" customFormat="1" ht="24">
      <c r="A73" s="872">
        <v>13</v>
      </c>
      <c r="B73" s="3475"/>
      <c r="C73" s="808" t="s">
        <v>639</v>
      </c>
      <c r="D73" s="808" t="s">
        <v>640</v>
      </c>
      <c r="E73" s="885">
        <v>0.4</v>
      </c>
      <c r="F73" s="872">
        <v>60</v>
      </c>
    </row>
    <row r="74" spans="1:6" s="868" customFormat="1" ht="24">
      <c r="A74" s="872">
        <v>14</v>
      </c>
      <c r="B74" s="3475"/>
      <c r="C74" s="808" t="s">
        <v>641</v>
      </c>
      <c r="D74" s="808" t="s">
        <v>642</v>
      </c>
      <c r="E74" s="885">
        <v>0.2</v>
      </c>
      <c r="F74" s="872">
        <v>30</v>
      </c>
    </row>
    <row r="75" spans="1:6" s="868" customFormat="1" ht="24">
      <c r="A75" s="872">
        <v>15</v>
      </c>
      <c r="B75" s="3475"/>
      <c r="C75" s="808" t="s">
        <v>643</v>
      </c>
      <c r="D75" s="808" t="s">
        <v>644</v>
      </c>
      <c r="E75" s="885">
        <v>0.2</v>
      </c>
      <c r="F75" s="872">
        <v>30</v>
      </c>
    </row>
    <row r="76" spans="1:6" s="868" customFormat="1" ht="24">
      <c r="A76" s="872">
        <v>16</v>
      </c>
      <c r="B76" s="3475" t="s">
        <v>645</v>
      </c>
      <c r="C76" s="808" t="s">
        <v>646</v>
      </c>
      <c r="D76" s="808" t="s">
        <v>647</v>
      </c>
      <c r="E76" s="885">
        <v>0.5</v>
      </c>
      <c r="F76" s="872">
        <v>80</v>
      </c>
    </row>
    <row r="77" spans="1:6" s="868" customFormat="1" ht="24">
      <c r="A77" s="872">
        <v>17</v>
      </c>
      <c r="B77" s="3475"/>
      <c r="C77" s="808" t="s">
        <v>648</v>
      </c>
      <c r="D77" s="808" t="s">
        <v>649</v>
      </c>
      <c r="E77" s="885">
        <v>0.5</v>
      </c>
      <c r="F77" s="872">
        <v>80</v>
      </c>
    </row>
    <row r="78" spans="1:6" s="868" customFormat="1" ht="24">
      <c r="A78" s="872">
        <v>18</v>
      </c>
      <c r="B78" s="3475"/>
      <c r="C78" s="808" t="s">
        <v>650</v>
      </c>
      <c r="D78" s="808" t="s">
        <v>651</v>
      </c>
      <c r="E78" s="885">
        <v>0.2</v>
      </c>
      <c r="F78" s="872">
        <v>30</v>
      </c>
    </row>
    <row r="79" spans="1:6" s="868" customFormat="1" ht="24">
      <c r="A79" s="872">
        <v>19</v>
      </c>
      <c r="B79" s="3475"/>
      <c r="C79" s="808" t="s">
        <v>652</v>
      </c>
      <c r="D79" s="808" t="s">
        <v>653</v>
      </c>
      <c r="E79" s="885">
        <v>0.5</v>
      </c>
      <c r="F79" s="872">
        <v>80</v>
      </c>
    </row>
    <row r="80" spans="1:6" s="868" customFormat="1" ht="36">
      <c r="A80" s="872">
        <v>20</v>
      </c>
      <c r="B80" s="3475"/>
      <c r="C80" s="808" t="s">
        <v>654</v>
      </c>
      <c r="D80" s="808" t="s">
        <v>655</v>
      </c>
      <c r="E80" s="885">
        <v>0.2</v>
      </c>
      <c r="F80" s="872">
        <v>30</v>
      </c>
    </row>
    <row r="81" spans="1:6" s="868" customFormat="1" ht="36">
      <c r="A81" s="872">
        <v>21</v>
      </c>
      <c r="B81" s="3475"/>
      <c r="C81" s="808" t="s">
        <v>656</v>
      </c>
      <c r="D81" s="808" t="s">
        <v>657</v>
      </c>
      <c r="E81" s="885">
        <v>0.2</v>
      </c>
      <c r="F81" s="872">
        <v>30</v>
      </c>
    </row>
    <row r="82" spans="1:6" s="868" customFormat="1" ht="48">
      <c r="A82" s="872">
        <v>22</v>
      </c>
      <c r="B82" s="3475"/>
      <c r="C82" s="808" t="s">
        <v>658</v>
      </c>
      <c r="D82" s="808" t="s">
        <v>659</v>
      </c>
      <c r="E82" s="885">
        <v>0.2</v>
      </c>
      <c r="F82" s="872">
        <v>30</v>
      </c>
    </row>
    <row r="83" spans="1:6" s="868" customFormat="1" ht="48">
      <c r="A83" s="872">
        <v>23</v>
      </c>
      <c r="B83" s="3475"/>
      <c r="C83" s="808" t="s">
        <v>660</v>
      </c>
      <c r="D83" s="808" t="s">
        <v>661</v>
      </c>
      <c r="E83" s="885">
        <v>0.2</v>
      </c>
      <c r="F83" s="872">
        <v>30</v>
      </c>
    </row>
    <row r="84" spans="1:6" s="868" customFormat="1" ht="36">
      <c r="A84" s="872">
        <v>24</v>
      </c>
      <c r="B84" s="3475"/>
      <c r="C84" s="808" t="s">
        <v>662</v>
      </c>
      <c r="D84" s="808" t="s">
        <v>663</v>
      </c>
      <c r="E84" s="885">
        <v>0.2</v>
      </c>
      <c r="F84" s="872">
        <v>30</v>
      </c>
    </row>
    <row r="85" spans="1:6" s="868" customFormat="1" ht="36">
      <c r="A85" s="872">
        <v>25</v>
      </c>
      <c r="B85" s="3475"/>
      <c r="C85" s="808" t="s">
        <v>664</v>
      </c>
      <c r="D85" s="808" t="s">
        <v>665</v>
      </c>
      <c r="E85" s="885">
        <v>0.5</v>
      </c>
      <c r="F85" s="872">
        <v>80</v>
      </c>
    </row>
    <row r="86" spans="1:6" s="868" customFormat="1" ht="36">
      <c r="A86" s="872">
        <v>26</v>
      </c>
      <c r="B86" s="3475"/>
      <c r="C86" s="808" t="s">
        <v>666</v>
      </c>
      <c r="D86" s="808" t="s">
        <v>667</v>
      </c>
      <c r="E86" s="885">
        <v>0.2</v>
      </c>
      <c r="F86" s="872">
        <v>30</v>
      </c>
    </row>
    <row r="87" spans="1:6" s="868" customFormat="1" ht="36">
      <c r="A87" s="872">
        <v>27</v>
      </c>
      <c r="B87" s="3475"/>
      <c r="C87" s="808" t="s">
        <v>668</v>
      </c>
      <c r="D87" s="808" t="s">
        <v>669</v>
      </c>
      <c r="E87" s="885">
        <v>0.2</v>
      </c>
      <c r="F87" s="872">
        <v>30</v>
      </c>
    </row>
    <row r="88" spans="1:6" s="868" customFormat="1" ht="36">
      <c r="A88" s="872">
        <v>28</v>
      </c>
      <c r="B88" s="3475"/>
      <c r="C88" s="808" t="s">
        <v>670</v>
      </c>
      <c r="D88" s="808" t="s">
        <v>671</v>
      </c>
      <c r="E88" s="885">
        <v>0.2</v>
      </c>
      <c r="F88" s="872">
        <v>30</v>
      </c>
    </row>
    <row r="89" spans="1:6" s="868" customFormat="1" ht="24">
      <c r="A89" s="872">
        <v>29</v>
      </c>
      <c r="B89" s="3475"/>
      <c r="C89" s="808" t="s">
        <v>672</v>
      </c>
      <c r="D89" s="808" t="s">
        <v>673</v>
      </c>
      <c r="E89" s="885">
        <v>0.2</v>
      </c>
      <c r="F89" s="872">
        <v>30</v>
      </c>
    </row>
    <row r="90" spans="1:6" s="868" customFormat="1" ht="24">
      <c r="A90" s="872">
        <v>30</v>
      </c>
      <c r="B90" s="3475"/>
      <c r="C90" s="808" t="s">
        <v>674</v>
      </c>
      <c r="D90" s="808" t="s">
        <v>675</v>
      </c>
      <c r="E90" s="885">
        <v>0.2</v>
      </c>
      <c r="F90" s="872">
        <v>30</v>
      </c>
    </row>
    <row r="91" spans="1:6" s="868" customFormat="1" ht="36">
      <c r="A91" s="872">
        <v>31</v>
      </c>
      <c r="B91" s="3475"/>
      <c r="C91" s="808" t="s">
        <v>676</v>
      </c>
      <c r="D91" s="808" t="s">
        <v>677</v>
      </c>
      <c r="E91" s="885">
        <v>0.2</v>
      </c>
      <c r="F91" s="872">
        <v>30</v>
      </c>
    </row>
    <row r="92" spans="1:6" s="868" customFormat="1" ht="24">
      <c r="A92" s="872">
        <v>32</v>
      </c>
      <c r="B92" s="3475" t="s">
        <v>678</v>
      </c>
      <c r="C92" s="872" t="s">
        <v>679</v>
      </c>
      <c r="D92" s="808" t="s">
        <v>680</v>
      </c>
      <c r="E92" s="885">
        <v>0.2</v>
      </c>
      <c r="F92" s="872">
        <v>30</v>
      </c>
    </row>
    <row r="93" spans="1:6" s="868" customFormat="1" ht="36">
      <c r="A93" s="872">
        <v>33</v>
      </c>
      <c r="B93" s="3475"/>
      <c r="C93" s="872" t="s">
        <v>681</v>
      </c>
      <c r="D93" s="808" t="s">
        <v>682</v>
      </c>
      <c r="E93" s="885">
        <v>0.2</v>
      </c>
      <c r="F93" s="872">
        <v>30</v>
      </c>
    </row>
    <row r="94" spans="1:6" s="868" customFormat="1" ht="48">
      <c r="A94" s="872">
        <v>34</v>
      </c>
      <c r="B94" s="3475"/>
      <c r="C94" s="872" t="s">
        <v>683</v>
      </c>
      <c r="D94" s="808" t="s">
        <v>684</v>
      </c>
      <c r="E94" s="885">
        <v>0.2</v>
      </c>
      <c r="F94" s="872">
        <v>30</v>
      </c>
    </row>
    <row r="95" spans="1:6" s="868" customFormat="1" ht="36">
      <c r="A95" s="872">
        <v>35</v>
      </c>
      <c r="B95" s="3475"/>
      <c r="C95" s="872" t="s">
        <v>685</v>
      </c>
      <c r="D95" s="808" t="s">
        <v>686</v>
      </c>
      <c r="E95" s="885">
        <v>0.2</v>
      </c>
      <c r="F95" s="872">
        <v>30</v>
      </c>
    </row>
    <row r="96" spans="1:6" s="868" customFormat="1" ht="48">
      <c r="A96" s="872">
        <v>36</v>
      </c>
      <c r="B96" s="3475"/>
      <c r="C96" s="808" t="s">
        <v>687</v>
      </c>
      <c r="D96" s="808" t="s">
        <v>688</v>
      </c>
      <c r="E96" s="885">
        <v>0.2</v>
      </c>
      <c r="F96" s="872">
        <v>30</v>
      </c>
    </row>
    <row r="97" spans="1:6" s="868" customFormat="1" ht="36">
      <c r="A97" s="872">
        <v>37</v>
      </c>
      <c r="B97" s="3475"/>
      <c r="C97" s="872" t="s">
        <v>689</v>
      </c>
      <c r="D97" s="808" t="s">
        <v>690</v>
      </c>
      <c r="E97" s="885">
        <v>0.2</v>
      </c>
      <c r="F97" s="872">
        <v>30</v>
      </c>
    </row>
    <row r="98" spans="1:6" s="868" customFormat="1" ht="36">
      <c r="A98" s="872">
        <v>38</v>
      </c>
      <c r="B98" s="3475"/>
      <c r="C98" s="872" t="s">
        <v>691</v>
      </c>
      <c r="D98" s="808" t="s">
        <v>692</v>
      </c>
      <c r="E98" s="885">
        <v>0.2</v>
      </c>
      <c r="F98" s="872">
        <v>30</v>
      </c>
    </row>
    <row r="99" spans="1:6" s="868" customFormat="1" ht="36">
      <c r="A99" s="872">
        <v>39</v>
      </c>
      <c r="B99" s="3475" t="s">
        <v>693</v>
      </c>
      <c r="C99" s="872" t="s">
        <v>694</v>
      </c>
      <c r="D99" s="808" t="s">
        <v>695</v>
      </c>
      <c r="E99" s="885">
        <v>0.3</v>
      </c>
      <c r="F99" s="872">
        <v>50</v>
      </c>
    </row>
    <row r="100" spans="1:6" s="868" customFormat="1" ht="24">
      <c r="A100" s="872">
        <v>40</v>
      </c>
      <c r="B100" s="3475"/>
      <c r="C100" s="872" t="s">
        <v>696</v>
      </c>
      <c r="D100" s="808" t="s">
        <v>697</v>
      </c>
      <c r="E100" s="885">
        <v>0.2</v>
      </c>
      <c r="F100" s="872">
        <v>30</v>
      </c>
    </row>
    <row r="101" spans="1:6" s="868" customFormat="1" ht="36">
      <c r="A101" s="872">
        <v>41</v>
      </c>
      <c r="B101" s="3475"/>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475" t="s">
        <v>708</v>
      </c>
      <c r="C105" s="872" t="s">
        <v>709</v>
      </c>
      <c r="D105" s="808" t="s">
        <v>710</v>
      </c>
      <c r="E105" s="885">
        <v>0.2</v>
      </c>
      <c r="F105" s="872">
        <v>30</v>
      </c>
    </row>
    <row r="106" spans="1:6" s="868" customFormat="1" ht="36">
      <c r="A106" s="872">
        <v>46</v>
      </c>
      <c r="B106" s="3475"/>
      <c r="C106" s="872" t="s">
        <v>711</v>
      </c>
      <c r="D106" s="808" t="s">
        <v>712</v>
      </c>
      <c r="E106" s="885">
        <v>0.2</v>
      </c>
      <c r="F106" s="872">
        <v>30</v>
      </c>
    </row>
    <row r="107" spans="1:6" s="868" customFormat="1" ht="36">
      <c r="A107" s="872">
        <v>47</v>
      </c>
      <c r="B107" s="3475" t="s">
        <v>713</v>
      </c>
      <c r="C107" s="872" t="s">
        <v>714</v>
      </c>
      <c r="D107" s="808" t="s">
        <v>715</v>
      </c>
      <c r="E107" s="885">
        <v>0.3</v>
      </c>
      <c r="F107" s="872">
        <v>50</v>
      </c>
    </row>
    <row r="108" spans="1:6" s="868" customFormat="1" ht="36">
      <c r="A108" s="872">
        <v>48</v>
      </c>
      <c r="B108" s="3475"/>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475" t="s">
        <v>724</v>
      </c>
      <c r="C111" s="872" t="s">
        <v>725</v>
      </c>
      <c r="D111" s="808" t="s">
        <v>726</v>
      </c>
      <c r="E111" s="885">
        <v>0.2</v>
      </c>
      <c r="F111" s="872">
        <v>30</v>
      </c>
    </row>
    <row r="112" spans="1:6" s="868" customFormat="1" ht="24">
      <c r="A112" s="872">
        <v>52</v>
      </c>
      <c r="B112" s="3475"/>
      <c r="C112" s="872" t="s">
        <v>727</v>
      </c>
      <c r="D112" s="808" t="s">
        <v>728</v>
      </c>
      <c r="E112" s="885">
        <v>0.2</v>
      </c>
      <c r="F112" s="872">
        <v>30</v>
      </c>
    </row>
    <row r="113" spans="1:6" s="868" customFormat="1" ht="24">
      <c r="A113" s="872">
        <v>53</v>
      </c>
      <c r="B113" s="3475"/>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475" t="s">
        <v>737</v>
      </c>
      <c r="C116" s="872" t="s">
        <v>738</v>
      </c>
      <c r="D116" s="808" t="s">
        <v>739</v>
      </c>
      <c r="E116" s="885">
        <v>0.2</v>
      </c>
      <c r="F116" s="872">
        <v>30</v>
      </c>
    </row>
    <row r="117" spans="1:6" ht="36">
      <c r="A117" s="872">
        <v>57</v>
      </c>
      <c r="B117" s="3475"/>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5"/>
    <col min="2" max="16384" width="8.875"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37" customWidth="1"/>
    <col min="2" max="9" width="12.125" style="1937" customWidth="1"/>
    <col min="10" max="16384" width="8.875" style="1937"/>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1641</v>
      </c>
      <c r="B2" s="3170" t="s">
        <v>1642</v>
      </c>
      <c r="C2" s="3170" t="s">
        <v>1643</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1037" t="s">
        <v>1638</v>
      </c>
      <c r="E3" s="1037" t="s">
        <v>1644</v>
      </c>
      <c r="F3" s="1037" t="s">
        <v>1638</v>
      </c>
      <c r="G3" s="1037" t="s">
        <v>1639</v>
      </c>
      <c r="H3" s="1037" t="s">
        <v>1638</v>
      </c>
      <c r="I3" s="1037" t="s">
        <v>1639</v>
      </c>
    </row>
    <row r="4" spans="1:9" ht="60">
      <c r="A4" s="1965" t="str">
        <f>项目基本情况!S2</f>
        <v>重庆市江北区观音桥组团I分区I29-3-/02地块“隆鑫中心”项目出让国有建设用地使用权及在建建筑物房地产</v>
      </c>
      <c r="B4" s="1037">
        <f>项目基本情况!C17</f>
        <v>374875.08999999997</v>
      </c>
      <c r="C4" s="1037">
        <f>项目基本情况!C18</f>
        <v>25136</v>
      </c>
      <c r="D4" s="1037">
        <f ca="1">结果表!D118</f>
        <v>284546</v>
      </c>
      <c r="E4" s="1037">
        <f ca="1">结果表!E118</f>
        <v>7590</v>
      </c>
      <c r="F4" s="1037">
        <f ca="1">结果表!F118</f>
        <v>121368</v>
      </c>
      <c r="G4" s="1037">
        <f ca="1">结果表!G118</f>
        <v>3238</v>
      </c>
      <c r="H4" s="1037">
        <f ca="1">结果表!H118</f>
        <v>405914</v>
      </c>
      <c r="I4" s="1037">
        <f ca="1">结果表!I118</f>
        <v>10828</v>
      </c>
    </row>
    <row r="5" spans="1:9" ht="30" customHeight="1">
      <c r="A5" s="3171" t="s">
        <v>1640</v>
      </c>
      <c r="B5" s="3171"/>
      <c r="C5" s="3171"/>
      <c r="D5" s="3172" t="str">
        <f ca="1">结果表!D119</f>
        <v>贰拾捌亿肆仟伍佰肆拾陆万元整</v>
      </c>
      <c r="E5" s="3172"/>
      <c r="F5" s="3172" t="str">
        <f ca="1">结果表!F119</f>
        <v>壹拾贰亿壹仟叁佰陆拾捌万元整</v>
      </c>
      <c r="G5" s="3172"/>
      <c r="H5" s="3172" t="str">
        <f ca="1">结果表!H119</f>
        <v>肆拾亿伍仟玖佰壹拾肆万元整</v>
      </c>
      <c r="I5" s="3172"/>
    </row>
    <row r="6" spans="1:9" ht="15.75">
      <c r="A6" s="3173" t="str">
        <f>结果表!A120</f>
        <v>估价师知悉的除抵押担保权以外的法定优先受偿款</v>
      </c>
      <c r="B6" s="3173"/>
      <c r="C6" s="3173"/>
      <c r="D6" s="3173">
        <f>结果表!D120</f>
        <v>5816</v>
      </c>
      <c r="E6" s="3173"/>
      <c r="F6" s="3173"/>
      <c r="G6" s="3173"/>
      <c r="H6" s="3173"/>
      <c r="I6" s="3173"/>
    </row>
    <row r="7" spans="1:9" ht="15">
      <c r="A7" s="3171" t="s">
        <v>1640</v>
      </c>
      <c r="B7" s="3171"/>
      <c r="C7" s="3171"/>
      <c r="D7" s="3174" t="str">
        <f>结果表!D121</f>
        <v>伍仟捌佰壹拾陆万元整</v>
      </c>
      <c r="E7" s="3175"/>
      <c r="F7" s="3175"/>
      <c r="G7" s="3175"/>
      <c r="H7" s="3175"/>
      <c r="I7" s="3176"/>
    </row>
    <row r="8" spans="1:9" ht="15.75">
      <c r="A8" s="3173" t="str">
        <f>结果表!A122</f>
        <v/>
      </c>
      <c r="B8" s="3173"/>
      <c r="C8" s="3173"/>
      <c r="D8" s="3173" t="str">
        <f>结果表!D122</f>
        <v>——</v>
      </c>
      <c r="E8" s="3173"/>
      <c r="F8" s="3173"/>
      <c r="G8" s="3173"/>
      <c r="H8" s="3173"/>
      <c r="I8" s="3173"/>
    </row>
    <row r="9" spans="1:9" ht="15">
      <c r="A9" s="3171" t="s">
        <v>1640</v>
      </c>
      <c r="B9" s="3171"/>
      <c r="C9" s="3171"/>
      <c r="D9" s="3172" t="e">
        <f>结果表!D123</f>
        <v>#VALUE!</v>
      </c>
      <c r="E9" s="3172"/>
      <c r="F9" s="3172"/>
      <c r="G9" s="3172"/>
      <c r="H9" s="3172"/>
      <c r="I9" s="3172"/>
    </row>
    <row r="10" spans="1:9" ht="15.75">
      <c r="A10" s="3173" t="str">
        <f>结果表!A124</f>
        <v>抵押担保权已注销时的房地产抵押价值</v>
      </c>
      <c r="B10" s="3173"/>
      <c r="C10" s="3173"/>
      <c r="D10" s="3173">
        <f ca="1">结果表!D124</f>
        <v>400098</v>
      </c>
      <c r="E10" s="3173"/>
      <c r="F10" s="3173"/>
      <c r="G10" s="3173"/>
      <c r="H10" s="3173"/>
      <c r="I10" s="3173"/>
    </row>
    <row r="11" spans="1:9" ht="15">
      <c r="A11" s="3171" t="s">
        <v>1640</v>
      </c>
      <c r="B11" s="3171"/>
      <c r="C11" s="3171"/>
      <c r="D11" s="3172" t="str">
        <f ca="1">结果表!D125</f>
        <v>肆拾亿零玖拾捌万元整</v>
      </c>
      <c r="E11" s="3172"/>
      <c r="F11" s="3172"/>
      <c r="G11" s="3172"/>
      <c r="H11" s="3172"/>
      <c r="I11" s="3172"/>
    </row>
    <row r="12" spans="1:9" ht="15.75">
      <c r="A12" s="3173" t="str">
        <f>结果表!A126</f>
        <v/>
      </c>
      <c r="B12" s="3173"/>
      <c r="C12" s="3173"/>
      <c r="D12" s="3173" t="str">
        <f>结果表!D126</f>
        <v>——</v>
      </c>
      <c r="E12" s="3173"/>
      <c r="F12" s="3173"/>
      <c r="G12" s="3173"/>
      <c r="H12" s="3173"/>
      <c r="I12" s="3173"/>
    </row>
    <row r="13" spans="1:9" ht="15.75" thickBot="1">
      <c r="A13" s="3177" t="s">
        <v>1640</v>
      </c>
      <c r="B13" s="3177"/>
      <c r="C13" s="3177"/>
      <c r="D13" s="3178" t="e">
        <f>结果表!D127</f>
        <v>#VALUE!</v>
      </c>
      <c r="E13" s="3178"/>
      <c r="F13" s="3178"/>
      <c r="G13" s="3178"/>
      <c r="H13" s="3178"/>
      <c r="I13" s="3178"/>
    </row>
    <row r="14" spans="1:9" ht="15" thickTop="1">
      <c r="A14" s="3179" t="s">
        <v>1645</v>
      </c>
      <c r="B14" s="3179"/>
      <c r="C14" s="3179"/>
      <c r="D14" s="3179"/>
      <c r="E14" s="3179"/>
      <c r="F14" s="3179"/>
      <c r="G14" s="3179"/>
      <c r="H14" s="3179"/>
      <c r="I14" s="3179"/>
    </row>
    <row r="16" spans="1:9" ht="18.75">
      <c r="A16" s="1966" t="s">
        <v>1628</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8.875" style="1937"/>
  </cols>
  <sheetData>
    <row r="1" spans="1:5" ht="21">
      <c r="A1" s="2551" t="s">
        <v>2990</v>
      </c>
    </row>
    <row r="2" spans="1:5" ht="15.75">
      <c r="A2" s="2900" t="s">
        <v>2982</v>
      </c>
      <c r="B2" s="2901" t="e">
        <f ca="1">SUMIF(B6:B13,"&lt;&gt;#ref!",B6:B13)</f>
        <v>#DIV/0!</v>
      </c>
      <c r="C2" s="2900" t="s">
        <v>2983</v>
      </c>
      <c r="D2" s="2900" t="s">
        <v>2984</v>
      </c>
      <c r="E2" s="2901">
        <f ca="1">SUMIF(E6:E13,"&lt;&gt;#ref!",E6:E13)</f>
        <v>0</v>
      </c>
    </row>
    <row r="3" spans="1:5" ht="15.75">
      <c r="A3" s="2900" t="s">
        <v>2985</v>
      </c>
      <c r="B3" s="2901" t="e">
        <f ca="1">ROUND(B2*10000/E2,0)</f>
        <v>#DIV/0!</v>
      </c>
      <c r="C3" s="2900" t="s">
        <v>2991</v>
      </c>
      <c r="D3" s="2902"/>
      <c r="E3" s="2902"/>
    </row>
    <row r="4" spans="1:5" ht="15.75">
      <c r="A4" s="2903"/>
      <c r="B4" s="2902"/>
      <c r="C4" s="2902"/>
      <c r="D4" s="2902"/>
      <c r="E4" s="2902"/>
    </row>
    <row r="5" spans="1:5" ht="28.5">
      <c r="A5" s="2904" t="s">
        <v>2986</v>
      </c>
      <c r="B5" s="2900" t="s">
        <v>2987</v>
      </c>
      <c r="C5" s="2901"/>
      <c r="D5" s="2902"/>
      <c r="E5" s="2900" t="s">
        <v>2988</v>
      </c>
    </row>
    <row r="6" spans="1:5" ht="15.75">
      <c r="A6" s="2905" t="s">
        <v>2989</v>
      </c>
      <c r="B6" s="2901" t="e">
        <f ca="1">SUMIF(INDIRECT("'"&amp;A6&amp;"'"&amp;"!A:A"),"总价",INDIRECT("'"&amp;A6&amp;"'"&amp;"!B:B"))</f>
        <v>#DIV/0!</v>
      </c>
      <c r="C6" s="2900" t="s">
        <v>2983</v>
      </c>
      <c r="D6" s="2902"/>
      <c r="E6" s="2565">
        <f ca="1">SUMIF(INDIRECT("'"&amp;A6&amp;"'"&amp;"!C:C"),"建筑面积",INDIRECT("'"&amp;A6&amp;"'"&amp;"!D:D"))</f>
        <v>0</v>
      </c>
    </row>
    <row r="7" spans="1:5" ht="15.75">
      <c r="A7" s="2905"/>
      <c r="B7" s="2901" t="e">
        <f ca="1">SUMIF(INDIRECT("'"&amp;A7&amp;"'"&amp;"!A:A"),"总价",INDIRECT("'"&amp;A7&amp;"'"&amp;"!B:B"))</f>
        <v>#REF!</v>
      </c>
      <c r="C7" s="2900" t="s">
        <v>2983</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2983</v>
      </c>
      <c r="D8" s="2902"/>
      <c r="E8" s="2565" t="e">
        <f t="shared" ca="1" si="0"/>
        <v>#REF!</v>
      </c>
    </row>
    <row r="9" spans="1:5" ht="15.75">
      <c r="A9" s="2905"/>
      <c r="B9" s="2901" t="e">
        <f t="shared" ca="1" si="1"/>
        <v>#REF!</v>
      </c>
      <c r="C9" s="2900" t="s">
        <v>2983</v>
      </c>
      <c r="D9" s="2902"/>
      <c r="E9" s="2565" t="e">
        <f t="shared" ca="1" si="0"/>
        <v>#REF!</v>
      </c>
    </row>
    <row r="10" spans="1:5" ht="15.75">
      <c r="A10" s="2905"/>
      <c r="B10" s="2901" t="e">
        <f t="shared" ca="1" si="1"/>
        <v>#REF!</v>
      </c>
      <c r="C10" s="2900" t="s">
        <v>2983</v>
      </c>
      <c r="D10" s="2902"/>
      <c r="E10" s="2565" t="e">
        <f t="shared" ca="1" si="0"/>
        <v>#REF!</v>
      </c>
    </row>
    <row r="11" spans="1:5" ht="15.75">
      <c r="A11" s="2905"/>
      <c r="B11" s="2901" t="e">
        <f t="shared" ca="1" si="1"/>
        <v>#REF!</v>
      </c>
      <c r="C11" s="2900" t="s">
        <v>2983</v>
      </c>
      <c r="D11" s="2902"/>
      <c r="E11" s="2565" t="e">
        <f t="shared" ca="1" si="0"/>
        <v>#REF!</v>
      </c>
    </row>
    <row r="12" spans="1:5" ht="15.75">
      <c r="A12" s="2905"/>
      <c r="B12" s="2901" t="e">
        <f t="shared" ca="1" si="1"/>
        <v>#REF!</v>
      </c>
      <c r="C12" s="2900" t="s">
        <v>2983</v>
      </c>
      <c r="D12" s="2902"/>
      <c r="E12" s="2565" t="e">
        <f t="shared" ca="1" si="0"/>
        <v>#REF!</v>
      </c>
    </row>
    <row r="13" spans="1:5" ht="15.75">
      <c r="A13" s="2905"/>
      <c r="B13" s="2901" t="e">
        <f t="shared" ca="1" si="1"/>
        <v>#REF!</v>
      </c>
      <c r="C13" s="2900" t="s">
        <v>2983</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zoomScalePageLayoutView="80" workbookViewId="0">
      <selection activeCell="R43" sqref="R43:W43"/>
    </sheetView>
  </sheetViews>
  <sheetFormatPr defaultColWidth="8.875" defaultRowHeight="12.75"/>
  <cols>
    <col min="1" max="1" width="8.875" style="1464"/>
    <col min="2" max="6" width="9" style="1464" customWidth="1"/>
    <col min="7" max="7" width="8.875" style="1479"/>
    <col min="8" max="8" width="8.875" style="1464"/>
    <col min="9" max="12" width="9" style="1464" customWidth="1"/>
    <col min="13" max="13" width="2.1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125" style="1464" customWidth="1"/>
    <col min="24" max="25" width="8.875" style="1464"/>
    <col min="26" max="27" width="11.625" style="1464" customWidth="1"/>
    <col min="28" max="28" width="8.875" style="1464"/>
    <col min="29" max="29" width="2" style="1464" customWidth="1"/>
    <col min="30" max="16384" width="8.875" style="1464"/>
  </cols>
  <sheetData>
    <row r="1" spans="1:34" s="1438" customFormat="1">
      <c r="B1" s="3481" t="s">
        <v>1150</v>
      </c>
      <c r="C1" s="3481"/>
      <c r="D1" s="3481"/>
      <c r="E1" s="3481"/>
      <c r="F1" s="3481"/>
      <c r="G1" s="3477" t="s">
        <v>1151</v>
      </c>
      <c r="H1" s="3477"/>
      <c r="I1" s="3477"/>
      <c r="J1" s="3477"/>
      <c r="K1" s="3477"/>
      <c r="L1" s="3477"/>
      <c r="N1" s="3477" t="s">
        <v>1152</v>
      </c>
      <c r="O1" s="3477"/>
      <c r="P1" s="3477"/>
      <c r="Q1" s="3477"/>
      <c r="R1" s="1439"/>
      <c r="S1" s="3477" t="s">
        <v>1153</v>
      </c>
      <c r="T1" s="3477"/>
      <c r="U1" s="3477"/>
      <c r="V1" s="3477"/>
      <c r="X1" s="3476" t="s">
        <v>1154</v>
      </c>
      <c r="Y1" s="3477"/>
      <c r="Z1" s="3477"/>
      <c r="AA1" s="3477"/>
      <c r="AB1" s="3477"/>
      <c r="AD1" s="3476" t="s">
        <v>1155</v>
      </c>
      <c r="AE1" s="3477"/>
      <c r="AF1" s="3477"/>
      <c r="AG1" s="3477"/>
      <c r="AH1" s="3477"/>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19" customFormat="1" ht="14.25">
      <c r="A3" s="2928" t="s">
        <v>3025</v>
      </c>
      <c r="B3" s="2920"/>
      <c r="C3" s="2920"/>
      <c r="D3" s="2921"/>
      <c r="E3" s="2921"/>
      <c r="F3" s="2920"/>
      <c r="G3" s="2922"/>
      <c r="H3" s="2923"/>
      <c r="I3" s="2924">
        <f>ROUND(AVERAGE($I8:$I23),2)</f>
        <v>2.4500000000000002</v>
      </c>
      <c r="J3" s="2924">
        <f>ROUND(AVERAGE($J8:$J23),2)</f>
        <v>1.65</v>
      </c>
      <c r="K3" s="2924">
        <f>ROUND(AVERAGE($K8:$K23),2)</f>
        <v>2.71</v>
      </c>
      <c r="L3" s="2924">
        <f>ROUND(AVERAGE($L8:$L23),2)</f>
        <v>1.39</v>
      </c>
      <c r="N3" s="2922"/>
      <c r="O3" s="2925"/>
      <c r="P3" s="2925"/>
      <c r="Q3" s="2925"/>
      <c r="R3" s="2925"/>
      <c r="S3" s="2922"/>
      <c r="T3" s="2925"/>
      <c r="U3" s="2925"/>
      <c r="V3" s="2925"/>
      <c r="W3" s="2917"/>
      <c r="X3" s="2926">
        <f>ROUND(SUMPRODUCT(PRODUCT(1+N3:N$22)),4)</f>
        <v>1.4733000000000001</v>
      </c>
      <c r="Y3" s="2926">
        <f>ROUND(SUMPRODUCT(PRODUCT(1+O3:O$22)),4)</f>
        <v>1.3052999999999999</v>
      </c>
      <c r="Z3" s="2926">
        <f t="shared" ref="Z3:Z20" si="0">Y3</f>
        <v>1.3052999999999999</v>
      </c>
      <c r="AA3" s="2926">
        <f>ROUND(SUMPRODUCT(PRODUCT(1+P3:P$22)),4)</f>
        <v>1.5306999999999999</v>
      </c>
      <c r="AB3" s="2926">
        <f>ROUND(SUMPRODUCT(PRODUCT(1+Q3:Q$22)),4)</f>
        <v>1.2863</v>
      </c>
      <c r="AD3" s="2927">
        <f>ROUND(AVERAGE(I3:I$23)/100,4)</f>
        <v>2.24E-2</v>
      </c>
      <c r="AE3" s="2927">
        <f>ROUND(AVERAGE(J3:J$23)/100,4)</f>
        <v>1.54E-2</v>
      </c>
      <c r="AF3" s="2927">
        <f t="shared" ref="AF3:AF21" si="1">AE3</f>
        <v>1.54E-2</v>
      </c>
      <c r="AG3" s="2927">
        <f>ROUND(AVERAGE(K3:K$23)/100,4)</f>
        <v>2.47E-2</v>
      </c>
      <c r="AH3" s="2927">
        <f>ROUND(AVERAGE(L3:L$23)/100,4)</f>
        <v>1.41E-2</v>
      </c>
    </row>
    <row r="4" spans="1:34" s="1446" customFormat="1" ht="14.25">
      <c r="B4" s="1447"/>
      <c r="C4" s="1447"/>
      <c r="D4" s="1448"/>
      <c r="E4" s="1448"/>
      <c r="F4" s="1447"/>
      <c r="G4" s="1449"/>
      <c r="H4" s="1450"/>
      <c r="I4" s="2913"/>
      <c r="J4" s="2913"/>
      <c r="K4" s="2913"/>
      <c r="L4" s="2913"/>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3032</v>
      </c>
      <c r="B5" s="1783">
        <f t="shared" ref="B5" si="2">B6*(1+N5)</f>
        <v>453.11529869999993</v>
      </c>
      <c r="C5" s="1783">
        <f t="shared" ref="C5" si="3">C6*(1+O5)</f>
        <v>336.47787264000004</v>
      </c>
      <c r="D5" s="1783">
        <f t="shared" ref="D5" si="4">C5</f>
        <v>336.47787264000004</v>
      </c>
      <c r="E5" s="1783">
        <f t="shared" ref="E5" si="5">E6*(1+P5)</f>
        <v>647.35186823999993</v>
      </c>
      <c r="F5" s="1783">
        <f t="shared" ref="F5" si="6">F6*(1+Q5)</f>
        <v>295.73229452000004</v>
      </c>
      <c r="G5" s="2931">
        <v>2018</v>
      </c>
      <c r="H5" s="1722">
        <v>3</v>
      </c>
      <c r="I5" s="2914">
        <v>0</v>
      </c>
      <c r="J5" s="2914">
        <v>0</v>
      </c>
      <c r="K5" s="2914">
        <v>0</v>
      </c>
      <c r="L5" s="2914">
        <v>0</v>
      </c>
      <c r="N5" s="1460">
        <f>I5/100</f>
        <v>0</v>
      </c>
      <c r="O5" s="1460">
        <f t="shared" ref="O5" si="7">J5/100</f>
        <v>0</v>
      </c>
      <c r="P5" s="1460">
        <f t="shared" ref="P5" si="8">K5/100</f>
        <v>0</v>
      </c>
      <c r="Q5" s="1460">
        <f t="shared" ref="Q5" si="9">L5/100</f>
        <v>0</v>
      </c>
      <c r="R5" s="1724"/>
      <c r="S5" s="1725"/>
      <c r="T5" s="1724"/>
      <c r="U5" s="1724"/>
      <c r="V5" s="1724"/>
      <c r="W5" s="2918" t="s">
        <v>3026</v>
      </c>
      <c r="X5" s="1718">
        <f>ROUND(SUMPRODUCT(PRODUCT(1+N5:N$22)),4)</f>
        <v>1.4733000000000001</v>
      </c>
      <c r="Y5" s="1718">
        <f>ROUND(SUMPRODUCT(PRODUCT(1+O5:O$22)),4)</f>
        <v>1.3052999999999999</v>
      </c>
      <c r="Z5" s="1718">
        <f t="shared" ref="Z5" si="10">Y5</f>
        <v>1.3052999999999999</v>
      </c>
      <c r="AA5" s="1718">
        <f>ROUND(SUMPRODUCT(PRODUCT(1+P5:P$22)),4)</f>
        <v>1.5306999999999999</v>
      </c>
      <c r="AB5" s="1718">
        <f>ROUND(SUMPRODUCT(PRODUCT(1+Q5:Q$22)),4)</f>
        <v>1.2863</v>
      </c>
      <c r="AD5" s="1461">
        <f>ROUND(AVERAGE(I5:I$23)/100,4)</f>
        <v>2.23E-2</v>
      </c>
      <c r="AE5" s="1461">
        <f>ROUND(AVERAGE(J5:J$23)/100,4)</f>
        <v>1.54E-2</v>
      </c>
      <c r="AF5" s="1461">
        <f t="shared" ref="AF5" si="11">AE5</f>
        <v>1.54E-2</v>
      </c>
      <c r="AG5" s="1461">
        <f>ROUND(AVERAGE(K5:K$23)/100,4)</f>
        <v>2.4500000000000001E-2</v>
      </c>
      <c r="AH5" s="1461">
        <f>ROUND(AVERAGE(L5:L$23)/100,4)</f>
        <v>1.41E-2</v>
      </c>
    </row>
    <row r="6" spans="1:34" s="1459" customFormat="1" ht="13.5" thickBot="1">
      <c r="A6" s="1454" t="s">
        <v>3033</v>
      </c>
      <c r="B6" s="1470">
        <f t="shared" ref="B6" si="12">B7*(1+N6)</f>
        <v>453.11529869999993</v>
      </c>
      <c r="C6" s="1470">
        <f t="shared" ref="C6" si="13">C7*(1+O6)</f>
        <v>336.47787264000004</v>
      </c>
      <c r="D6" s="1470">
        <f t="shared" ref="D6" si="14">C6</f>
        <v>336.47787264000004</v>
      </c>
      <c r="E6" s="1470">
        <f t="shared" ref="E6" si="15">E7*(1+P6)</f>
        <v>647.35186823999993</v>
      </c>
      <c r="F6" s="1470">
        <f t="shared" ref="F6" si="16">F7*(1+Q6)</f>
        <v>295.73229452000004</v>
      </c>
      <c r="G6" s="2929"/>
      <c r="H6" s="1457">
        <v>2</v>
      </c>
      <c r="I6" s="1457">
        <v>1.49</v>
      </c>
      <c r="J6" s="1457">
        <v>0.96</v>
      </c>
      <c r="K6" s="1457">
        <v>1.58</v>
      </c>
      <c r="L6" s="1471">
        <v>2.44</v>
      </c>
      <c r="M6" s="1464"/>
      <c r="N6" s="1465">
        <f t="shared" ref="N6" si="17">I6/100</f>
        <v>1.49E-2</v>
      </c>
      <c r="O6" s="1466">
        <f t="shared" ref="O6" si="18">J6/100</f>
        <v>9.5999999999999992E-3</v>
      </c>
      <c r="P6" s="1466">
        <f t="shared" ref="P6" si="19">K6/100</f>
        <v>1.5800000000000002E-2</v>
      </c>
      <c r="Q6" s="1466">
        <f t="shared" ref="Q6" si="20">L6/100</f>
        <v>2.4399999999999998E-2</v>
      </c>
      <c r="R6" s="1467"/>
      <c r="S6" s="1465"/>
      <c r="T6" s="1466"/>
      <c r="U6" s="1466"/>
      <c r="V6" s="1466"/>
      <c r="W6" s="1782"/>
      <c r="X6" s="1780">
        <f>ROUND(SUMPRODUCT(PRODUCT(1+N6:N$22)),4)</f>
        <v>1.4733000000000001</v>
      </c>
      <c r="Y6" s="1780">
        <f>ROUND(SUMPRODUCT(PRODUCT(1+O6:O$22)),4)</f>
        <v>1.3052999999999999</v>
      </c>
      <c r="Z6" s="1780">
        <f t="shared" ref="Z6" si="21">Y6</f>
        <v>1.3052999999999999</v>
      </c>
      <c r="AA6" s="1780">
        <f>ROUND(SUMPRODUCT(PRODUCT(1+P6:P$22)),4)</f>
        <v>1.5306999999999999</v>
      </c>
      <c r="AB6" s="1780">
        <f>ROUND(SUMPRODUCT(PRODUCT(1+Q6:Q$22)),4)</f>
        <v>1.2863</v>
      </c>
      <c r="AC6" s="1782"/>
      <c r="AD6" s="1781">
        <f>ROUND(AVERAGE(I6:I$23)/100,4)</f>
        <v>2.35E-2</v>
      </c>
      <c r="AE6" s="1781">
        <f>ROUND(AVERAGE(J6:J$23)/100,4)</f>
        <v>1.6199999999999999E-2</v>
      </c>
      <c r="AF6" s="1781">
        <f t="shared" ref="AF6" si="22">AE6</f>
        <v>1.6199999999999999E-2</v>
      </c>
      <c r="AG6" s="1781">
        <f>ROUND(AVERAGE(K6:K$23)/100,4)</f>
        <v>2.5899999999999999E-2</v>
      </c>
      <c r="AH6" s="1781">
        <f>ROUND(AVERAGE(L6:L$23)/100,4)</f>
        <v>1.49E-2</v>
      </c>
    </row>
    <row r="7" spans="1:34" s="1459" customFormat="1" ht="13.5" thickBot="1">
      <c r="A7" s="1454" t="s">
        <v>3024</v>
      </c>
      <c r="B7" s="1470">
        <f t="shared" ref="B7" si="23">B8*(1+N7)</f>
        <v>446.46299999999997</v>
      </c>
      <c r="C7" s="1470">
        <f t="shared" ref="C7" si="24">C8*(1+O7)</f>
        <v>333.27840000000003</v>
      </c>
      <c r="D7" s="1470">
        <f t="shared" ref="D7" si="25">C7</f>
        <v>333.27840000000003</v>
      </c>
      <c r="E7" s="1470">
        <f t="shared" ref="E7" si="26">E8*(1+P7)</f>
        <v>637.28279999999995</v>
      </c>
      <c r="F7" s="1470">
        <f t="shared" ref="F7" si="27">F8*(1+Q7)</f>
        <v>288.68830000000003</v>
      </c>
      <c r="G7" s="2929"/>
      <c r="H7" s="1457">
        <v>1</v>
      </c>
      <c r="I7" s="1457">
        <v>1.7</v>
      </c>
      <c r="J7" s="1457">
        <v>1.92</v>
      </c>
      <c r="K7" s="1457">
        <v>1.64</v>
      </c>
      <c r="L7" s="1471">
        <v>2.0099999999999998</v>
      </c>
      <c r="M7" s="1464"/>
      <c r="N7" s="1465">
        <f t="shared" ref="N7:N12" si="28">I7/100</f>
        <v>1.7000000000000001E-2</v>
      </c>
      <c r="O7" s="1466">
        <f t="shared" ref="O7" si="29">J7/100</f>
        <v>1.9199999999999998E-2</v>
      </c>
      <c r="P7" s="1466">
        <f t="shared" ref="P7" si="30">K7/100</f>
        <v>1.6399999999999998E-2</v>
      </c>
      <c r="Q7" s="1466">
        <f t="shared" ref="Q7" si="31">L7/100</f>
        <v>2.0099999999999996E-2</v>
      </c>
      <c r="R7" s="1467"/>
      <c r="S7" s="1465">
        <f>B7/B8-1</f>
        <v>1.6999999999999904E-2</v>
      </c>
      <c r="T7" s="1466">
        <f t="shared" ref="T7" si="32">C7/C8-1</f>
        <v>1.9200000000000106E-2</v>
      </c>
      <c r="U7" s="1466">
        <f t="shared" ref="U7" si="33">D7/D8-1</f>
        <v>1.9200000000000106E-2</v>
      </c>
      <c r="V7" s="1466">
        <f t="shared" ref="V7" si="34">E7/E8-1</f>
        <v>1.639999999999997E-2</v>
      </c>
      <c r="W7" s="1782"/>
      <c r="X7" s="1780">
        <f>ROUND(SUMPRODUCT(PRODUCT(1+N7:N$22)),4)</f>
        <v>1.4517</v>
      </c>
      <c r="Y7" s="1780">
        <f>ROUND(SUMPRODUCT(PRODUCT(1+O7:O$22)),4)</f>
        <v>1.2928999999999999</v>
      </c>
      <c r="Z7" s="1780">
        <f t="shared" ref="Z7" si="35">Y7</f>
        <v>1.2928999999999999</v>
      </c>
      <c r="AA7" s="1780">
        <f>ROUND(SUMPRODUCT(PRODUCT(1+P7:P$22)),4)</f>
        <v>1.5068999999999999</v>
      </c>
      <c r="AB7" s="1780">
        <f>ROUND(SUMPRODUCT(PRODUCT(1+Q7:Q$22)),4)</f>
        <v>1.2557</v>
      </c>
      <c r="AC7" s="1782"/>
      <c r="AD7" s="1781">
        <f>ROUND(AVERAGE(I7:I$23)/100,4)</f>
        <v>2.4E-2</v>
      </c>
      <c r="AE7" s="1781">
        <f>ROUND(AVERAGE(J7:J$23)/100,4)</f>
        <v>1.66E-2</v>
      </c>
      <c r="AF7" s="1781">
        <f t="shared" ref="AF7" si="36">AE7</f>
        <v>1.66E-2</v>
      </c>
      <c r="AG7" s="1781">
        <f>ROUND(AVERAGE(K7:K$23)/100,4)</f>
        <v>2.6499999999999999E-2</v>
      </c>
      <c r="AH7" s="1781">
        <f>ROUND(AVERAGE(L7:L$23)/100,4)</f>
        <v>1.43E-2</v>
      </c>
    </row>
    <row r="8" spans="1:34">
      <c r="A8" s="1454" t="s">
        <v>3021</v>
      </c>
      <c r="B8" s="1462">
        <v>439</v>
      </c>
      <c r="C8" s="1462">
        <v>327</v>
      </c>
      <c r="D8" s="1462">
        <f>C8</f>
        <v>327</v>
      </c>
      <c r="E8" s="1462">
        <v>627</v>
      </c>
      <c r="F8" s="1463">
        <v>283</v>
      </c>
      <c r="G8" s="2916">
        <v>2017</v>
      </c>
      <c r="H8" s="1455">
        <v>4</v>
      </c>
      <c r="I8" s="1455">
        <v>1.71</v>
      </c>
      <c r="J8" s="1455">
        <v>1.78</v>
      </c>
      <c r="K8" s="1455">
        <v>1.71</v>
      </c>
      <c r="L8" s="1456">
        <v>1.43</v>
      </c>
      <c r="N8" s="1465">
        <f t="shared" si="28"/>
        <v>1.7100000000000001E-2</v>
      </c>
      <c r="O8" s="1466">
        <f t="shared" ref="O8" si="37">J8/100</f>
        <v>1.78E-2</v>
      </c>
      <c r="P8" s="1466">
        <f t="shared" ref="P8" si="38">K8/100</f>
        <v>1.7100000000000001E-2</v>
      </c>
      <c r="Q8" s="1466">
        <f t="shared" ref="Q8" si="39">L8/100</f>
        <v>1.43E-2</v>
      </c>
      <c r="R8" s="1467"/>
      <c r="S8" s="1468"/>
      <c r="T8" s="1469"/>
      <c r="U8" s="1469"/>
      <c r="V8" s="1469"/>
      <c r="X8" s="1452">
        <f>ROUND(SUMPRODUCT(PRODUCT(1+N8:N$22)),4)</f>
        <v>1.4274</v>
      </c>
      <c r="Y8" s="1452">
        <f>ROUND(SUMPRODUCT(PRODUCT(1+O8:O$22)),4)</f>
        <v>1.2685</v>
      </c>
      <c r="Z8" s="1452">
        <f t="shared" si="0"/>
        <v>1.2685</v>
      </c>
      <c r="AA8" s="1452">
        <f>ROUND(SUMPRODUCT(PRODUCT(1+P8:P$22)),4)</f>
        <v>1.4825999999999999</v>
      </c>
      <c r="AB8" s="1452">
        <f>ROUND(SUMPRODUCT(PRODUCT(1+Q8:Q$22)),4)</f>
        <v>1.2309000000000001</v>
      </c>
      <c r="AD8" s="1453">
        <f>ROUND(AVERAGE(I8:I$23)/100,4)</f>
        <v>2.4500000000000001E-2</v>
      </c>
      <c r="AE8" s="1453">
        <f>ROUND(AVERAGE(J8:J$23)/100,4)</f>
        <v>1.6500000000000001E-2</v>
      </c>
      <c r="AF8" s="1453">
        <f t="shared" si="1"/>
        <v>1.6500000000000001E-2</v>
      </c>
      <c r="AG8" s="1453">
        <f>ROUND(AVERAGE(K8:K$23)/100,4)</f>
        <v>2.7099999999999999E-2</v>
      </c>
      <c r="AH8" s="1453">
        <f>ROUND(AVERAGE(L8:L$23)/100,4)</f>
        <v>1.3899999999999999E-2</v>
      </c>
    </row>
    <row r="9" spans="1:34" s="1459" customFormat="1" ht="13.5" thickBot="1">
      <c r="A9" s="1454" t="s">
        <v>3022</v>
      </c>
      <c r="B9" s="1470">
        <f t="shared" ref="B9:B10" si="40">B10*(1+N9)</f>
        <v>431.80730811680002</v>
      </c>
      <c r="C9" s="1470">
        <f t="shared" ref="C9:C10" si="41">C10*(1+O9)</f>
        <v>320.57880516480003</v>
      </c>
      <c r="D9" s="1470">
        <f t="shared" ref="D9:D10" si="42">C9</f>
        <v>320.57880516480003</v>
      </c>
      <c r="E9" s="1470">
        <f t="shared" ref="E9:E10" si="43">E10*(1+P9)</f>
        <v>615.96110553196797</v>
      </c>
      <c r="F9" s="1470">
        <f t="shared" ref="F9:F10" si="44">F10*(1+Q9)</f>
        <v>279.46777300108801</v>
      </c>
      <c r="G9" s="2912"/>
      <c r="H9" s="1457">
        <v>3</v>
      </c>
      <c r="I9" s="1457">
        <v>2.98</v>
      </c>
      <c r="J9" s="1457">
        <v>2.11</v>
      </c>
      <c r="K9" s="1457">
        <v>3.24</v>
      </c>
      <c r="L9" s="1471">
        <v>1.72</v>
      </c>
      <c r="M9" s="1464"/>
      <c r="N9" s="1465">
        <f t="shared" si="28"/>
        <v>2.98E-2</v>
      </c>
      <c r="O9" s="1466">
        <f t="shared" ref="O9" si="45">J9/100</f>
        <v>2.1099999999999997E-2</v>
      </c>
      <c r="P9" s="1466">
        <f t="shared" ref="P9" si="46">K9/100</f>
        <v>3.2400000000000005E-2</v>
      </c>
      <c r="Q9" s="1466">
        <f t="shared" ref="Q9" si="47">L9/100</f>
        <v>1.72E-2</v>
      </c>
      <c r="R9" s="1467"/>
      <c r="S9" s="1465"/>
      <c r="T9" s="1466"/>
      <c r="U9" s="1466"/>
      <c r="V9" s="1466"/>
      <c r="W9" s="1782"/>
      <c r="X9" s="1780">
        <f>ROUND(SUMPRODUCT(PRODUCT(1+N9:N$22)),4)</f>
        <v>1.4034</v>
      </c>
      <c r="Y9" s="1780">
        <f>ROUND(SUMPRODUCT(PRODUCT(1+O9:O$22)),4)</f>
        <v>1.2463</v>
      </c>
      <c r="Z9" s="1780">
        <f t="shared" si="0"/>
        <v>1.2463</v>
      </c>
      <c r="AA9" s="1780">
        <f>ROUND(SUMPRODUCT(PRODUCT(1+P9:P$22)),4)</f>
        <v>1.4577</v>
      </c>
      <c r="AB9" s="1780">
        <f>ROUND(SUMPRODUCT(PRODUCT(1+Q9:Q$22)),4)</f>
        <v>1.2136</v>
      </c>
      <c r="AC9" s="1782"/>
      <c r="AD9" s="1781">
        <f>ROUND(AVERAGE(I9:I$23)/100,4)</f>
        <v>2.4899999999999999E-2</v>
      </c>
      <c r="AE9" s="1781">
        <f>ROUND(AVERAGE(J9:J$23)/100,4)</f>
        <v>1.6400000000000001E-2</v>
      </c>
      <c r="AF9" s="1781">
        <f t="shared" si="1"/>
        <v>1.6400000000000001E-2</v>
      </c>
      <c r="AG9" s="1781">
        <f>ROUND(AVERAGE(K9:K$23)/100,4)</f>
        <v>2.7799999999999998E-2</v>
      </c>
      <c r="AH9" s="1781">
        <f>ROUND(AVERAGE(L9:L$23)/100,4)</f>
        <v>1.3899999999999999E-2</v>
      </c>
    </row>
    <row r="10" spans="1:34" s="1723" customFormat="1">
      <c r="A10" s="1454" t="s">
        <v>1386</v>
      </c>
      <c r="B10" s="1470">
        <f t="shared" si="40"/>
        <v>419.31181600000002</v>
      </c>
      <c r="C10" s="1470">
        <f t="shared" si="41"/>
        <v>313.95436800000004</v>
      </c>
      <c r="D10" s="1470">
        <f t="shared" si="42"/>
        <v>313.95436800000004</v>
      </c>
      <c r="E10" s="1470">
        <f t="shared" si="43"/>
        <v>596.63028431999999</v>
      </c>
      <c r="F10" s="1470">
        <f t="shared" si="44"/>
        <v>274.74220703999998</v>
      </c>
      <c r="G10" s="2911"/>
      <c r="H10" s="1458">
        <v>2</v>
      </c>
      <c r="I10" s="1458">
        <v>3.4</v>
      </c>
      <c r="J10" s="1458">
        <v>2</v>
      </c>
      <c r="K10" s="1458">
        <v>3.82</v>
      </c>
      <c r="L10" s="1472">
        <v>1.68</v>
      </c>
      <c r="M10" s="1464"/>
      <c r="N10" s="1465">
        <f t="shared" si="28"/>
        <v>3.4000000000000002E-2</v>
      </c>
      <c r="O10" s="1466">
        <f t="shared" ref="O10" si="48">J10/100</f>
        <v>0.02</v>
      </c>
      <c r="P10" s="1466">
        <f t="shared" ref="P10" si="49">K10/100</f>
        <v>3.8199999999999998E-2</v>
      </c>
      <c r="Q10" s="1466">
        <f t="shared" ref="Q10" si="50">L10/100</f>
        <v>1.6799999999999999E-2</v>
      </c>
      <c r="R10" s="1467"/>
      <c r="S10" s="1468"/>
      <c r="T10" s="1469"/>
      <c r="U10" s="1469"/>
      <c r="V10" s="1469"/>
      <c r="W10" s="1446"/>
      <c r="X10" s="1780">
        <f>ROUND(SUMPRODUCT(PRODUCT(1+N10:N$22)),4)</f>
        <v>1.3628</v>
      </c>
      <c r="Y10" s="1780">
        <f>ROUND(SUMPRODUCT(PRODUCT(1+O10:O$22)),4)</f>
        <v>1.2205999999999999</v>
      </c>
      <c r="Z10" s="1780">
        <f t="shared" si="0"/>
        <v>1.2205999999999999</v>
      </c>
      <c r="AA10" s="1780">
        <f>ROUND(SUMPRODUCT(PRODUCT(1+P10:P$22)),4)</f>
        <v>1.4118999999999999</v>
      </c>
      <c r="AB10" s="1780">
        <f>ROUND(SUMPRODUCT(PRODUCT(1+Q10:Q$22)),4)</f>
        <v>1.1930000000000001</v>
      </c>
      <c r="AC10" s="1446"/>
      <c r="AD10" s="1781">
        <f>ROUND(AVERAGE(I10:I$23)/100,4)</f>
        <v>2.46E-2</v>
      </c>
      <c r="AE10" s="1781">
        <f>ROUND(AVERAGE(J10:J$23)/100,4)</f>
        <v>1.6E-2</v>
      </c>
      <c r="AF10" s="1781">
        <f t="shared" si="1"/>
        <v>1.6E-2</v>
      </c>
      <c r="AG10" s="1781">
        <f>ROUND(AVERAGE(K10:K$23)/100,4)</f>
        <v>2.75E-2</v>
      </c>
      <c r="AH10" s="1781">
        <f>ROUND(AVERAGE(L10:L$23)/100,4)</f>
        <v>1.37E-2</v>
      </c>
    </row>
    <row r="11" spans="1:34" s="1459" customFormat="1" ht="13.5" thickBot="1">
      <c r="A11" s="1454" t="s">
        <v>1161</v>
      </c>
      <c r="B11" s="1470">
        <f>B12*(1+N11)</f>
        <v>405.524</v>
      </c>
      <c r="C11" s="1470">
        <f>C12*(1+O11)</f>
        <v>307.79840000000002</v>
      </c>
      <c r="D11" s="1470">
        <f>C11</f>
        <v>307.79840000000002</v>
      </c>
      <c r="E11" s="1470">
        <f>E12*(1+P11)</f>
        <v>574.67759999999998</v>
      </c>
      <c r="F11" s="1470">
        <f>F12*(1+Q11)</f>
        <v>270.20280000000002</v>
      </c>
      <c r="G11" s="2912"/>
      <c r="H11" s="1457">
        <v>1</v>
      </c>
      <c r="I11" s="1457">
        <v>3.45</v>
      </c>
      <c r="J11" s="1457">
        <v>1.92</v>
      </c>
      <c r="K11" s="1457">
        <v>3.92</v>
      </c>
      <c r="L11" s="1471">
        <v>1.58</v>
      </c>
      <c r="M11" s="1464"/>
      <c r="N11" s="1465">
        <f t="shared" si="28"/>
        <v>3.4500000000000003E-2</v>
      </c>
      <c r="O11" s="1466">
        <f t="shared" ref="O11:Q26" si="51">J11/100</f>
        <v>1.9199999999999998E-2</v>
      </c>
      <c r="P11" s="1466">
        <f t="shared" si="51"/>
        <v>3.9199999999999999E-2</v>
      </c>
      <c r="Q11" s="1466">
        <f t="shared" si="51"/>
        <v>1.5800000000000002E-2</v>
      </c>
      <c r="R11" s="1467"/>
      <c r="S11" s="1465">
        <f>B11/B12-1</f>
        <v>3.4499999999999975E-2</v>
      </c>
      <c r="T11" s="1466">
        <f t="shared" ref="T11:V11" si="52">C11/C12-1</f>
        <v>1.9200000000000106E-2</v>
      </c>
      <c r="U11" s="1466">
        <f t="shared" si="52"/>
        <v>1.9200000000000106E-2</v>
      </c>
      <c r="V11" s="1466">
        <f t="shared" si="52"/>
        <v>3.9199999999999902E-2</v>
      </c>
      <c r="W11" s="1782"/>
      <c r="X11" s="1780">
        <f>ROUND(SUMPRODUCT(PRODUCT(1+N11:N$22)),4)</f>
        <v>1.3180000000000001</v>
      </c>
      <c r="Y11" s="1780">
        <f>ROUND(SUMPRODUCT(PRODUCT(1+O11:O$22)),4)</f>
        <v>1.1966000000000001</v>
      </c>
      <c r="Z11" s="1780">
        <f t="shared" si="0"/>
        <v>1.1966000000000001</v>
      </c>
      <c r="AA11" s="1780">
        <f>ROUND(SUMPRODUCT(PRODUCT(1+P11:P$22)),4)</f>
        <v>1.36</v>
      </c>
      <c r="AB11" s="1780">
        <f>ROUND(SUMPRODUCT(PRODUCT(1+Q11:Q$22)),4)</f>
        <v>1.1733</v>
      </c>
      <c r="AC11" s="1782"/>
      <c r="AD11" s="1781">
        <f>ROUND(AVERAGE(I11:I$23)/100,4)</f>
        <v>2.3900000000000001E-2</v>
      </c>
      <c r="AE11" s="1781">
        <f>ROUND(AVERAGE(J11:J$23)/100,4)</f>
        <v>1.5699999999999999E-2</v>
      </c>
      <c r="AF11" s="1781">
        <f t="shared" si="1"/>
        <v>1.5699999999999999E-2</v>
      </c>
      <c r="AG11" s="1781">
        <f>ROUND(AVERAGE(K11:K$23)/100,4)</f>
        <v>2.6599999999999999E-2</v>
      </c>
      <c r="AH11" s="1781">
        <f>ROUND(AVERAGE(L11:L$23)/100,4)</f>
        <v>1.34E-2</v>
      </c>
    </row>
    <row r="12" spans="1:34">
      <c r="A12" s="1454" t="s">
        <v>154</v>
      </c>
      <c r="B12" s="1462">
        <v>392</v>
      </c>
      <c r="C12" s="1462">
        <v>302</v>
      </c>
      <c r="D12" s="1462">
        <f>C12</f>
        <v>302</v>
      </c>
      <c r="E12" s="1462">
        <v>553</v>
      </c>
      <c r="F12" s="1463">
        <v>266</v>
      </c>
      <c r="G12" s="3482">
        <v>2016</v>
      </c>
      <c r="H12" s="1455">
        <v>4</v>
      </c>
      <c r="I12" s="1455">
        <v>4.5599999999999996</v>
      </c>
      <c r="J12" s="1455">
        <v>2.15</v>
      </c>
      <c r="K12" s="1455">
        <v>5.32</v>
      </c>
      <c r="L12" s="1456">
        <v>1.57</v>
      </c>
      <c r="N12" s="1465">
        <f t="shared" si="28"/>
        <v>4.5599999999999995E-2</v>
      </c>
      <c r="O12" s="1466">
        <f t="shared" si="51"/>
        <v>2.1499999999999998E-2</v>
      </c>
      <c r="P12" s="1466">
        <f t="shared" si="51"/>
        <v>5.3200000000000004E-2</v>
      </c>
      <c r="Q12" s="1466">
        <f t="shared" si="51"/>
        <v>1.5700000000000002E-2</v>
      </c>
      <c r="R12" s="1467"/>
      <c r="S12" s="1468"/>
      <c r="T12" s="1469"/>
      <c r="U12" s="1469"/>
      <c r="V12" s="1469"/>
      <c r="X12" s="1452">
        <f>ROUND(SUMPRODUCT(PRODUCT(1+N12:N$22)),4)</f>
        <v>1.274</v>
      </c>
      <c r="Y12" s="1452">
        <f>ROUND(SUMPRODUCT(PRODUCT(1+O12:O$22)),4)</f>
        <v>1.1740999999999999</v>
      </c>
      <c r="Z12" s="1452">
        <f t="shared" si="0"/>
        <v>1.1740999999999999</v>
      </c>
      <c r="AA12" s="1452">
        <f>ROUND(SUMPRODUCT(PRODUCT(1+P12:P$22)),4)</f>
        <v>1.3087</v>
      </c>
      <c r="AB12" s="1452">
        <f>ROUND(SUMPRODUCT(PRODUCT(1+Q12:Q$22)),4)</f>
        <v>1.1551</v>
      </c>
      <c r="AD12" s="1453">
        <f>ROUND(AVERAGE(I12:I$23)/100,4)</f>
        <v>2.3E-2</v>
      </c>
      <c r="AE12" s="1453">
        <f>ROUND(AVERAGE(J12:J$23)/100,4)</f>
        <v>1.55E-2</v>
      </c>
      <c r="AF12" s="1453">
        <f t="shared" si="1"/>
        <v>1.55E-2</v>
      </c>
      <c r="AG12" s="1453">
        <f>ROUND(AVERAGE(K12:K$23)/100,4)</f>
        <v>2.5600000000000001E-2</v>
      </c>
      <c r="AH12" s="1453">
        <f>ROUND(AVERAGE(L12:L$23)/100,4)</f>
        <v>1.32E-2</v>
      </c>
    </row>
    <row r="13" spans="1:34">
      <c r="A13" s="1454" t="s">
        <v>153</v>
      </c>
      <c r="B13" s="1470">
        <f t="shared" ref="B13:C15" si="53">B12/(1+N12)</f>
        <v>374.90436113236416</v>
      </c>
      <c r="C13" s="1470">
        <f t="shared" si="53"/>
        <v>295.64366128242779</v>
      </c>
      <c r="D13" s="1470">
        <f t="shared" ref="D13:D72" si="54">C13</f>
        <v>295.64366128242779</v>
      </c>
      <c r="E13" s="1470">
        <f t="shared" ref="E13:F15" si="55">E12/(1+P12)</f>
        <v>525.06646410938095</v>
      </c>
      <c r="F13" s="1470">
        <f t="shared" si="55"/>
        <v>261.88835286009646</v>
      </c>
      <c r="G13" s="3479"/>
      <c r="H13" s="1457">
        <v>3</v>
      </c>
      <c r="I13" s="1457">
        <v>4.12</v>
      </c>
      <c r="J13" s="1457">
        <v>2</v>
      </c>
      <c r="K13" s="1457">
        <v>4.79</v>
      </c>
      <c r="L13" s="1471">
        <v>1.97</v>
      </c>
      <c r="N13" s="1465">
        <f t="shared" ref="N13:Q47" si="56">I13/100</f>
        <v>4.1200000000000001E-2</v>
      </c>
      <c r="O13" s="1466">
        <f t="shared" si="51"/>
        <v>0.02</v>
      </c>
      <c r="P13" s="1466">
        <f t="shared" si="51"/>
        <v>4.7899999999999998E-2</v>
      </c>
      <c r="Q13" s="1466">
        <f t="shared" si="51"/>
        <v>1.9699999999999999E-2</v>
      </c>
      <c r="R13" s="1467"/>
      <c r="S13" s="1465"/>
      <c r="T13" s="1466"/>
      <c r="U13" s="1466"/>
      <c r="V13" s="1466"/>
      <c r="X13" s="1452">
        <f>ROUND(SUMPRODUCT(PRODUCT(1+N13:N$22)),4)</f>
        <v>1.2184999999999999</v>
      </c>
      <c r="Y13" s="1452">
        <f>ROUND(SUMPRODUCT(PRODUCT(1+O13:O$22)),4)</f>
        <v>1.1494</v>
      </c>
      <c r="Z13" s="1452">
        <f t="shared" si="0"/>
        <v>1.1494</v>
      </c>
      <c r="AA13" s="1452">
        <f>ROUND(SUMPRODUCT(PRODUCT(1+P13:P$22)),4)</f>
        <v>1.2425999999999999</v>
      </c>
      <c r="AB13" s="1452">
        <f>ROUND(SUMPRODUCT(PRODUCT(1+Q13:Q$22)),4)</f>
        <v>1.1372</v>
      </c>
      <c r="AD13" s="1453">
        <f>ROUND(AVERAGE(I13:I$23)/100,4)</f>
        <v>2.0899999999999998E-2</v>
      </c>
      <c r="AE13" s="1453">
        <f>ROUND(AVERAGE(J13:J$23)/100,4)</f>
        <v>1.49E-2</v>
      </c>
      <c r="AF13" s="1453">
        <f t="shared" si="1"/>
        <v>1.49E-2</v>
      </c>
      <c r="AG13" s="1453">
        <f>ROUND(AVERAGE(K13:K$23)/100,4)</f>
        <v>2.3099999999999999E-2</v>
      </c>
      <c r="AH13" s="1453">
        <f>ROUND(AVERAGE(L13:L$23)/100,4)</f>
        <v>1.2999999999999999E-2</v>
      </c>
    </row>
    <row r="14" spans="1:34">
      <c r="A14" s="1454" t="s">
        <v>143</v>
      </c>
      <c r="B14" s="1470">
        <f t="shared" si="53"/>
        <v>360.06949782209392</v>
      </c>
      <c r="C14" s="1470">
        <f t="shared" si="53"/>
        <v>289.84672674747821</v>
      </c>
      <c r="D14" s="1470">
        <f t="shared" si="54"/>
        <v>289.84672674747821</v>
      </c>
      <c r="E14" s="1470">
        <f t="shared" si="55"/>
        <v>501.06543001181495</v>
      </c>
      <c r="F14" s="1470">
        <f t="shared" si="55"/>
        <v>256.82882500744967</v>
      </c>
      <c r="G14" s="3479"/>
      <c r="H14" s="1458">
        <v>2</v>
      </c>
      <c r="I14" s="1458">
        <v>3.85</v>
      </c>
      <c r="J14" s="1458">
        <v>1.95</v>
      </c>
      <c r="K14" s="1458">
        <v>4.4800000000000004</v>
      </c>
      <c r="L14" s="1472">
        <v>1.41</v>
      </c>
      <c r="N14" s="1465">
        <f t="shared" si="56"/>
        <v>3.85E-2</v>
      </c>
      <c r="O14" s="1466">
        <f t="shared" si="51"/>
        <v>1.95E-2</v>
      </c>
      <c r="P14" s="1466">
        <f t="shared" si="51"/>
        <v>4.4800000000000006E-2</v>
      </c>
      <c r="Q14" s="1466">
        <f t="shared" si="51"/>
        <v>1.41E-2</v>
      </c>
      <c r="R14" s="1467"/>
      <c r="S14" s="1465"/>
      <c r="T14" s="1466"/>
      <c r="U14" s="1466"/>
      <c r="V14" s="1466"/>
      <c r="X14" s="1452">
        <f>ROUND(SUMPRODUCT(PRODUCT(1+N14:N$22)),4)</f>
        <v>1.1702999999999999</v>
      </c>
      <c r="Y14" s="1452">
        <f>ROUND(SUMPRODUCT(PRODUCT(1+O14:O$22)),4)</f>
        <v>1.1269</v>
      </c>
      <c r="Z14" s="1452">
        <f t="shared" si="0"/>
        <v>1.1269</v>
      </c>
      <c r="AA14" s="1452">
        <f>ROUND(SUMPRODUCT(PRODUCT(1+P14:P$22)),4)</f>
        <v>1.1858</v>
      </c>
      <c r="AB14" s="1452">
        <f>ROUND(SUMPRODUCT(PRODUCT(1+Q14:Q$22)),4)</f>
        <v>1.1152</v>
      </c>
      <c r="AD14" s="1453">
        <f>ROUND(AVERAGE(I14:I$23)/100,4)</f>
        <v>1.89E-2</v>
      </c>
      <c r="AE14" s="1453">
        <f>ROUND(AVERAGE(J14:J$23)/100,4)</f>
        <v>1.44E-2</v>
      </c>
      <c r="AF14" s="1453">
        <f t="shared" si="1"/>
        <v>1.44E-2</v>
      </c>
      <c r="AG14" s="1453">
        <f>ROUND(AVERAGE(K14:K$23)/100,4)</f>
        <v>2.06E-2</v>
      </c>
      <c r="AH14" s="1453">
        <f>ROUND(AVERAGE(L14:L$23)/100,4)</f>
        <v>1.23E-2</v>
      </c>
    </row>
    <row r="15" spans="1:34" ht="13.5" thickBot="1">
      <c r="A15" s="1454" t="s">
        <v>152</v>
      </c>
      <c r="B15" s="1470">
        <f t="shared" si="53"/>
        <v>346.720748986128</v>
      </c>
      <c r="C15" s="1470">
        <f t="shared" si="53"/>
        <v>284.30282172386285</v>
      </c>
      <c r="D15" s="1470">
        <f t="shared" si="54"/>
        <v>284.30282172386285</v>
      </c>
      <c r="E15" s="1470">
        <f t="shared" si="55"/>
        <v>479.58023546306947</v>
      </c>
      <c r="F15" s="1470">
        <f t="shared" si="55"/>
        <v>253.25788877571213</v>
      </c>
      <c r="G15" s="3480"/>
      <c r="H15" s="1457">
        <v>1</v>
      </c>
      <c r="I15" s="1457">
        <v>4.09</v>
      </c>
      <c r="J15" s="1457">
        <v>2.93</v>
      </c>
      <c r="K15" s="1457">
        <v>4.54</v>
      </c>
      <c r="L15" s="1471">
        <v>1.48</v>
      </c>
      <c r="N15" s="1465">
        <f t="shared" si="56"/>
        <v>4.0899999999999999E-2</v>
      </c>
      <c r="O15" s="1466">
        <f t="shared" si="51"/>
        <v>2.9300000000000003E-2</v>
      </c>
      <c r="P15" s="1466">
        <f t="shared" si="51"/>
        <v>4.5400000000000003E-2</v>
      </c>
      <c r="Q15" s="1466">
        <f t="shared" si="51"/>
        <v>1.4800000000000001E-2</v>
      </c>
      <c r="R15" s="1467"/>
      <c r="S15" s="1473">
        <f>B15/B16-1</f>
        <v>4.1203450408792808E-2</v>
      </c>
      <c r="T15" s="1474">
        <f>C15/C16-1</f>
        <v>2.6363977342465095E-2</v>
      </c>
      <c r="U15" s="1474">
        <f>E15/E16-1</f>
        <v>4.4837114298626357E-2</v>
      </c>
      <c r="V15" s="1474">
        <f>F15/F16-1</f>
        <v>1.7099954922538574E-2</v>
      </c>
      <c r="X15" s="1452">
        <f>ROUND(SUMPRODUCT(PRODUCT(1+N15:N$22)),4)</f>
        <v>1.1269</v>
      </c>
      <c r="Y15" s="1452">
        <f>ROUND(SUMPRODUCT(PRODUCT(1+O15:O$22)),4)</f>
        <v>1.1052999999999999</v>
      </c>
      <c r="Z15" s="1452">
        <f t="shared" si="0"/>
        <v>1.1052999999999999</v>
      </c>
      <c r="AA15" s="1452">
        <f>ROUND(SUMPRODUCT(PRODUCT(1+P15:P$22)),4)</f>
        <v>1.1349</v>
      </c>
      <c r="AB15" s="1452">
        <f>ROUND(SUMPRODUCT(PRODUCT(1+Q15:Q$22)),4)</f>
        <v>1.0996999999999999</v>
      </c>
      <c r="AD15" s="1453">
        <f>ROUND(AVERAGE(I15:I$23)/100,4)</f>
        <v>1.67E-2</v>
      </c>
      <c r="AE15" s="1453">
        <f>ROUND(AVERAGE(J15:J$23)/100,4)</f>
        <v>1.38E-2</v>
      </c>
      <c r="AF15" s="1453">
        <f t="shared" si="1"/>
        <v>1.38E-2</v>
      </c>
      <c r="AG15" s="1453">
        <f>ROUND(AVERAGE(K15:K$23)/100,4)</f>
        <v>1.7899999999999999E-2</v>
      </c>
      <c r="AH15" s="1453">
        <f>ROUND(AVERAGE(L15:L$23)/100,4)</f>
        <v>1.21E-2</v>
      </c>
    </row>
    <row r="16" spans="1:34" ht="13.5" thickBot="1">
      <c r="A16" s="1454" t="s">
        <v>151</v>
      </c>
      <c r="B16" s="1462">
        <v>333</v>
      </c>
      <c r="C16" s="1462">
        <v>277</v>
      </c>
      <c r="D16" s="1462">
        <f t="shared" si="54"/>
        <v>277</v>
      </c>
      <c r="E16" s="1462">
        <v>459</v>
      </c>
      <c r="F16" s="1463">
        <v>249</v>
      </c>
      <c r="G16" s="3478">
        <v>2015</v>
      </c>
      <c r="H16" s="1475">
        <v>4</v>
      </c>
      <c r="I16" s="1475">
        <v>1.63</v>
      </c>
      <c r="J16" s="1475">
        <v>1.1100000000000001</v>
      </c>
      <c r="K16" s="1475">
        <v>1.77</v>
      </c>
      <c r="L16" s="1476">
        <v>1.89</v>
      </c>
      <c r="N16" s="1477">
        <f t="shared" si="56"/>
        <v>1.6299999999999999E-2</v>
      </c>
      <c r="O16" s="1478">
        <f t="shared" si="51"/>
        <v>1.11E-2</v>
      </c>
      <c r="P16" s="1478">
        <f t="shared" si="51"/>
        <v>1.77E-2</v>
      </c>
      <c r="Q16" s="1478">
        <f t="shared" si="51"/>
        <v>1.89E-2</v>
      </c>
      <c r="R16" s="1467"/>
      <c r="X16" s="1452">
        <f>ROUND(SUMPRODUCT(PRODUCT(1+N16:N$22)),4)</f>
        <v>1.0826</v>
      </c>
      <c r="Y16" s="1452">
        <f>ROUND(SUMPRODUCT(PRODUCT(1+O16:O$22)),4)</f>
        <v>1.0738000000000001</v>
      </c>
      <c r="Z16" s="1452">
        <f t="shared" si="0"/>
        <v>1.0738000000000001</v>
      </c>
      <c r="AA16" s="1452">
        <f>ROUND(SUMPRODUCT(PRODUCT(1+P16:P$22)),4)</f>
        <v>1.0855999999999999</v>
      </c>
      <c r="AB16" s="1452">
        <f>ROUND(SUMPRODUCT(PRODUCT(1+Q16:Q$22)),4)</f>
        <v>1.0837000000000001</v>
      </c>
      <c r="AD16" s="1453">
        <f>ROUND(AVERAGE(I16:I$23)/100,4)</f>
        <v>1.37E-2</v>
      </c>
      <c r="AE16" s="1453">
        <f>ROUND(AVERAGE(J16:J$23)/100,4)</f>
        <v>1.1900000000000001E-2</v>
      </c>
      <c r="AF16" s="1453">
        <f t="shared" si="1"/>
        <v>1.1900000000000001E-2</v>
      </c>
      <c r="AG16" s="1453">
        <f>ROUND(AVERAGE(K16:K$23)/100,4)</f>
        <v>1.4500000000000001E-2</v>
      </c>
      <c r="AH16" s="1453">
        <f>ROUND(AVERAGE(L16:L$23)/100,4)</f>
        <v>1.18E-2</v>
      </c>
    </row>
    <row r="17" spans="1:34">
      <c r="A17" s="1454" t="s">
        <v>150</v>
      </c>
      <c r="B17" s="1470">
        <f t="shared" ref="B17:C19" si="57">B16/(1+N16)</f>
        <v>327.65915576109415</v>
      </c>
      <c r="C17" s="1470">
        <f t="shared" si="57"/>
        <v>273.95905449510434</v>
      </c>
      <c r="D17" s="1470">
        <f t="shared" si="54"/>
        <v>273.95905449510434</v>
      </c>
      <c r="E17" s="1470">
        <f t="shared" ref="E17:F19" si="58">E16/(1+P16)</f>
        <v>451.01699911565294</v>
      </c>
      <c r="F17" s="1470">
        <f t="shared" si="58"/>
        <v>244.38119540681129</v>
      </c>
      <c r="G17" s="3479"/>
      <c r="H17" s="1480">
        <v>3</v>
      </c>
      <c r="I17" s="1480">
        <v>1.65</v>
      </c>
      <c r="J17" s="1480">
        <v>0.92</v>
      </c>
      <c r="K17" s="1480">
        <v>1.88</v>
      </c>
      <c r="L17" s="1481">
        <v>1.26</v>
      </c>
      <c r="N17" s="1465">
        <f t="shared" si="56"/>
        <v>1.6500000000000001E-2</v>
      </c>
      <c r="O17" s="1482">
        <f t="shared" si="51"/>
        <v>9.1999999999999998E-3</v>
      </c>
      <c r="P17" s="1482">
        <f t="shared" si="51"/>
        <v>1.8799999999999997E-2</v>
      </c>
      <c r="Q17" s="1482">
        <f t="shared" si="51"/>
        <v>1.26E-2</v>
      </c>
      <c r="R17" s="1467"/>
      <c r="S17" s="1465"/>
      <c r="T17" s="1466"/>
      <c r="U17" s="1466"/>
      <c r="V17" s="1466"/>
      <c r="X17" s="1452">
        <f>ROUND(SUMPRODUCT(PRODUCT(1+N17:N$22)),4)</f>
        <v>1.0651999999999999</v>
      </c>
      <c r="Y17" s="1452">
        <f>ROUND(SUMPRODUCT(PRODUCT(1+O17:O$22)),4)</f>
        <v>1.0621</v>
      </c>
      <c r="Z17" s="1452">
        <f t="shared" si="0"/>
        <v>1.0621</v>
      </c>
      <c r="AA17" s="1452">
        <f>ROUND(SUMPRODUCT(PRODUCT(1+P17:P$22)),4)</f>
        <v>1.0668</v>
      </c>
      <c r="AB17" s="1452">
        <f>ROUND(SUMPRODUCT(PRODUCT(1+Q17:Q$22)),4)</f>
        <v>1.0636000000000001</v>
      </c>
      <c r="AD17" s="1453">
        <f>ROUND(AVERAGE(I17:I$23)/100,4)</f>
        <v>1.3299999999999999E-2</v>
      </c>
      <c r="AE17" s="1453">
        <f>ROUND(AVERAGE(J17:J$23)/100,4)</f>
        <v>1.2E-2</v>
      </c>
      <c r="AF17" s="1453">
        <f t="shared" si="1"/>
        <v>1.2E-2</v>
      </c>
      <c r="AG17" s="1453">
        <f>ROUND(AVERAGE(K17:K$23)/100,4)</f>
        <v>1.4E-2</v>
      </c>
      <c r="AH17" s="1453">
        <f>ROUND(AVERAGE(L17:L$23)/100,4)</f>
        <v>1.0800000000000001E-2</v>
      </c>
    </row>
    <row r="18" spans="1:34">
      <c r="A18" s="1454" t="s">
        <v>149</v>
      </c>
      <c r="B18" s="1470">
        <f t="shared" si="57"/>
        <v>322.34053690220776</v>
      </c>
      <c r="C18" s="1470">
        <f t="shared" si="57"/>
        <v>271.46160770422546</v>
      </c>
      <c r="D18" s="1470">
        <f t="shared" si="54"/>
        <v>271.46160770422546</v>
      </c>
      <c r="E18" s="1470">
        <f t="shared" si="58"/>
        <v>442.69434542172456</v>
      </c>
      <c r="F18" s="1470">
        <f t="shared" si="58"/>
        <v>241.34030753190925</v>
      </c>
      <c r="G18" s="3479"/>
      <c r="H18" s="1458">
        <v>2</v>
      </c>
      <c r="I18" s="1458">
        <v>0.77</v>
      </c>
      <c r="J18" s="1458">
        <v>0.69</v>
      </c>
      <c r="K18" s="1458">
        <v>0.8</v>
      </c>
      <c r="L18" s="1472">
        <v>0.88</v>
      </c>
      <c r="N18" s="1465">
        <f t="shared" si="56"/>
        <v>7.7000000000000002E-3</v>
      </c>
      <c r="O18" s="1482">
        <f t="shared" si="51"/>
        <v>6.8999999999999999E-3</v>
      </c>
      <c r="P18" s="1482">
        <f t="shared" si="51"/>
        <v>8.0000000000000002E-3</v>
      </c>
      <c r="Q18" s="1482">
        <f t="shared" si="51"/>
        <v>8.8000000000000005E-3</v>
      </c>
      <c r="R18" s="1467"/>
      <c r="S18" s="1465"/>
      <c r="T18" s="1466"/>
      <c r="U18" s="1466"/>
      <c r="V18" s="1466"/>
      <c r="X18" s="1452">
        <f>ROUND(SUMPRODUCT(PRODUCT(1+N18:N$22)),4)</f>
        <v>1.048</v>
      </c>
      <c r="Y18" s="1452">
        <f>ROUND(SUMPRODUCT(PRODUCT(1+O18:O$22)),4)</f>
        <v>1.0524</v>
      </c>
      <c r="Z18" s="1452">
        <f t="shared" si="0"/>
        <v>1.0524</v>
      </c>
      <c r="AA18" s="1452">
        <f>ROUND(SUMPRODUCT(PRODUCT(1+P18:P$22)),4)</f>
        <v>1.0470999999999999</v>
      </c>
      <c r="AB18" s="1452">
        <f>ROUND(SUMPRODUCT(PRODUCT(1+Q18:Q$22)),4)</f>
        <v>1.0504</v>
      </c>
      <c r="AD18" s="1453">
        <f>ROUND(AVERAGE(I18:I$23)/100,4)</f>
        <v>1.2800000000000001E-2</v>
      </c>
      <c r="AE18" s="1453">
        <f>ROUND(AVERAGE(J18:J$23)/100,4)</f>
        <v>1.2500000000000001E-2</v>
      </c>
      <c r="AF18" s="1453">
        <f t="shared" si="1"/>
        <v>1.2500000000000001E-2</v>
      </c>
      <c r="AG18" s="1453">
        <f>ROUND(AVERAGE(K18:K$23)/100,4)</f>
        <v>1.32E-2</v>
      </c>
      <c r="AH18" s="1453">
        <f>ROUND(AVERAGE(L18:L$23)/100,4)</f>
        <v>1.0500000000000001E-2</v>
      </c>
    </row>
    <row r="19" spans="1:34">
      <c r="A19" s="1454" t="s">
        <v>148</v>
      </c>
      <c r="B19" s="1470">
        <f t="shared" si="57"/>
        <v>319.87748030386797</v>
      </c>
      <c r="C19" s="1470">
        <f t="shared" si="57"/>
        <v>269.60135833173649</v>
      </c>
      <c r="D19" s="1470">
        <f t="shared" si="54"/>
        <v>269.60135833173649</v>
      </c>
      <c r="E19" s="1470">
        <f t="shared" si="58"/>
        <v>439.18089823583784</v>
      </c>
      <c r="F19" s="1470">
        <f t="shared" si="58"/>
        <v>239.23503918706311</v>
      </c>
      <c r="G19" s="3480"/>
      <c r="H19" s="1457">
        <v>1</v>
      </c>
      <c r="I19" s="1457">
        <v>0.51</v>
      </c>
      <c r="J19" s="1457">
        <v>0.54</v>
      </c>
      <c r="K19" s="1457">
        <v>0.48</v>
      </c>
      <c r="L19" s="1471">
        <v>0.93</v>
      </c>
      <c r="N19" s="1473">
        <f t="shared" si="56"/>
        <v>5.1000000000000004E-3</v>
      </c>
      <c r="O19" s="1474">
        <f t="shared" si="51"/>
        <v>5.4000000000000003E-3</v>
      </c>
      <c r="P19" s="1474">
        <f t="shared" si="51"/>
        <v>4.7999999999999996E-3</v>
      </c>
      <c r="Q19" s="1474">
        <f t="shared" si="51"/>
        <v>9.300000000000001E-3</v>
      </c>
      <c r="R19" s="1467"/>
      <c r="S19" s="1473">
        <f>B19/B20-1</f>
        <v>5.9040261127922822E-3</v>
      </c>
      <c r="T19" s="1474">
        <f>C19/C20-1</f>
        <v>5.9752176557332781E-3</v>
      </c>
      <c r="U19" s="1474">
        <f>E19/E20-1</f>
        <v>4.9906138119859556E-3</v>
      </c>
      <c r="V19" s="1474">
        <f>F19/F20-1</f>
        <v>9.4305450930933787E-3</v>
      </c>
      <c r="X19" s="1452">
        <f>ROUND(SUMPRODUCT(PRODUCT(1+N19:N$22)),4)</f>
        <v>1.0399</v>
      </c>
      <c r="Y19" s="1452">
        <f>ROUND(SUMPRODUCT(PRODUCT(1+O19:O$22)),4)</f>
        <v>1.0451999999999999</v>
      </c>
      <c r="Z19" s="1452">
        <f t="shared" si="0"/>
        <v>1.0451999999999999</v>
      </c>
      <c r="AA19" s="1452">
        <f>ROUND(SUMPRODUCT(PRODUCT(1+P19:P$22)),4)</f>
        <v>1.0387999999999999</v>
      </c>
      <c r="AB19" s="1452">
        <f>ROUND(SUMPRODUCT(PRODUCT(1+Q19:Q$22)),4)</f>
        <v>1.0411999999999999</v>
      </c>
      <c r="AD19" s="1453">
        <f>ROUND(AVERAGE(I19:I$23)/100,4)</f>
        <v>1.38E-2</v>
      </c>
      <c r="AE19" s="1453">
        <f>ROUND(AVERAGE(J19:J$23)/100,4)</f>
        <v>1.3599999999999999E-2</v>
      </c>
      <c r="AF19" s="1453">
        <f t="shared" si="1"/>
        <v>1.3599999999999999E-2</v>
      </c>
      <c r="AG19" s="1453">
        <f>ROUND(AVERAGE(K19:K$23)/100,4)</f>
        <v>1.4200000000000001E-2</v>
      </c>
      <c r="AH19" s="1453">
        <f>ROUND(AVERAGE(L19:L$23)/100,4)</f>
        <v>1.0800000000000001E-2</v>
      </c>
    </row>
    <row r="20" spans="1:34" ht="13.5" thickBot="1">
      <c r="A20" s="1454" t="s">
        <v>147</v>
      </c>
      <c r="B20" s="1483">
        <v>318</v>
      </c>
      <c r="C20" s="1483">
        <v>268</v>
      </c>
      <c r="D20" s="1483">
        <f t="shared" si="54"/>
        <v>268</v>
      </c>
      <c r="E20" s="1483">
        <v>437</v>
      </c>
      <c r="F20" s="1484">
        <v>237</v>
      </c>
      <c r="G20" s="3478">
        <v>2014</v>
      </c>
      <c r="H20" s="1475">
        <v>4</v>
      </c>
      <c r="I20" s="1475">
        <v>0.21</v>
      </c>
      <c r="J20" s="1475">
        <v>0.41</v>
      </c>
      <c r="K20" s="1475">
        <v>0.12</v>
      </c>
      <c r="L20" s="1476">
        <v>0.89</v>
      </c>
      <c r="N20" s="1465">
        <f t="shared" si="56"/>
        <v>2.0999999999999999E-3</v>
      </c>
      <c r="O20" s="1466">
        <f t="shared" si="51"/>
        <v>4.0999999999999995E-3</v>
      </c>
      <c r="P20" s="1466">
        <f t="shared" si="51"/>
        <v>1.1999999999999999E-3</v>
      </c>
      <c r="Q20" s="1466">
        <f t="shared" si="51"/>
        <v>8.8999999999999999E-3</v>
      </c>
      <c r="R20" s="1467"/>
      <c r="S20" s="1468"/>
      <c r="T20" s="1469"/>
      <c r="U20" s="1469"/>
      <c r="V20" s="1469"/>
      <c r="X20" s="1452">
        <f>ROUND(SUMPRODUCT(PRODUCT(1+N20:N$22)),4)</f>
        <v>1.0347</v>
      </c>
      <c r="Y20" s="1452">
        <f>ROUND(SUMPRODUCT(PRODUCT(1+O20:O$22)),4)</f>
        <v>1.0395000000000001</v>
      </c>
      <c r="Z20" s="1452">
        <f t="shared" si="0"/>
        <v>1.0395000000000001</v>
      </c>
      <c r="AA20" s="1452">
        <f>ROUND(SUMPRODUCT(PRODUCT(1+P20:P$22)),4)</f>
        <v>1.0338000000000001</v>
      </c>
      <c r="AB20" s="1452">
        <f>ROUND(SUMPRODUCT(PRODUCT(1+Q20:Q$22)),4)</f>
        <v>1.0316000000000001</v>
      </c>
      <c r="AD20" s="1453">
        <f>ROUND(AVERAGE(I20:I$23)/100,4)</f>
        <v>1.6E-2</v>
      </c>
      <c r="AE20" s="1453">
        <f>ROUND(AVERAGE(J20:J$23)/100,4)</f>
        <v>1.5599999999999999E-2</v>
      </c>
      <c r="AF20" s="1453">
        <f t="shared" si="1"/>
        <v>1.5599999999999999E-2</v>
      </c>
      <c r="AG20" s="1453">
        <f>ROUND(AVERAGE(K20:K$23)/100,4)</f>
        <v>1.66E-2</v>
      </c>
      <c r="AH20" s="1453">
        <f>ROUND(AVERAGE(L20:L$23)/100,4)</f>
        <v>1.12E-2</v>
      </c>
    </row>
    <row r="21" spans="1:34">
      <c r="A21" s="1454" t="s">
        <v>146</v>
      </c>
      <c r="B21" s="1470">
        <f t="shared" ref="B21:C23" si="59">B20/(1+N20)</f>
        <v>317.33359944117353</v>
      </c>
      <c r="C21" s="1470">
        <f t="shared" si="59"/>
        <v>266.90568668459315</v>
      </c>
      <c r="D21" s="1470">
        <f t="shared" si="54"/>
        <v>266.90568668459315</v>
      </c>
      <c r="E21" s="1470">
        <f t="shared" ref="E21:F23" si="60">E20/(1+P20)</f>
        <v>436.47622852576905</v>
      </c>
      <c r="F21" s="1470">
        <f t="shared" si="60"/>
        <v>234.90930716622066</v>
      </c>
      <c r="G21" s="3479"/>
      <c r="H21" s="1485">
        <v>3</v>
      </c>
      <c r="I21" s="1485">
        <v>0.83</v>
      </c>
      <c r="J21" s="1485">
        <v>1.47</v>
      </c>
      <c r="K21" s="1485">
        <v>0.65</v>
      </c>
      <c r="L21" s="1486">
        <v>0.72</v>
      </c>
      <c r="N21" s="1465">
        <f t="shared" si="56"/>
        <v>8.3000000000000001E-3</v>
      </c>
      <c r="O21" s="1466">
        <f t="shared" si="51"/>
        <v>1.47E-2</v>
      </c>
      <c r="P21" s="1466">
        <f t="shared" si="51"/>
        <v>6.5000000000000006E-3</v>
      </c>
      <c r="Q21" s="1466">
        <f t="shared" si="51"/>
        <v>7.1999999999999998E-3</v>
      </c>
      <c r="R21" s="1467"/>
      <c r="S21" s="1465"/>
      <c r="T21" s="1466"/>
      <c r="U21" s="1466"/>
      <c r="V21" s="1466"/>
      <c r="X21" s="1452">
        <f>ROUND(SUMPRODUCT(PRODUCT(1+N21:N$22)),4)</f>
        <v>1.0325</v>
      </c>
      <c r="Y21" s="1452">
        <f>ROUND(SUMPRODUCT(PRODUCT(1+O21:O$22)),4)</f>
        <v>1.0353000000000001</v>
      </c>
      <c r="Z21" s="1452">
        <f t="shared" ref="Z21:Z22" si="61">Y21</f>
        <v>1.0353000000000001</v>
      </c>
      <c r="AA21" s="1452">
        <f>ROUND(SUMPRODUCT(PRODUCT(1+P21:P$22)),4)</f>
        <v>1.0326</v>
      </c>
      <c r="AB21" s="1452">
        <f>ROUND(SUMPRODUCT(PRODUCT(1+Q21:Q$22)),4)</f>
        <v>1.0225</v>
      </c>
      <c r="AD21" s="1453">
        <f>ROUND(AVERAGE(I21:I$23)/100,4)</f>
        <v>2.07E-2</v>
      </c>
      <c r="AE21" s="1453">
        <f>ROUND(AVERAGE(J21:J$23)/100,4)</f>
        <v>1.95E-2</v>
      </c>
      <c r="AF21" s="1453">
        <f t="shared" si="1"/>
        <v>1.95E-2</v>
      </c>
      <c r="AG21" s="1453">
        <f>ROUND(AVERAGE(K21:K$23)/100,4)</f>
        <v>2.1700000000000001E-2</v>
      </c>
      <c r="AH21" s="1453">
        <f>ROUND(AVERAGE(L21:L$23)/100,4)</f>
        <v>1.2E-2</v>
      </c>
    </row>
    <row r="22" spans="1:34" ht="13.5" thickBot="1">
      <c r="A22" s="1454" t="s">
        <v>145</v>
      </c>
      <c r="B22" s="1470">
        <f t="shared" si="59"/>
        <v>314.72141172386546</v>
      </c>
      <c r="C22" s="1470">
        <f t="shared" si="59"/>
        <v>263.03901319069001</v>
      </c>
      <c r="D22" s="1470">
        <f t="shared" si="54"/>
        <v>263.03901319069001</v>
      </c>
      <c r="E22" s="1470">
        <f t="shared" si="60"/>
        <v>433.65745506782821</v>
      </c>
      <c r="F22" s="1470">
        <f t="shared" si="60"/>
        <v>233.23005080045735</v>
      </c>
      <c r="G22" s="3479"/>
      <c r="H22" s="1475">
        <v>2</v>
      </c>
      <c r="I22" s="1475">
        <v>2.4</v>
      </c>
      <c r="J22" s="1475">
        <v>2.0299999999999998</v>
      </c>
      <c r="K22" s="1475">
        <v>2.59</v>
      </c>
      <c r="L22" s="1476">
        <v>1.52</v>
      </c>
      <c r="N22" s="1465">
        <f t="shared" si="56"/>
        <v>2.4E-2</v>
      </c>
      <c r="O22" s="1466">
        <f t="shared" si="51"/>
        <v>2.0299999999999999E-2</v>
      </c>
      <c r="P22" s="1466">
        <f t="shared" si="51"/>
        <v>2.5899999999999999E-2</v>
      </c>
      <c r="Q22" s="1466">
        <f t="shared" si="51"/>
        <v>1.52E-2</v>
      </c>
      <c r="R22" s="1467"/>
      <c r="S22" s="1465"/>
      <c r="T22" s="1466"/>
      <c r="U22" s="1466"/>
      <c r="V22" s="1466"/>
      <c r="X22" s="1452">
        <f>1+N22</f>
        <v>1.024</v>
      </c>
      <c r="Y22" s="1452">
        <f>1+O22</f>
        <v>1.0203</v>
      </c>
      <c r="Z22" s="1452">
        <f t="shared" si="61"/>
        <v>1.0203</v>
      </c>
      <c r="AA22" s="1452">
        <f>1+P22</f>
        <v>1.0259</v>
      </c>
      <c r="AB22" s="1452">
        <f>1+Q22</f>
        <v>1.0152000000000001</v>
      </c>
      <c r="AD22" s="1453">
        <f>ROUND(AVERAGE(I22:I$23)/100,4)</f>
        <v>2.69E-2</v>
      </c>
      <c r="AE22" s="1453">
        <f>ROUND(AVERAGE(J22:J$23)/100,4)</f>
        <v>2.1899999999999999E-2</v>
      </c>
      <c r="AF22" s="1453">
        <f t="shared" ref="AF22" si="62">AE22</f>
        <v>2.1899999999999999E-2</v>
      </c>
      <c r="AG22" s="1453">
        <f>ROUND(AVERAGE(K22:K$23)/100,4)</f>
        <v>2.9399999999999999E-2</v>
      </c>
      <c r="AH22" s="1453">
        <f>ROUND(AVERAGE(L22:L$23)/100,4)</f>
        <v>1.44E-2</v>
      </c>
    </row>
    <row r="23" spans="1:34" s="1491" customFormat="1" ht="13.5" thickBot="1">
      <c r="A23" s="1487" t="s">
        <v>144</v>
      </c>
      <c r="B23" s="1488">
        <f t="shared" si="59"/>
        <v>307.34512863658733</v>
      </c>
      <c r="C23" s="1488">
        <f t="shared" si="59"/>
        <v>257.80556031626975</v>
      </c>
      <c r="D23" s="1488">
        <f t="shared" si="54"/>
        <v>257.80556031626975</v>
      </c>
      <c r="E23" s="1488">
        <f t="shared" si="60"/>
        <v>422.70928459677179</v>
      </c>
      <c r="F23" s="1488">
        <f t="shared" si="60"/>
        <v>229.73803270336617</v>
      </c>
      <c r="G23" s="3480"/>
      <c r="H23" s="1489">
        <v>1</v>
      </c>
      <c r="I23" s="1489">
        <v>2.97</v>
      </c>
      <c r="J23" s="1489">
        <v>2.34</v>
      </c>
      <c r="K23" s="1489">
        <v>3.28</v>
      </c>
      <c r="L23" s="1490">
        <v>1.36</v>
      </c>
      <c r="N23" s="1492">
        <f t="shared" si="56"/>
        <v>2.9700000000000001E-2</v>
      </c>
      <c r="O23" s="1493">
        <f t="shared" si="51"/>
        <v>2.3399999999999997E-2</v>
      </c>
      <c r="P23" s="1493">
        <f t="shared" si="51"/>
        <v>3.2799999999999996E-2</v>
      </c>
      <c r="Q23" s="1493">
        <f t="shared" si="51"/>
        <v>1.3600000000000001E-2</v>
      </c>
      <c r="R23" s="1494"/>
      <c r="S23" s="1495">
        <f>B23/B24-1</f>
        <v>2.7910129219355539E-2</v>
      </c>
      <c r="T23" s="1496">
        <f>C23/C24-1</f>
        <v>2.3037937762975247E-2</v>
      </c>
      <c r="U23" s="1496">
        <f>E23/E24-1</f>
        <v>3.3519033243940788E-2</v>
      </c>
      <c r="V23" s="1496">
        <f>F23/F24-1</f>
        <v>1.2061818076502862E-2</v>
      </c>
      <c r="W23" s="1497" t="s">
        <v>1162</v>
      </c>
      <c r="X23" s="1498">
        <v>1</v>
      </c>
      <c r="Y23" s="1498">
        <v>1</v>
      </c>
      <c r="Z23" s="1498">
        <v>1</v>
      </c>
      <c r="AA23" s="1498">
        <v>1</v>
      </c>
      <c r="AB23" s="1498">
        <v>1</v>
      </c>
      <c r="AD23" s="1719">
        <f>I23/100</f>
        <v>2.9700000000000001E-2</v>
      </c>
      <c r="AE23" s="1719">
        <f>J23/100</f>
        <v>2.3399999999999997E-2</v>
      </c>
      <c r="AF23" s="1719">
        <f>AE23</f>
        <v>2.3399999999999997E-2</v>
      </c>
      <c r="AG23" s="1719">
        <f>K23/100</f>
        <v>3.2799999999999996E-2</v>
      </c>
      <c r="AH23" s="1719">
        <f>L23/100</f>
        <v>1.3600000000000001E-2</v>
      </c>
    </row>
    <row r="24" spans="1:34" ht="13.5" thickBot="1">
      <c r="A24" s="1454" t="s">
        <v>1163</v>
      </c>
      <c r="B24" s="1462">
        <v>299</v>
      </c>
      <c r="C24" s="1462">
        <v>252</v>
      </c>
      <c r="D24" s="1462">
        <f t="shared" si="54"/>
        <v>252</v>
      </c>
      <c r="E24" s="1462">
        <v>409</v>
      </c>
      <c r="F24" s="1463">
        <v>227</v>
      </c>
      <c r="G24" s="3483">
        <v>2013</v>
      </c>
      <c r="H24" s="1499">
        <v>4</v>
      </c>
      <c r="I24" s="1499">
        <v>1.83</v>
      </c>
      <c r="J24" s="1499">
        <v>1.68</v>
      </c>
      <c r="K24" s="1499">
        <v>1.97</v>
      </c>
      <c r="L24" s="1500">
        <v>0.87</v>
      </c>
      <c r="N24" s="1477">
        <f t="shared" si="56"/>
        <v>1.83E-2</v>
      </c>
      <c r="O24" s="1478">
        <f t="shared" si="51"/>
        <v>1.6799999999999999E-2</v>
      </c>
      <c r="P24" s="1478">
        <f t="shared" si="51"/>
        <v>1.9699999999999999E-2</v>
      </c>
      <c r="Q24" s="1478">
        <f t="shared" si="51"/>
        <v>8.6999999999999994E-3</v>
      </c>
      <c r="R24" s="1467"/>
      <c r="S24" s="1468"/>
      <c r="T24" s="1469"/>
      <c r="U24" s="1469"/>
      <c r="V24" s="1469"/>
      <c r="X24" s="1469"/>
      <c r="Y24" s="1469"/>
      <c r="Z24" s="1469"/>
    </row>
    <row r="25" spans="1:34">
      <c r="A25" s="1454" t="s">
        <v>1164</v>
      </c>
      <c r="B25" s="1470">
        <f t="shared" ref="B25:C27" si="63">B24/(1+N24)</f>
        <v>293.62663262299913</v>
      </c>
      <c r="C25" s="1470">
        <f t="shared" si="63"/>
        <v>247.83634933123525</v>
      </c>
      <c r="D25" s="1470">
        <f t="shared" si="54"/>
        <v>247.83634933123525</v>
      </c>
      <c r="E25" s="1470">
        <f t="shared" ref="E25:F27" si="64">E24/(1+P24)</f>
        <v>401.09836226341076</v>
      </c>
      <c r="F25" s="1470">
        <f t="shared" si="64"/>
        <v>225.04213343908003</v>
      </c>
      <c r="G25" s="3484"/>
      <c r="H25" s="1480">
        <v>3</v>
      </c>
      <c r="I25" s="1480">
        <v>1.86</v>
      </c>
      <c r="J25" s="1480">
        <v>1.72</v>
      </c>
      <c r="K25" s="1480">
        <v>1.98</v>
      </c>
      <c r="L25" s="1481">
        <v>0.88</v>
      </c>
      <c r="N25" s="1465">
        <f t="shared" si="56"/>
        <v>1.8600000000000002E-2</v>
      </c>
      <c r="O25" s="1482">
        <f t="shared" si="51"/>
        <v>1.72E-2</v>
      </c>
      <c r="P25" s="1482">
        <f t="shared" si="51"/>
        <v>1.9799999999999998E-2</v>
      </c>
      <c r="Q25" s="1482">
        <f t="shared" si="51"/>
        <v>8.8000000000000005E-3</v>
      </c>
      <c r="R25" s="1467"/>
      <c r="S25" s="1465"/>
      <c r="T25" s="1466"/>
      <c r="U25" s="1466"/>
      <c r="V25" s="1466"/>
    </row>
    <row r="26" spans="1:34">
      <c r="A26" s="1454" t="s">
        <v>1165</v>
      </c>
      <c r="B26" s="1470">
        <f t="shared" si="63"/>
        <v>288.2649053828776</v>
      </c>
      <c r="C26" s="1470">
        <f t="shared" si="63"/>
        <v>243.64564425013293</v>
      </c>
      <c r="D26" s="1470">
        <f t="shared" si="54"/>
        <v>243.64564425013293</v>
      </c>
      <c r="E26" s="1470">
        <f t="shared" si="64"/>
        <v>393.31080825986544</v>
      </c>
      <c r="F26" s="1470">
        <f t="shared" si="64"/>
        <v>223.07903790551154</v>
      </c>
      <c r="G26" s="3484"/>
      <c r="H26" s="1458">
        <v>2</v>
      </c>
      <c r="I26" s="1458">
        <v>2.04</v>
      </c>
      <c r="J26" s="1458">
        <v>2.33</v>
      </c>
      <c r="K26" s="1458">
        <v>2.0699999999999998</v>
      </c>
      <c r="L26" s="1472">
        <v>0.69</v>
      </c>
      <c r="N26" s="1465">
        <f t="shared" si="56"/>
        <v>2.0400000000000001E-2</v>
      </c>
      <c r="O26" s="1482">
        <f t="shared" si="51"/>
        <v>2.3300000000000001E-2</v>
      </c>
      <c r="P26" s="1482">
        <f t="shared" si="51"/>
        <v>2.07E-2</v>
      </c>
      <c r="Q26" s="1482">
        <f t="shared" si="51"/>
        <v>6.8999999999999999E-3</v>
      </c>
      <c r="R26" s="1467"/>
      <c r="S26" s="1465"/>
      <c r="T26" s="1466"/>
      <c r="U26" s="1466"/>
      <c r="V26" s="1466"/>
      <c r="X26" s="1501"/>
      <c r="Y26" s="1502"/>
    </row>
    <row r="27" spans="1:34">
      <c r="A27" s="1454" t="s">
        <v>1166</v>
      </c>
      <c r="B27" s="1470">
        <f t="shared" si="63"/>
        <v>282.50186729015837</v>
      </c>
      <c r="C27" s="1470">
        <f t="shared" si="63"/>
        <v>238.09796174155468</v>
      </c>
      <c r="D27" s="1470">
        <f t="shared" si="54"/>
        <v>238.09796174155468</v>
      </c>
      <c r="E27" s="1470">
        <f t="shared" si="64"/>
        <v>385.33438646014054</v>
      </c>
      <c r="F27" s="1470">
        <f t="shared" si="64"/>
        <v>221.55034055567739</v>
      </c>
      <c r="G27" s="3485"/>
      <c r="H27" s="1457">
        <v>1</v>
      </c>
      <c r="I27" s="1457">
        <v>1.67</v>
      </c>
      <c r="J27" s="1457">
        <v>1.31</v>
      </c>
      <c r="K27" s="1457">
        <v>1.85</v>
      </c>
      <c r="L27" s="1471">
        <v>0.96</v>
      </c>
      <c r="N27" s="1473">
        <f t="shared" si="56"/>
        <v>1.67E-2</v>
      </c>
      <c r="O27" s="1474">
        <f t="shared" si="56"/>
        <v>1.3100000000000001E-2</v>
      </c>
      <c r="P27" s="1474">
        <f t="shared" si="56"/>
        <v>1.8500000000000003E-2</v>
      </c>
      <c r="Q27" s="1474">
        <f t="shared" si="56"/>
        <v>9.5999999999999992E-3</v>
      </c>
      <c r="R27" s="1467"/>
      <c r="S27" s="1473">
        <f>B27/B28-1</f>
        <v>1.6193767230785472E-2</v>
      </c>
      <c r="T27" s="1474">
        <f>C27/C28-1</f>
        <v>1.7512657015190891E-2</v>
      </c>
      <c r="U27" s="1474">
        <f>E27/E28-1</f>
        <v>1.6713420739157048E-2</v>
      </c>
      <c r="V27" s="1474">
        <f>F27/F28-1</f>
        <v>7.0470025258062563E-3</v>
      </c>
      <c r="X27" s="1503"/>
      <c r="Y27" s="1453"/>
      <c r="Z27" s="1453"/>
    </row>
    <row r="28" spans="1:34" ht="13.5" thickBot="1">
      <c r="A28" s="1454" t="s">
        <v>1167</v>
      </c>
      <c r="B28" s="1504">
        <v>278</v>
      </c>
      <c r="C28" s="1504">
        <v>234</v>
      </c>
      <c r="D28" s="1504">
        <f t="shared" si="54"/>
        <v>234</v>
      </c>
      <c r="E28" s="1504">
        <v>379</v>
      </c>
      <c r="F28" s="1505">
        <v>220</v>
      </c>
      <c r="G28" s="3478">
        <v>2012</v>
      </c>
      <c r="H28" s="1475">
        <v>4</v>
      </c>
      <c r="I28" s="1475">
        <v>0.91</v>
      </c>
      <c r="J28" s="1475">
        <v>0.68</v>
      </c>
      <c r="K28" s="1475">
        <v>0.98</v>
      </c>
      <c r="L28" s="1476">
        <v>0.9</v>
      </c>
      <c r="N28" s="1465">
        <f t="shared" si="56"/>
        <v>9.1000000000000004E-3</v>
      </c>
      <c r="O28" s="1466">
        <f t="shared" si="56"/>
        <v>6.8000000000000005E-3</v>
      </c>
      <c r="P28" s="1466">
        <f t="shared" si="56"/>
        <v>9.7999999999999997E-3</v>
      </c>
      <c r="Q28" s="1466">
        <f t="shared" si="56"/>
        <v>9.0000000000000011E-3</v>
      </c>
      <c r="R28" s="1467"/>
      <c r="S28" s="1468"/>
      <c r="T28" s="1469"/>
      <c r="U28" s="1469"/>
      <c r="V28" s="1469"/>
      <c r="X28" s="1469"/>
      <c r="Y28" s="1469"/>
      <c r="Z28" s="1469"/>
    </row>
    <row r="29" spans="1:34">
      <c r="A29" s="1454" t="s">
        <v>1168</v>
      </c>
      <c r="B29" s="1470">
        <f>B28/(1+N28)</f>
        <v>275.49301357645425</v>
      </c>
      <c r="C29" s="1470">
        <f>C28/(1+O28)</f>
        <v>232.41954707985698</v>
      </c>
      <c r="D29" s="1470">
        <f t="shared" si="54"/>
        <v>232.41954707985698</v>
      </c>
      <c r="E29" s="1470">
        <f t="shared" ref="E29:F31" si="65">E28/(1+P28)</f>
        <v>375.32184591008121</v>
      </c>
      <c r="F29" s="1470">
        <f t="shared" si="65"/>
        <v>218.03766105054513</v>
      </c>
      <c r="G29" s="3479"/>
      <c r="H29" s="1480">
        <v>3</v>
      </c>
      <c r="I29" s="1480">
        <v>0.09</v>
      </c>
      <c r="J29" s="1480">
        <v>0.28999999999999998</v>
      </c>
      <c r="K29" s="1480">
        <v>-0.01</v>
      </c>
      <c r="L29" s="1481">
        <v>0.57999999999999996</v>
      </c>
      <c r="N29" s="1465">
        <f t="shared" si="56"/>
        <v>8.9999999999999998E-4</v>
      </c>
      <c r="O29" s="1466">
        <f t="shared" si="56"/>
        <v>2.8999999999999998E-3</v>
      </c>
      <c r="P29" s="1466">
        <f t="shared" si="56"/>
        <v>-1E-4</v>
      </c>
      <c r="Q29" s="1466">
        <f t="shared" si="56"/>
        <v>5.7999999999999996E-3</v>
      </c>
      <c r="R29" s="1467"/>
      <c r="S29" s="1465"/>
      <c r="T29" s="1466"/>
      <c r="U29" s="1466"/>
      <c r="V29" s="1466"/>
    </row>
    <row r="30" spans="1:34">
      <c r="A30" s="1454" t="s">
        <v>1169</v>
      </c>
      <c r="B30" s="1470">
        <f>B29/(1+N29)</f>
        <v>275.24529281292263</v>
      </c>
      <c r="C30" s="1470">
        <f>C29/(1+O29)</f>
        <v>231.74747938962707</v>
      </c>
      <c r="D30" s="1470">
        <f t="shared" si="54"/>
        <v>231.74747938962707</v>
      </c>
      <c r="E30" s="1470">
        <f t="shared" si="65"/>
        <v>375.35938184826603</v>
      </c>
      <c r="F30" s="1470">
        <f t="shared" si="65"/>
        <v>216.78033510692495</v>
      </c>
      <c r="G30" s="3479"/>
      <c r="H30" s="1458">
        <v>2</v>
      </c>
      <c r="I30" s="1458">
        <v>0.02</v>
      </c>
      <c r="J30" s="1458">
        <v>0.12</v>
      </c>
      <c r="K30" s="1458">
        <v>-0.08</v>
      </c>
      <c r="L30" s="1472">
        <v>1.24</v>
      </c>
      <c r="N30" s="1465">
        <f t="shared" si="56"/>
        <v>2.0000000000000001E-4</v>
      </c>
      <c r="O30" s="1466">
        <f t="shared" si="56"/>
        <v>1.1999999999999999E-3</v>
      </c>
      <c r="P30" s="1466">
        <f t="shared" si="56"/>
        <v>-8.0000000000000004E-4</v>
      </c>
      <c r="Q30" s="1466">
        <f t="shared" si="56"/>
        <v>1.24E-2</v>
      </c>
      <c r="R30" s="1467"/>
      <c r="S30" s="1465"/>
      <c r="T30" s="1466"/>
      <c r="U30" s="1466"/>
      <c r="V30" s="1466"/>
    </row>
    <row r="31" spans="1:34" ht="13.5" thickBot="1">
      <c r="A31" s="1454" t="s">
        <v>1170</v>
      </c>
      <c r="B31" s="1470">
        <f>B30/(1+N30)</f>
        <v>275.19025476197027</v>
      </c>
      <c r="C31" s="1506">
        <v>232</v>
      </c>
      <c r="D31" s="1506">
        <f t="shared" si="54"/>
        <v>232</v>
      </c>
      <c r="E31" s="1470">
        <f t="shared" si="65"/>
        <v>375.65990977608692</v>
      </c>
      <c r="F31" s="1470">
        <f t="shared" si="65"/>
        <v>214.12518283971252</v>
      </c>
      <c r="G31" s="3480"/>
      <c r="H31" s="1457">
        <v>1</v>
      </c>
      <c r="I31" s="1457">
        <v>0.02</v>
      </c>
      <c r="J31" s="1457">
        <v>0.13</v>
      </c>
      <c r="K31" s="1457">
        <v>-0.04</v>
      </c>
      <c r="L31" s="1471">
        <v>0.46</v>
      </c>
      <c r="N31" s="1465">
        <f t="shared" si="56"/>
        <v>2.0000000000000001E-4</v>
      </c>
      <c r="O31" s="1466">
        <f t="shared" si="56"/>
        <v>1.2999999999999999E-3</v>
      </c>
      <c r="P31" s="1466">
        <f t="shared" si="56"/>
        <v>-4.0000000000000002E-4</v>
      </c>
      <c r="Q31" s="1466">
        <f t="shared" si="56"/>
        <v>4.5999999999999999E-3</v>
      </c>
      <c r="R31" s="1467"/>
      <c r="S31" s="1473">
        <f>B31/B32-1</f>
        <v>6.9183549807361189E-4</v>
      </c>
      <c r="T31" s="1474">
        <f>C31/C32-1</f>
        <v>0</v>
      </c>
      <c r="U31" s="1474">
        <f>E31/E32-1</f>
        <v>-9.0449527636460303E-4</v>
      </c>
      <c r="V31" s="1474">
        <f>F31/F32-1</f>
        <v>5.2825485432512753E-3</v>
      </c>
      <c r="X31" s="1453"/>
      <c r="Y31" s="1453"/>
      <c r="Z31" s="1453"/>
    </row>
    <row r="32" spans="1:34" ht="13.5" thickBot="1">
      <c r="A32" s="1454" t="s">
        <v>1171</v>
      </c>
      <c r="B32" s="1462">
        <v>275</v>
      </c>
      <c r="C32" s="1462">
        <v>232</v>
      </c>
      <c r="D32" s="1462">
        <f t="shared" si="54"/>
        <v>232</v>
      </c>
      <c r="E32" s="1462">
        <v>376</v>
      </c>
      <c r="F32" s="1463">
        <v>213</v>
      </c>
      <c r="G32" s="3478">
        <v>2011</v>
      </c>
      <c r="H32" s="1475">
        <v>4</v>
      </c>
      <c r="I32" s="1475">
        <v>-0.2</v>
      </c>
      <c r="J32" s="1475">
        <v>0.04</v>
      </c>
      <c r="K32" s="1475">
        <v>-0.34</v>
      </c>
      <c r="L32" s="1476">
        <v>0.46</v>
      </c>
      <c r="N32" s="1477">
        <f t="shared" si="56"/>
        <v>-2E-3</v>
      </c>
      <c r="O32" s="1478">
        <f t="shared" si="56"/>
        <v>4.0000000000000002E-4</v>
      </c>
      <c r="P32" s="1478">
        <f t="shared" si="56"/>
        <v>-3.4000000000000002E-3</v>
      </c>
      <c r="Q32" s="1478">
        <f t="shared" si="56"/>
        <v>4.5999999999999999E-3</v>
      </c>
      <c r="R32" s="1467"/>
      <c r="S32" s="1468"/>
      <c r="T32" s="1469"/>
      <c r="U32" s="1469"/>
      <c r="V32" s="1469"/>
      <c r="X32" s="1469"/>
      <c r="Y32" s="1469"/>
      <c r="Z32" s="1469"/>
    </row>
    <row r="33" spans="1:26">
      <c r="A33" s="1454" t="s">
        <v>1172</v>
      </c>
      <c r="B33" s="1470">
        <f t="shared" ref="B33:C35" si="66">B32/(1+N32)</f>
        <v>275.55110220440883</v>
      </c>
      <c r="C33" s="1470">
        <f t="shared" si="66"/>
        <v>231.90723710515795</v>
      </c>
      <c r="D33" s="1470">
        <f t="shared" si="54"/>
        <v>231.90723710515795</v>
      </c>
      <c r="E33" s="1470">
        <f t="shared" ref="E33:F35" si="67">E32/(1+P32)</f>
        <v>377.28276138872161</v>
      </c>
      <c r="F33" s="1470">
        <f t="shared" si="67"/>
        <v>212.02468644236512</v>
      </c>
      <c r="G33" s="3479">
        <v>2011</v>
      </c>
      <c r="H33" s="1480">
        <v>3</v>
      </c>
      <c r="I33" s="1480">
        <v>0.13</v>
      </c>
      <c r="J33" s="1480">
        <v>0.75</v>
      </c>
      <c r="K33" s="1480">
        <v>-0.08</v>
      </c>
      <c r="L33" s="1481">
        <v>0.53</v>
      </c>
      <c r="N33" s="1465">
        <f t="shared" si="56"/>
        <v>1.2999999999999999E-3</v>
      </c>
      <c r="O33" s="1482">
        <f t="shared" si="56"/>
        <v>7.4999999999999997E-3</v>
      </c>
      <c r="P33" s="1482">
        <f t="shared" si="56"/>
        <v>-8.0000000000000004E-4</v>
      </c>
      <c r="Q33" s="1482">
        <f t="shared" si="56"/>
        <v>5.3E-3</v>
      </c>
      <c r="R33" s="1467"/>
      <c r="S33" s="1465"/>
      <c r="T33" s="1466"/>
      <c r="U33" s="1466"/>
      <c r="V33" s="1466"/>
    </row>
    <row r="34" spans="1:26">
      <c r="A34" s="1454" t="s">
        <v>1173</v>
      </c>
      <c r="B34" s="1470">
        <f t="shared" si="66"/>
        <v>275.19335084830601</v>
      </c>
      <c r="C34" s="1470">
        <f t="shared" si="66"/>
        <v>230.18088050139744</v>
      </c>
      <c r="D34" s="1470">
        <f t="shared" si="54"/>
        <v>230.18088050139744</v>
      </c>
      <c r="E34" s="1470">
        <f t="shared" si="67"/>
        <v>377.58482925212331</v>
      </c>
      <c r="F34" s="1470">
        <f t="shared" si="67"/>
        <v>210.90687997847917</v>
      </c>
      <c r="G34" s="3479">
        <v>2011</v>
      </c>
      <c r="H34" s="1458">
        <v>2</v>
      </c>
      <c r="I34" s="1458">
        <v>-0.4</v>
      </c>
      <c r="J34" s="1458">
        <v>0.17</v>
      </c>
      <c r="K34" s="1458">
        <v>-0.57999999999999996</v>
      </c>
      <c r="L34" s="1472">
        <v>-0.2</v>
      </c>
      <c r="N34" s="1465">
        <f t="shared" si="56"/>
        <v>-4.0000000000000001E-3</v>
      </c>
      <c r="O34" s="1482">
        <f t="shared" si="56"/>
        <v>1.7000000000000001E-3</v>
      </c>
      <c r="P34" s="1482">
        <f t="shared" si="56"/>
        <v>-5.7999999999999996E-3</v>
      </c>
      <c r="Q34" s="1482">
        <f t="shared" si="56"/>
        <v>-2E-3</v>
      </c>
      <c r="R34" s="1467"/>
      <c r="S34" s="1465"/>
      <c r="T34" s="1466"/>
      <c r="U34" s="1466"/>
      <c r="V34" s="1466"/>
    </row>
    <row r="35" spans="1:26" ht="13.5" thickBot="1">
      <c r="A35" s="1454" t="s">
        <v>1174</v>
      </c>
      <c r="B35" s="1470">
        <f t="shared" si="66"/>
        <v>276.29854502841971</v>
      </c>
      <c r="C35" s="1470">
        <f t="shared" si="66"/>
        <v>229.79023709833027</v>
      </c>
      <c r="D35" s="1470">
        <f t="shared" si="54"/>
        <v>229.79023709833027</v>
      </c>
      <c r="E35" s="1470">
        <f t="shared" si="67"/>
        <v>379.78759731655936</v>
      </c>
      <c r="F35" s="1470">
        <f t="shared" si="67"/>
        <v>211.32953905659235</v>
      </c>
      <c r="G35" s="3480">
        <v>2011</v>
      </c>
      <c r="H35" s="1457">
        <v>1</v>
      </c>
      <c r="I35" s="1457">
        <v>2.65</v>
      </c>
      <c r="J35" s="1457">
        <v>3.76</v>
      </c>
      <c r="K35" s="1457">
        <v>1.89</v>
      </c>
      <c r="L35" s="1471">
        <v>7.95</v>
      </c>
      <c r="N35" s="1473">
        <f t="shared" si="56"/>
        <v>2.6499999999999999E-2</v>
      </c>
      <c r="O35" s="1474">
        <f t="shared" si="56"/>
        <v>3.7599999999999995E-2</v>
      </c>
      <c r="P35" s="1474">
        <f t="shared" si="56"/>
        <v>1.89E-2</v>
      </c>
      <c r="Q35" s="1474">
        <f t="shared" si="56"/>
        <v>7.9500000000000001E-2</v>
      </c>
      <c r="R35" s="1467"/>
      <c r="S35" s="1473">
        <f>B35/B36-1</f>
        <v>2.713213765211786E-2</v>
      </c>
      <c r="T35" s="1474">
        <f>C35/C36-1</f>
        <v>3.9774828499231862E-2</v>
      </c>
      <c r="U35" s="1474">
        <f>E35/E36-1</f>
        <v>1.8197311840641772E-2</v>
      </c>
      <c r="V35" s="1474">
        <f>F35/F36-1</f>
        <v>7.8211933962205826E-2</v>
      </c>
      <c r="X35" s="1453"/>
      <c r="Y35" s="1453"/>
      <c r="Z35" s="1453"/>
    </row>
    <row r="36" spans="1:26" ht="13.5" thickBot="1">
      <c r="A36" s="1454" t="s">
        <v>1175</v>
      </c>
      <c r="B36" s="1462">
        <v>269</v>
      </c>
      <c r="C36" s="1462">
        <v>221</v>
      </c>
      <c r="D36" s="1462">
        <f t="shared" si="54"/>
        <v>221</v>
      </c>
      <c r="E36" s="1462">
        <v>373</v>
      </c>
      <c r="F36" s="1463">
        <v>196</v>
      </c>
      <c r="G36" s="3478">
        <v>2010</v>
      </c>
      <c r="H36" s="1475">
        <v>4</v>
      </c>
      <c r="I36" s="1475">
        <v>5.72</v>
      </c>
      <c r="J36" s="1475">
        <v>6.57</v>
      </c>
      <c r="K36" s="1475">
        <v>5.72</v>
      </c>
      <c r="L36" s="1476">
        <v>2.72</v>
      </c>
      <c r="N36" s="1465">
        <f t="shared" si="56"/>
        <v>5.7200000000000001E-2</v>
      </c>
      <c r="O36" s="1466">
        <f t="shared" si="56"/>
        <v>6.5700000000000008E-2</v>
      </c>
      <c r="P36" s="1466">
        <f t="shared" si="56"/>
        <v>5.7200000000000001E-2</v>
      </c>
      <c r="Q36" s="1466">
        <f t="shared" si="56"/>
        <v>2.7200000000000002E-2</v>
      </c>
      <c r="R36" s="1467"/>
      <c r="S36" s="1468"/>
      <c r="T36" s="1469"/>
      <c r="U36" s="1469"/>
      <c r="V36" s="1469"/>
      <c r="X36" s="1469"/>
      <c r="Y36" s="1469"/>
      <c r="Z36" s="1469"/>
    </row>
    <row r="37" spans="1:26">
      <c r="A37" s="1454" t="s">
        <v>1176</v>
      </c>
      <c r="B37" s="1470">
        <f t="shared" ref="B37:C39" si="68">B36/(1+N36)</f>
        <v>254.44570563753314</v>
      </c>
      <c r="C37" s="1470">
        <f t="shared" si="68"/>
        <v>207.37543398705074</v>
      </c>
      <c r="D37" s="1470">
        <f t="shared" si="54"/>
        <v>207.37543398705074</v>
      </c>
      <c r="E37" s="1470">
        <f t="shared" ref="E37:F39" si="69">E36/(1+P36)</f>
        <v>352.81876655315932</v>
      </c>
      <c r="F37" s="1470">
        <f t="shared" si="69"/>
        <v>190.809968847352</v>
      </c>
      <c r="G37" s="3479">
        <v>2010</v>
      </c>
      <c r="H37" s="1480">
        <v>3</v>
      </c>
      <c r="I37" s="1480">
        <v>4.7300000000000004</v>
      </c>
      <c r="J37" s="1480">
        <v>3.9</v>
      </c>
      <c r="K37" s="1480">
        <v>5.03</v>
      </c>
      <c r="L37" s="1481">
        <v>4.21</v>
      </c>
      <c r="N37" s="1465">
        <f t="shared" si="56"/>
        <v>4.7300000000000002E-2</v>
      </c>
      <c r="O37" s="1466">
        <f t="shared" si="56"/>
        <v>3.9E-2</v>
      </c>
      <c r="P37" s="1466">
        <f t="shared" si="56"/>
        <v>5.0300000000000004E-2</v>
      </c>
      <c r="Q37" s="1466">
        <f t="shared" si="56"/>
        <v>4.2099999999999999E-2</v>
      </c>
      <c r="R37" s="1467"/>
      <c r="S37" s="1465"/>
      <c r="T37" s="1466"/>
      <c r="U37" s="1466"/>
      <c r="V37" s="1466"/>
    </row>
    <row r="38" spans="1:26">
      <c r="A38" s="1454" t="s">
        <v>1177</v>
      </c>
      <c r="B38" s="1470">
        <f t="shared" si="68"/>
        <v>242.95398227588385</v>
      </c>
      <c r="C38" s="1470">
        <f t="shared" si="68"/>
        <v>199.59137053614126</v>
      </c>
      <c r="D38" s="1470">
        <f t="shared" si="54"/>
        <v>199.59137053614126</v>
      </c>
      <c r="E38" s="1470">
        <f t="shared" si="69"/>
        <v>335.92189522342125</v>
      </c>
      <c r="F38" s="1470">
        <f t="shared" si="69"/>
        <v>183.10139991109489</v>
      </c>
      <c r="G38" s="3479">
        <v>2010</v>
      </c>
      <c r="H38" s="1458">
        <v>2</v>
      </c>
      <c r="I38" s="1458">
        <v>4.6900000000000004</v>
      </c>
      <c r="J38" s="1458">
        <v>3.55</v>
      </c>
      <c r="K38" s="1458">
        <v>5.07</v>
      </c>
      <c r="L38" s="1472">
        <v>4.2300000000000004</v>
      </c>
      <c r="N38" s="1465">
        <f t="shared" si="56"/>
        <v>4.6900000000000004E-2</v>
      </c>
      <c r="O38" s="1466">
        <f t="shared" si="56"/>
        <v>3.5499999999999997E-2</v>
      </c>
      <c r="P38" s="1466">
        <f t="shared" si="56"/>
        <v>5.0700000000000002E-2</v>
      </c>
      <c r="Q38" s="1466">
        <f t="shared" si="56"/>
        <v>4.2300000000000004E-2</v>
      </c>
      <c r="R38" s="1467"/>
      <c r="S38" s="1465"/>
      <c r="T38" s="1466"/>
      <c r="U38" s="1466"/>
      <c r="V38" s="1466"/>
    </row>
    <row r="39" spans="1:26" ht="13.5" thickBot="1">
      <c r="A39" s="1454" t="s">
        <v>1178</v>
      </c>
      <c r="B39" s="1470">
        <f t="shared" si="68"/>
        <v>232.06990378821649</v>
      </c>
      <c r="C39" s="1470">
        <f t="shared" si="68"/>
        <v>192.74878854286936</v>
      </c>
      <c r="D39" s="1470">
        <f t="shared" si="54"/>
        <v>192.74878854286936</v>
      </c>
      <c r="E39" s="1470">
        <f t="shared" si="69"/>
        <v>319.71247284992984</v>
      </c>
      <c r="F39" s="1470">
        <f t="shared" si="69"/>
        <v>175.67053622862409</v>
      </c>
      <c r="G39" s="3480">
        <v>2010</v>
      </c>
      <c r="H39" s="1457">
        <v>1</v>
      </c>
      <c r="I39" s="1457">
        <v>5.4</v>
      </c>
      <c r="J39" s="1457">
        <v>3.2</v>
      </c>
      <c r="K39" s="1457">
        <v>6.16</v>
      </c>
      <c r="L39" s="1471">
        <v>4.51</v>
      </c>
      <c r="N39" s="1465">
        <f t="shared" si="56"/>
        <v>5.4000000000000006E-2</v>
      </c>
      <c r="O39" s="1466">
        <f t="shared" si="56"/>
        <v>3.2000000000000001E-2</v>
      </c>
      <c r="P39" s="1466">
        <f t="shared" si="56"/>
        <v>6.1600000000000002E-2</v>
      </c>
      <c r="Q39" s="1466">
        <f t="shared" si="56"/>
        <v>4.5100000000000001E-2</v>
      </c>
      <c r="R39" s="1467"/>
      <c r="S39" s="1473">
        <f>B39/B40-1</f>
        <v>5.4863199037347599E-2</v>
      </c>
      <c r="T39" s="1474">
        <f>C39/C40-1</f>
        <v>3.0742184721226584E-2</v>
      </c>
      <c r="U39" s="1474">
        <f>E39/E40-1</f>
        <v>6.2167683886810154E-2</v>
      </c>
      <c r="V39" s="1474">
        <f>F39/F40-1</f>
        <v>4.5657953741810031E-2</v>
      </c>
      <c r="X39" s="1453"/>
      <c r="Y39" s="1453"/>
      <c r="Z39" s="1453"/>
    </row>
    <row r="40" spans="1:26" ht="13.5" thickBot="1">
      <c r="A40" s="1454" t="s">
        <v>1179</v>
      </c>
      <c r="B40" s="1462">
        <v>220</v>
      </c>
      <c r="C40" s="1462">
        <v>187</v>
      </c>
      <c r="D40" s="1462">
        <f t="shared" si="54"/>
        <v>187</v>
      </c>
      <c r="E40" s="1462">
        <v>301</v>
      </c>
      <c r="F40" s="1463">
        <v>168</v>
      </c>
      <c r="G40" s="3478">
        <v>2009</v>
      </c>
      <c r="H40" s="1475">
        <v>4</v>
      </c>
      <c r="I40" s="1475">
        <v>2.2999999999999998</v>
      </c>
      <c r="J40" s="1475">
        <v>1.04</v>
      </c>
      <c r="K40" s="1475">
        <v>2.84</v>
      </c>
      <c r="L40" s="1476">
        <v>0.67</v>
      </c>
      <c r="N40" s="1477">
        <f t="shared" si="56"/>
        <v>2.3E-2</v>
      </c>
      <c r="O40" s="1478">
        <f t="shared" si="56"/>
        <v>1.04E-2</v>
      </c>
      <c r="P40" s="1478">
        <f t="shared" si="56"/>
        <v>2.8399999999999998E-2</v>
      </c>
      <c r="Q40" s="1478">
        <f t="shared" si="56"/>
        <v>6.7000000000000002E-3</v>
      </c>
      <c r="R40" s="1467"/>
      <c r="S40" s="1468"/>
      <c r="T40" s="1469"/>
      <c r="U40" s="1469"/>
      <c r="V40" s="1469"/>
      <c r="X40" s="1469"/>
      <c r="Y40" s="1469"/>
      <c r="Z40" s="1469"/>
    </row>
    <row r="41" spans="1:26">
      <c r="A41" s="1454" t="s">
        <v>1180</v>
      </c>
      <c r="B41" s="1470">
        <f t="shared" ref="B41:C43" si="70">B40/(1+N40)</f>
        <v>215.05376344086022</v>
      </c>
      <c r="C41" s="1470">
        <f t="shared" si="70"/>
        <v>185.0752177355503</v>
      </c>
      <c r="D41" s="1470">
        <f t="shared" si="54"/>
        <v>185.0752177355503</v>
      </c>
      <c r="E41" s="1470">
        <f t="shared" ref="E41:F43" si="71">E40/(1+P40)</f>
        <v>292.68767016725008</v>
      </c>
      <c r="F41" s="1470">
        <f t="shared" si="71"/>
        <v>166.88189132810174</v>
      </c>
      <c r="G41" s="3479">
        <v>2009</v>
      </c>
      <c r="H41" s="1480">
        <v>3</v>
      </c>
      <c r="I41" s="1480">
        <v>2.1</v>
      </c>
      <c r="J41" s="1480">
        <v>1.86</v>
      </c>
      <c r="K41" s="1480">
        <v>2.29</v>
      </c>
      <c r="L41" s="1481">
        <v>0.85</v>
      </c>
      <c r="N41" s="1465">
        <f t="shared" si="56"/>
        <v>2.1000000000000001E-2</v>
      </c>
      <c r="O41" s="1482">
        <f t="shared" si="56"/>
        <v>1.8600000000000002E-2</v>
      </c>
      <c r="P41" s="1482">
        <f t="shared" si="56"/>
        <v>2.29E-2</v>
      </c>
      <c r="Q41" s="1482">
        <f t="shared" si="56"/>
        <v>8.5000000000000006E-3</v>
      </c>
      <c r="R41" s="1467"/>
      <c r="S41" s="1465"/>
      <c r="T41" s="1466"/>
      <c r="U41" s="1466"/>
      <c r="V41" s="1466"/>
    </row>
    <row r="42" spans="1:26">
      <c r="A42" s="1454" t="s">
        <v>1181</v>
      </c>
      <c r="B42" s="1470">
        <f t="shared" si="70"/>
        <v>210.630522469011</v>
      </c>
      <c r="C42" s="1470">
        <f t="shared" si="70"/>
        <v>181.69567812247232</v>
      </c>
      <c r="D42" s="1470">
        <f t="shared" si="54"/>
        <v>181.69567812247232</v>
      </c>
      <c r="E42" s="1470">
        <f t="shared" si="71"/>
        <v>286.13517466736738</v>
      </c>
      <c r="F42" s="1470">
        <f t="shared" si="71"/>
        <v>165.47535084591149</v>
      </c>
      <c r="G42" s="3479">
        <v>2009</v>
      </c>
      <c r="H42" s="1458">
        <v>2</v>
      </c>
      <c r="I42" s="1458">
        <v>0.86</v>
      </c>
      <c r="J42" s="1458">
        <v>-1.1299999999999999</v>
      </c>
      <c r="K42" s="1458">
        <v>1.79</v>
      </c>
      <c r="L42" s="1472">
        <v>-2.0699999999999998</v>
      </c>
      <c r="N42" s="1465">
        <f t="shared" si="56"/>
        <v>8.6E-3</v>
      </c>
      <c r="O42" s="1482">
        <f t="shared" si="56"/>
        <v>-1.1299999999999999E-2</v>
      </c>
      <c r="P42" s="1482">
        <f t="shared" si="56"/>
        <v>1.7899999999999999E-2</v>
      </c>
      <c r="Q42" s="1482">
        <f t="shared" si="56"/>
        <v>-2.07E-2</v>
      </c>
      <c r="R42" s="1467"/>
      <c r="S42" s="1465"/>
      <c r="T42" s="1466"/>
      <c r="U42" s="1466"/>
      <c r="V42" s="1466"/>
    </row>
    <row r="43" spans="1:26">
      <c r="A43" s="1454" t="s">
        <v>1182</v>
      </c>
      <c r="B43" s="1470">
        <f t="shared" si="70"/>
        <v>208.83454537875372</v>
      </c>
      <c r="C43" s="1470">
        <f t="shared" si="70"/>
        <v>183.77230517090351</v>
      </c>
      <c r="D43" s="1470">
        <f t="shared" si="54"/>
        <v>183.77230517090351</v>
      </c>
      <c r="E43" s="1470">
        <f t="shared" si="71"/>
        <v>281.10342338870947</v>
      </c>
      <c r="F43" s="1470">
        <f t="shared" si="71"/>
        <v>168.97309388942256</v>
      </c>
      <c r="G43" s="3480">
        <v>2009</v>
      </c>
      <c r="H43" s="1457">
        <v>1</v>
      </c>
      <c r="I43" s="1457">
        <v>-2.64</v>
      </c>
      <c r="J43" s="1457">
        <v>-2.5299999999999998</v>
      </c>
      <c r="K43" s="1457">
        <v>-3.02</v>
      </c>
      <c r="L43" s="1471">
        <v>1.52</v>
      </c>
      <c r="N43" s="1473">
        <f t="shared" si="56"/>
        <v>-2.64E-2</v>
      </c>
      <c r="O43" s="1474">
        <f t="shared" si="56"/>
        <v>-2.53E-2</v>
      </c>
      <c r="P43" s="1474">
        <f t="shared" si="56"/>
        <v>-3.0200000000000001E-2</v>
      </c>
      <c r="Q43" s="1474">
        <f t="shared" si="56"/>
        <v>1.52E-2</v>
      </c>
      <c r="R43" s="1467"/>
      <c r="S43" s="1473">
        <f>B43/B44-1</f>
        <v>-2.4137638417038754E-2</v>
      </c>
      <c r="T43" s="1474">
        <f>C43/C44-1</f>
        <v>-2.248773845264096E-2</v>
      </c>
      <c r="U43" s="1474">
        <f>E43/E44-1</f>
        <v>-2.7323794502735366E-2</v>
      </c>
      <c r="V43" s="1474">
        <f>F43/F44-1</f>
        <v>1.7910204153148035E-2</v>
      </c>
      <c r="X43" s="1453"/>
      <c r="Y43" s="1453"/>
      <c r="Z43" s="1453"/>
    </row>
    <row r="44" spans="1:26" ht="13.5" thickBot="1">
      <c r="A44" s="1454" t="s">
        <v>1183</v>
      </c>
      <c r="B44" s="1504">
        <v>214</v>
      </c>
      <c r="C44" s="1504">
        <v>188</v>
      </c>
      <c r="D44" s="1504">
        <f t="shared" si="54"/>
        <v>188</v>
      </c>
      <c r="E44" s="1504">
        <v>289</v>
      </c>
      <c r="F44" s="1505">
        <v>166</v>
      </c>
      <c r="G44" s="3478">
        <v>2008</v>
      </c>
      <c r="H44" s="1475">
        <v>4</v>
      </c>
      <c r="I44" s="1475">
        <v>1.73</v>
      </c>
      <c r="J44" s="1475">
        <v>0.03</v>
      </c>
      <c r="K44" s="1475">
        <v>2.59</v>
      </c>
      <c r="L44" s="1476">
        <v>-1.66</v>
      </c>
      <c r="N44" s="1465">
        <f t="shared" si="56"/>
        <v>1.7299999999999999E-2</v>
      </c>
      <c r="O44" s="1466">
        <f t="shared" si="56"/>
        <v>2.9999999999999997E-4</v>
      </c>
      <c r="P44" s="1466">
        <f t="shared" si="56"/>
        <v>2.5899999999999999E-2</v>
      </c>
      <c r="Q44" s="1466">
        <f t="shared" si="56"/>
        <v>-1.66E-2</v>
      </c>
      <c r="R44" s="1467"/>
      <c r="S44" s="1468"/>
      <c r="T44" s="1469"/>
      <c r="U44" s="1469"/>
      <c r="V44" s="1469"/>
      <c r="X44" s="1469"/>
      <c r="Y44" s="1469"/>
      <c r="Z44" s="1469"/>
    </row>
    <row r="45" spans="1:26">
      <c r="A45" s="1454" t="s">
        <v>1184</v>
      </c>
      <c r="B45" s="1470">
        <f t="shared" ref="B45:C47" si="72">B44/(1+N44)</f>
        <v>210.36075887152265</v>
      </c>
      <c r="C45" s="1470">
        <f t="shared" si="72"/>
        <v>187.94361691492554</v>
      </c>
      <c r="D45" s="1470">
        <f t="shared" si="54"/>
        <v>187.94361691492554</v>
      </c>
      <c r="E45" s="1470">
        <f t="shared" ref="E45:F47" si="73">E44/(1+P44)</f>
        <v>281.70386977288234</v>
      </c>
      <c r="F45" s="1470">
        <f t="shared" si="73"/>
        <v>168.80211511083994</v>
      </c>
      <c r="G45" s="3479">
        <v>2008</v>
      </c>
      <c r="H45" s="1480">
        <v>3</v>
      </c>
      <c r="I45" s="1480">
        <v>1.96</v>
      </c>
      <c r="J45" s="1480">
        <v>2.36</v>
      </c>
      <c r="K45" s="1480">
        <v>1.82</v>
      </c>
      <c r="L45" s="1481">
        <v>2.2200000000000002</v>
      </c>
      <c r="N45" s="1465">
        <f t="shared" si="56"/>
        <v>1.9599999999999999E-2</v>
      </c>
      <c r="O45" s="1466">
        <f t="shared" si="56"/>
        <v>2.3599999999999999E-2</v>
      </c>
      <c r="P45" s="1466">
        <f t="shared" si="56"/>
        <v>1.8200000000000001E-2</v>
      </c>
      <c r="Q45" s="1466">
        <f t="shared" si="56"/>
        <v>2.2200000000000001E-2</v>
      </c>
      <c r="R45" s="1467"/>
      <c r="S45" s="1465"/>
      <c r="T45" s="1466"/>
      <c r="U45" s="1466"/>
      <c r="V45" s="1466"/>
    </row>
    <row r="46" spans="1:26">
      <c r="A46" s="1454" t="s">
        <v>1185</v>
      </c>
      <c r="B46" s="1470">
        <f t="shared" si="72"/>
        <v>206.31694671589116</v>
      </c>
      <c r="C46" s="1470">
        <f t="shared" si="72"/>
        <v>183.61041121036101</v>
      </c>
      <c r="D46" s="1470">
        <f t="shared" si="54"/>
        <v>183.61041121036101</v>
      </c>
      <c r="E46" s="1470">
        <f t="shared" si="73"/>
        <v>276.66850301795557</v>
      </c>
      <c r="F46" s="1470">
        <f t="shared" si="73"/>
        <v>165.1360938278614</v>
      </c>
      <c r="G46" s="3479">
        <v>2008</v>
      </c>
      <c r="H46" s="1458">
        <v>2</v>
      </c>
      <c r="I46" s="1458">
        <v>4.93</v>
      </c>
      <c r="J46" s="1458">
        <v>7.38</v>
      </c>
      <c r="K46" s="1458">
        <v>3.98</v>
      </c>
      <c r="L46" s="1472">
        <v>6.86</v>
      </c>
      <c r="N46" s="1465">
        <f t="shared" si="56"/>
        <v>4.9299999999999997E-2</v>
      </c>
      <c r="O46" s="1466">
        <f t="shared" si="56"/>
        <v>7.3800000000000004E-2</v>
      </c>
      <c r="P46" s="1466">
        <f t="shared" si="56"/>
        <v>3.9800000000000002E-2</v>
      </c>
      <c r="Q46" s="1466">
        <f t="shared" si="56"/>
        <v>6.8600000000000008E-2</v>
      </c>
      <c r="R46" s="1467"/>
      <c r="S46" s="1465"/>
      <c r="T46" s="1466"/>
      <c r="U46" s="1466"/>
      <c r="V46" s="1466"/>
    </row>
    <row r="47" spans="1:26" s="1510" customFormat="1" ht="13.5" thickBot="1">
      <c r="A47" s="1454" t="s">
        <v>1186</v>
      </c>
      <c r="B47" s="1507">
        <f t="shared" si="72"/>
        <v>196.62341248059772</v>
      </c>
      <c r="C47" s="1507">
        <f t="shared" si="72"/>
        <v>170.99125648199012</v>
      </c>
      <c r="D47" s="1507">
        <f t="shared" si="54"/>
        <v>170.99125648199012</v>
      </c>
      <c r="E47" s="1507">
        <f t="shared" si="73"/>
        <v>266.07857570490052</v>
      </c>
      <c r="F47" s="1507">
        <f t="shared" si="73"/>
        <v>154.53499328828505</v>
      </c>
      <c r="G47" s="3480">
        <v>2008</v>
      </c>
      <c r="H47" s="1508">
        <v>1</v>
      </c>
      <c r="I47" s="1508">
        <v>4.1399999999999997</v>
      </c>
      <c r="J47" s="1508">
        <v>3.45</v>
      </c>
      <c r="K47" s="1508">
        <v>4.95</v>
      </c>
      <c r="L47" s="1509">
        <v>4.82</v>
      </c>
      <c r="N47" s="1511">
        <f t="shared" si="56"/>
        <v>4.1399999999999999E-2</v>
      </c>
      <c r="O47" s="1512">
        <f t="shared" si="56"/>
        <v>3.4500000000000003E-2</v>
      </c>
      <c r="P47" s="1512">
        <f t="shared" si="56"/>
        <v>4.9500000000000002E-2</v>
      </c>
      <c r="Q47" s="1512">
        <f t="shared" si="56"/>
        <v>4.82E-2</v>
      </c>
      <c r="R47" s="1513"/>
      <c r="S47" s="1511">
        <f>B47/B48-1</f>
        <v>4.5869215322328349E-2</v>
      </c>
      <c r="T47" s="1512">
        <f>C47/C48-1</f>
        <v>3.6310645345394743E-2</v>
      </c>
      <c r="U47" s="1512">
        <f>E47/E48-1</f>
        <v>4.7553447657088688E-2</v>
      </c>
      <c r="V47" s="1512">
        <f>F47/F48-1</f>
        <v>4.4155360055980086E-2</v>
      </c>
      <c r="X47" s="1514"/>
      <c r="Y47" s="1514"/>
      <c r="Z47" s="1514"/>
    </row>
    <row r="48" spans="1:26" ht="13.5" thickBot="1">
      <c r="A48" s="1454" t="s">
        <v>1187</v>
      </c>
      <c r="B48" s="1462">
        <v>188</v>
      </c>
      <c r="C48" s="1462">
        <v>165</v>
      </c>
      <c r="D48" s="1462">
        <f t="shared" si="54"/>
        <v>165</v>
      </c>
      <c r="E48" s="1462">
        <v>254</v>
      </c>
      <c r="F48" s="1463">
        <v>148</v>
      </c>
      <c r="G48" s="3478">
        <v>2007</v>
      </c>
      <c r="H48" s="1515">
        <v>4</v>
      </c>
      <c r="I48" s="1515">
        <v>5.51</v>
      </c>
      <c r="J48" s="1515">
        <v>4.8899999999999997</v>
      </c>
      <c r="K48" s="1515">
        <v>6.43</v>
      </c>
      <c r="L48" s="1516">
        <v>5.36</v>
      </c>
      <c r="N48" s="1517">
        <f t="shared" ref="N48:O51" si="74">B48/B49-1</f>
        <v>4.1339718365245526E-2</v>
      </c>
      <c r="O48" s="1518">
        <f t="shared" si="74"/>
        <v>4.0324492593776018E-2</v>
      </c>
      <c r="P48" s="1518">
        <f t="shared" ref="P48:Q51" si="75">E48/E49-1</f>
        <v>6.1625555347990968E-2</v>
      </c>
      <c r="Q48" s="1518">
        <f t="shared" si="75"/>
        <v>4.6757569250590603E-2</v>
      </c>
      <c r="R48" s="1467"/>
      <c r="S48" s="1468"/>
      <c r="T48" s="1469"/>
      <c r="U48" s="1469"/>
      <c r="V48" s="1469"/>
      <c r="X48" s="1469"/>
      <c r="Y48" s="1469"/>
      <c r="Z48" s="1469"/>
    </row>
    <row r="49" spans="1:26">
      <c r="A49" s="1454" t="s">
        <v>1188</v>
      </c>
      <c r="B49" s="1470">
        <f t="shared" ref="B49:C51" si="76">B50+(B$48-B$52)*I49/SUM(I$48:I$51)</f>
        <v>180.5366651097618</v>
      </c>
      <c r="C49" s="1470">
        <f t="shared" si="76"/>
        <v>158.60435967302453</v>
      </c>
      <c r="D49" s="1470">
        <f t="shared" si="54"/>
        <v>158.60435967302453</v>
      </c>
      <c r="E49" s="1470">
        <f t="shared" ref="E49:F51" si="77">E50+(E$48-E$52)*K49/SUM(K$48:K$51)</f>
        <v>239.25573260785075</v>
      </c>
      <c r="F49" s="1470">
        <f t="shared" si="77"/>
        <v>141.38899430740037</v>
      </c>
      <c r="G49" s="3479">
        <v>2007</v>
      </c>
      <c r="H49" s="1480">
        <v>3</v>
      </c>
      <c r="I49" s="1480">
        <v>8.65</v>
      </c>
      <c r="J49" s="1480">
        <v>8.06</v>
      </c>
      <c r="K49" s="1480">
        <v>9.94</v>
      </c>
      <c r="L49" s="1481">
        <v>5.8</v>
      </c>
      <c r="N49" s="1517">
        <f t="shared" si="74"/>
        <v>6.940217571740015E-2</v>
      </c>
      <c r="O49" s="1518">
        <f t="shared" si="74"/>
        <v>7.1197482471153428E-2</v>
      </c>
      <c r="P49" s="1518">
        <f t="shared" si="75"/>
        <v>0.10529679922579582</v>
      </c>
      <c r="Q49" s="1518">
        <f t="shared" si="75"/>
        <v>5.3292245059512133E-2</v>
      </c>
      <c r="R49" s="1467"/>
      <c r="S49" s="1465"/>
      <c r="T49" s="1466"/>
      <c r="U49" s="1466"/>
      <c r="V49" s="1466"/>
      <c r="X49" s="1519"/>
      <c r="Y49" s="1519"/>
      <c r="Z49" s="1519"/>
    </row>
    <row r="50" spans="1:26">
      <c r="A50" s="1454" t="s">
        <v>1189</v>
      </c>
      <c r="B50" s="1470">
        <f t="shared" si="76"/>
        <v>168.82017748715555</v>
      </c>
      <c r="C50" s="1470">
        <f t="shared" si="76"/>
        <v>148.06267029972753</v>
      </c>
      <c r="D50" s="1470">
        <f t="shared" si="54"/>
        <v>148.06267029972753</v>
      </c>
      <c r="E50" s="1470">
        <f t="shared" si="77"/>
        <v>216.46288379323747</v>
      </c>
      <c r="F50" s="1470">
        <f t="shared" si="77"/>
        <v>134.23529411764704</v>
      </c>
      <c r="G50" s="3479">
        <v>2007</v>
      </c>
      <c r="H50" s="1458">
        <v>2</v>
      </c>
      <c r="I50" s="1458">
        <v>3.67</v>
      </c>
      <c r="J50" s="1458">
        <v>2.3199999999999998</v>
      </c>
      <c r="K50" s="1458">
        <v>5.0199999999999996</v>
      </c>
      <c r="L50" s="1472">
        <v>6.71</v>
      </c>
      <c r="N50" s="1517">
        <f t="shared" si="74"/>
        <v>3.0339138143848032E-2</v>
      </c>
      <c r="O50" s="1518">
        <f t="shared" si="74"/>
        <v>2.0922341588790472E-2</v>
      </c>
      <c r="P50" s="1518">
        <f t="shared" si="75"/>
        <v>5.6164796592717003E-2</v>
      </c>
      <c r="Q50" s="1518">
        <f t="shared" si="75"/>
        <v>6.5704536723887319E-2</v>
      </c>
      <c r="R50" s="1467"/>
      <c r="S50" s="1465"/>
      <c r="T50" s="1466"/>
      <c r="U50" s="1466"/>
      <c r="V50" s="1466"/>
      <c r="X50" s="1519"/>
      <c r="Y50" s="1519"/>
      <c r="Z50" s="1519"/>
    </row>
    <row r="51" spans="1:26">
      <c r="A51" s="1454" t="s">
        <v>1190</v>
      </c>
      <c r="B51" s="1470">
        <f t="shared" si="76"/>
        <v>163.84913591779542</v>
      </c>
      <c r="C51" s="1470">
        <f t="shared" si="76"/>
        <v>145.0283378746594</v>
      </c>
      <c r="D51" s="1470">
        <f t="shared" si="54"/>
        <v>145.0283378746594</v>
      </c>
      <c r="E51" s="1470">
        <f t="shared" si="77"/>
        <v>204.95180722891567</v>
      </c>
      <c r="F51" s="1470">
        <f t="shared" si="77"/>
        <v>125.95920303605313</v>
      </c>
      <c r="G51" s="3480">
        <v>2007</v>
      </c>
      <c r="H51" s="1457">
        <v>1</v>
      </c>
      <c r="I51" s="1457">
        <v>3.58</v>
      </c>
      <c r="J51" s="1457">
        <v>3.08</v>
      </c>
      <c r="K51" s="1457">
        <v>4.34</v>
      </c>
      <c r="L51" s="1471">
        <v>3.21</v>
      </c>
      <c r="N51" s="1520">
        <f t="shared" si="74"/>
        <v>3.0497710174814063E-2</v>
      </c>
      <c r="O51" s="1521">
        <f t="shared" si="74"/>
        <v>2.8569772160704998E-2</v>
      </c>
      <c r="P51" s="1521">
        <f t="shared" si="75"/>
        <v>5.1034908866234296E-2</v>
      </c>
      <c r="Q51" s="1521">
        <f t="shared" si="75"/>
        <v>3.245248390207478E-2</v>
      </c>
      <c r="R51" s="1467"/>
      <c r="S51" s="1473">
        <f>B51/B52-1</f>
        <v>3.0497710174814063E-2</v>
      </c>
      <c r="T51" s="1474">
        <f>C51/C52-1</f>
        <v>2.8569772160704998E-2</v>
      </c>
      <c r="U51" s="1474">
        <f>E51/E52-1</f>
        <v>5.1034908866234296E-2</v>
      </c>
      <c r="V51" s="1474">
        <f>F51/F52-1</f>
        <v>3.245248390207478E-2</v>
      </c>
      <c r="X51" s="1519"/>
      <c r="Y51" s="1519"/>
      <c r="Z51" s="1519"/>
    </row>
    <row r="52" spans="1:26" ht="13.5" thickBot="1">
      <c r="A52" s="1454" t="s">
        <v>1191</v>
      </c>
      <c r="B52" s="1483">
        <v>159</v>
      </c>
      <c r="C52" s="1483">
        <v>141</v>
      </c>
      <c r="D52" s="1483">
        <f t="shared" si="54"/>
        <v>141</v>
      </c>
      <c r="E52" s="1483">
        <v>195</v>
      </c>
      <c r="F52" s="1484">
        <v>122</v>
      </c>
      <c r="G52" s="3478">
        <v>2006</v>
      </c>
      <c r="H52" s="1475">
        <v>4</v>
      </c>
      <c r="I52" s="1475">
        <v>3.79</v>
      </c>
      <c r="J52" s="1475">
        <v>2.21</v>
      </c>
      <c r="K52" s="1475">
        <v>5.65</v>
      </c>
      <c r="L52" s="1476">
        <v>5.41</v>
      </c>
      <c r="N52" s="1517">
        <f t="shared" ref="N52:O55" si="78">I52/SUM(I$52:I$55)*(B$52/B$56-1)</f>
        <v>7.245466462748526E-2</v>
      </c>
      <c r="O52" s="1518">
        <f t="shared" si="78"/>
        <v>2.3237230038062766E-2</v>
      </c>
      <c r="P52" s="1518">
        <f t="shared" ref="P52:Q55" si="79">K52/SUM(K$52:K$55)*(E$52/E$56-1)</f>
        <v>0.16146893866323722</v>
      </c>
      <c r="Q52" s="1518">
        <f t="shared" si="79"/>
        <v>5.0755230321793784E-2</v>
      </c>
      <c r="R52" s="1467"/>
      <c r="S52" s="1468"/>
      <c r="T52" s="1469"/>
      <c r="U52" s="1469"/>
      <c r="V52" s="1469"/>
      <c r="X52" s="1519"/>
      <c r="Y52" s="1519"/>
      <c r="Z52" s="1519"/>
    </row>
    <row r="53" spans="1:26">
      <c r="A53" s="1454" t="s">
        <v>1192</v>
      </c>
      <c r="B53" s="1470">
        <f t="shared" ref="B53:C55" si="80">B54+(B$52-B$56)*I53/SUM(I$52:I$55)</f>
        <v>149.00125628140702</v>
      </c>
      <c r="C53" s="1470">
        <f t="shared" si="80"/>
        <v>137.95592286501378</v>
      </c>
      <c r="D53" s="1470">
        <f t="shared" si="54"/>
        <v>137.95592286501378</v>
      </c>
      <c r="E53" s="1470">
        <f t="shared" ref="E53:F55" si="81">E54+(E$52-E$56)*K53/SUM(K$52:K$55)</f>
        <v>169.97231450719823</v>
      </c>
      <c r="F53" s="1470">
        <f t="shared" si="81"/>
        <v>116.21390374331551</v>
      </c>
      <c r="G53" s="3479">
        <v>2006</v>
      </c>
      <c r="H53" s="1480">
        <v>3</v>
      </c>
      <c r="I53" s="1480">
        <v>0.92</v>
      </c>
      <c r="J53" s="1480">
        <v>1.08</v>
      </c>
      <c r="K53" s="1480">
        <v>0.73</v>
      </c>
      <c r="L53" s="1481">
        <v>1.08</v>
      </c>
      <c r="N53" s="1517">
        <f t="shared" si="78"/>
        <v>1.7587939698492462E-2</v>
      </c>
      <c r="O53" s="1518">
        <f t="shared" si="78"/>
        <v>1.1355750425840628E-2</v>
      </c>
      <c r="P53" s="1518">
        <f t="shared" si="79"/>
        <v>2.0862358446754544E-2</v>
      </c>
      <c r="Q53" s="1518">
        <f t="shared" si="79"/>
        <v>1.0132282578103011E-2</v>
      </c>
      <c r="R53" s="1467"/>
      <c r="S53" s="1465"/>
      <c r="T53" s="1466"/>
      <c r="U53" s="1466"/>
      <c r="V53" s="1466"/>
      <c r="X53" s="1519"/>
      <c r="Y53" s="1519"/>
      <c r="Z53" s="1519"/>
    </row>
    <row r="54" spans="1:26">
      <c r="A54" s="1454" t="s">
        <v>1193</v>
      </c>
      <c r="B54" s="1470">
        <f t="shared" si="80"/>
        <v>146.57412060301507</v>
      </c>
      <c r="C54" s="1470">
        <f t="shared" si="80"/>
        <v>136.46831955922866</v>
      </c>
      <c r="D54" s="1470">
        <f t="shared" si="54"/>
        <v>136.46831955922866</v>
      </c>
      <c r="E54" s="1470">
        <f t="shared" si="81"/>
        <v>166.73864894795128</v>
      </c>
      <c r="F54" s="1470">
        <f t="shared" si="81"/>
        <v>115.05882352941177</v>
      </c>
      <c r="G54" s="3479">
        <v>2006</v>
      </c>
      <c r="H54" s="1458">
        <v>2</v>
      </c>
      <c r="I54" s="1458">
        <v>0.96</v>
      </c>
      <c r="J54" s="1458">
        <v>0.25</v>
      </c>
      <c r="K54" s="1458">
        <v>1.9</v>
      </c>
      <c r="L54" s="1472">
        <v>0.95</v>
      </c>
      <c r="N54" s="1517">
        <f t="shared" si="78"/>
        <v>1.8352632728861701E-2</v>
      </c>
      <c r="O54" s="1518">
        <f t="shared" si="78"/>
        <v>2.6286459319075526E-3</v>
      </c>
      <c r="P54" s="1518">
        <f t="shared" si="79"/>
        <v>5.4299289107991269E-2</v>
      </c>
      <c r="Q54" s="1518">
        <f t="shared" si="79"/>
        <v>8.9126559714794995E-3</v>
      </c>
      <c r="R54" s="1467"/>
      <c r="S54" s="1465"/>
      <c r="T54" s="1466"/>
      <c r="U54" s="1466"/>
      <c r="V54" s="1466"/>
      <c r="X54" s="1519"/>
      <c r="Y54" s="1519"/>
      <c r="Z54" s="1519"/>
    </row>
    <row r="55" spans="1:26">
      <c r="A55" s="1454" t="s">
        <v>1194</v>
      </c>
      <c r="B55" s="1470">
        <f t="shared" si="80"/>
        <v>144.04145728643215</v>
      </c>
      <c r="C55" s="1470">
        <f t="shared" si="80"/>
        <v>136.12396694214877</v>
      </c>
      <c r="D55" s="1470">
        <f t="shared" si="54"/>
        <v>136.12396694214877</v>
      </c>
      <c r="E55" s="1470">
        <f t="shared" si="81"/>
        <v>158.32225913621264</v>
      </c>
      <c r="F55" s="1470">
        <f t="shared" si="81"/>
        <v>114.04278074866311</v>
      </c>
      <c r="G55" s="3480">
        <v>2006</v>
      </c>
      <c r="H55" s="1457">
        <v>1</v>
      </c>
      <c r="I55" s="1457">
        <v>2.29</v>
      </c>
      <c r="J55" s="1457">
        <v>3.72</v>
      </c>
      <c r="K55" s="1457">
        <v>0.75</v>
      </c>
      <c r="L55" s="1471">
        <v>0.04</v>
      </c>
      <c r="N55" s="1520">
        <f t="shared" si="78"/>
        <v>4.3778675988638847E-2</v>
      </c>
      <c r="O55" s="1521">
        <f t="shared" si="78"/>
        <v>3.9114251466784385E-2</v>
      </c>
      <c r="P55" s="1521">
        <f t="shared" si="79"/>
        <v>2.1433929911049188E-2</v>
      </c>
      <c r="Q55" s="1521">
        <f t="shared" si="79"/>
        <v>3.7526972511492629E-4</v>
      </c>
      <c r="R55" s="1467"/>
      <c r="S55" s="1473">
        <f>B55/B56-1</f>
        <v>4.3778675988638716E-2</v>
      </c>
      <c r="T55" s="1474">
        <f>C55/C56-1</f>
        <v>3.91142514667846E-2</v>
      </c>
      <c r="U55" s="1474">
        <f>E55/E56-1</f>
        <v>2.143392991104931E-2</v>
      </c>
      <c r="V55" s="1474">
        <f>F55/F56-1</f>
        <v>3.7526972511492396E-4</v>
      </c>
      <c r="X55" s="1519"/>
      <c r="Y55" s="1519"/>
      <c r="Z55" s="1519"/>
    </row>
    <row r="56" spans="1:26" ht="13.5" thickBot="1">
      <c r="A56" s="1454" t="s">
        <v>1195</v>
      </c>
      <c r="B56" s="1483">
        <v>138</v>
      </c>
      <c r="C56" s="1483">
        <v>131</v>
      </c>
      <c r="D56" s="1483">
        <f t="shared" si="54"/>
        <v>131</v>
      </c>
      <c r="E56" s="1483">
        <v>155</v>
      </c>
      <c r="F56" s="1484">
        <v>114</v>
      </c>
      <c r="G56" s="3478">
        <v>2005</v>
      </c>
      <c r="H56" s="1475">
        <v>4</v>
      </c>
      <c r="I56" s="1475">
        <v>3.29</v>
      </c>
      <c r="J56" s="1475">
        <v>1.44</v>
      </c>
      <c r="K56" s="1475">
        <v>0.66</v>
      </c>
      <c r="L56" s="1476">
        <v>7.78</v>
      </c>
      <c r="N56" s="1517">
        <f t="shared" ref="N56:O59" si="82">I56/SUM(I$56:I$59)*(B$56/B$60-1)</f>
        <v>9.9404603216919935E-2</v>
      </c>
      <c r="O56" s="1518">
        <f t="shared" si="82"/>
        <v>4.7636550760861554E-2</v>
      </c>
      <c r="P56" s="1518">
        <f t="shared" ref="P56:Q59" si="83">K56/SUM(K$56:K$59)*(E$56/E$60-1)</f>
        <v>8.3756345177664976E-2</v>
      </c>
      <c r="Q56" s="1518">
        <f t="shared" si="83"/>
        <v>5.2148766661559584E-2</v>
      </c>
      <c r="R56" s="1467"/>
      <c r="S56" s="1468"/>
      <c r="T56" s="1469"/>
      <c r="U56" s="1469"/>
      <c r="V56" s="1469"/>
      <c r="X56" s="1519"/>
      <c r="Y56" s="1519"/>
      <c r="Z56" s="1519"/>
    </row>
    <row r="57" spans="1:26">
      <c r="A57" s="1454" t="s">
        <v>1196</v>
      </c>
      <c r="B57" s="1470">
        <f t="shared" ref="B57:C59" si="84">B58+(B$56-B$60)*I57/SUM(I$56:I$59)</f>
        <v>125.9720430107527</v>
      </c>
      <c r="C57" s="1470">
        <f t="shared" si="84"/>
        <v>125.1883408071749</v>
      </c>
      <c r="D57" s="1470">
        <f t="shared" si="54"/>
        <v>125.1883408071749</v>
      </c>
      <c r="E57" s="1470">
        <f t="shared" ref="E57:F59" si="85">E58+(E$56-E$60)*K57/SUM(K$56:K$59)</f>
        <v>144.61421319796952</v>
      </c>
      <c r="F57" s="1470">
        <f t="shared" si="85"/>
        <v>108.42008196721311</v>
      </c>
      <c r="G57" s="3479">
        <v>2005</v>
      </c>
      <c r="H57" s="1480">
        <v>3</v>
      </c>
      <c r="I57" s="1480">
        <v>0.46</v>
      </c>
      <c r="J57" s="1480">
        <v>0.32</v>
      </c>
      <c r="K57" s="1480">
        <v>0.42</v>
      </c>
      <c r="L57" s="1481">
        <v>0.64</v>
      </c>
      <c r="N57" s="1517">
        <f t="shared" si="82"/>
        <v>1.3898515951301874E-2</v>
      </c>
      <c r="O57" s="1518">
        <f t="shared" si="82"/>
        <v>1.0585900169080346E-2</v>
      </c>
      <c r="P57" s="1518">
        <f t="shared" si="83"/>
        <v>5.3299492385786795E-2</v>
      </c>
      <c r="Q57" s="1518">
        <f t="shared" si="83"/>
        <v>4.2898728359123568E-3</v>
      </c>
      <c r="R57" s="1467"/>
      <c r="S57" s="1465"/>
      <c r="T57" s="1466"/>
      <c r="U57" s="1466"/>
      <c r="V57" s="1466"/>
      <c r="X57" s="1519"/>
      <c r="Y57" s="1519"/>
      <c r="Z57" s="1519"/>
    </row>
    <row r="58" spans="1:26">
      <c r="A58" s="1454" t="s">
        <v>1197</v>
      </c>
      <c r="B58" s="1470">
        <f t="shared" si="84"/>
        <v>124.29032258064517</v>
      </c>
      <c r="C58" s="1470">
        <f t="shared" si="84"/>
        <v>123.8968609865471</v>
      </c>
      <c r="D58" s="1470">
        <f t="shared" si="54"/>
        <v>123.8968609865471</v>
      </c>
      <c r="E58" s="1470">
        <f t="shared" si="85"/>
        <v>138.00507614213197</v>
      </c>
      <c r="F58" s="1470">
        <f t="shared" si="85"/>
        <v>107.96106557377048</v>
      </c>
      <c r="G58" s="3479">
        <v>2005</v>
      </c>
      <c r="H58" s="1458">
        <v>2</v>
      </c>
      <c r="I58" s="1458">
        <v>0.47</v>
      </c>
      <c r="J58" s="1458">
        <v>0.1</v>
      </c>
      <c r="K58" s="1458">
        <v>0.52</v>
      </c>
      <c r="L58" s="1472">
        <v>0.79</v>
      </c>
      <c r="N58" s="1517">
        <f t="shared" si="82"/>
        <v>1.420065760241713E-2</v>
      </c>
      <c r="O58" s="1518">
        <f t="shared" si="82"/>
        <v>3.3080938028376083E-3</v>
      </c>
      <c r="P58" s="1518">
        <f t="shared" si="83"/>
        <v>6.598984771573603E-2</v>
      </c>
      <c r="Q58" s="1518">
        <f t="shared" si="83"/>
        <v>5.2953117818293153E-3</v>
      </c>
      <c r="R58" s="1467"/>
      <c r="S58" s="1465"/>
      <c r="T58" s="1466"/>
      <c r="U58" s="1466"/>
      <c r="V58" s="1466"/>
      <c r="X58" s="1519"/>
      <c r="Y58" s="1519"/>
      <c r="Z58" s="1519"/>
    </row>
    <row r="59" spans="1:26">
      <c r="A59" s="1454" t="s">
        <v>1198</v>
      </c>
      <c r="B59" s="1470">
        <f t="shared" si="84"/>
        <v>122.57204301075269</v>
      </c>
      <c r="C59" s="1470">
        <f t="shared" si="84"/>
        <v>123.4932735426009</v>
      </c>
      <c r="D59" s="1470">
        <f t="shared" si="54"/>
        <v>123.4932735426009</v>
      </c>
      <c r="E59" s="1470">
        <f t="shared" si="85"/>
        <v>129.82233502538071</v>
      </c>
      <c r="F59" s="1470">
        <f t="shared" si="85"/>
        <v>107.39446721311475</v>
      </c>
      <c r="G59" s="3480">
        <v>2005</v>
      </c>
      <c r="H59" s="1457">
        <v>1</v>
      </c>
      <c r="I59" s="1457">
        <v>0.43</v>
      </c>
      <c r="J59" s="1457">
        <v>0.37</v>
      </c>
      <c r="K59" s="1457">
        <v>0.37</v>
      </c>
      <c r="L59" s="1471">
        <v>0.55000000000000004</v>
      </c>
      <c r="N59" s="1520">
        <f t="shared" si="82"/>
        <v>1.2992090997956099E-2</v>
      </c>
      <c r="O59" s="1521">
        <f t="shared" si="82"/>
        <v>1.2239947070499151E-2</v>
      </c>
      <c r="P59" s="1521">
        <f t="shared" si="83"/>
        <v>4.6954314720812178E-2</v>
      </c>
      <c r="Q59" s="1521">
        <f t="shared" si="83"/>
        <v>3.6866094683621815E-3</v>
      </c>
      <c r="R59" s="1467"/>
      <c r="S59" s="1473">
        <f>B59/B60-1</f>
        <v>1.2992090997956174E-2</v>
      </c>
      <c r="T59" s="1474">
        <f>C59/C60-1</f>
        <v>1.2239947070499246E-2</v>
      </c>
      <c r="U59" s="1474">
        <f>E59/E60-1</f>
        <v>4.695431472081224E-2</v>
      </c>
      <c r="V59" s="1474">
        <f>F59/F60-1</f>
        <v>3.6866094683620787E-3</v>
      </c>
      <c r="X59" s="1519"/>
      <c r="Y59" s="1519"/>
      <c r="Z59" s="1519"/>
    </row>
    <row r="60" spans="1:26" ht="13.5" thickBot="1">
      <c r="A60" s="1454" t="s">
        <v>1199</v>
      </c>
      <c r="B60" s="1504">
        <v>121</v>
      </c>
      <c r="C60" s="1504">
        <v>122</v>
      </c>
      <c r="D60" s="1504">
        <f t="shared" si="54"/>
        <v>122</v>
      </c>
      <c r="E60" s="1504">
        <v>124</v>
      </c>
      <c r="F60" s="1505">
        <v>107</v>
      </c>
      <c r="G60" s="3478">
        <v>2004</v>
      </c>
      <c r="H60" s="1475">
        <v>4</v>
      </c>
      <c r="I60" s="1475">
        <v>0.33</v>
      </c>
      <c r="J60" s="1475">
        <v>0.5</v>
      </c>
      <c r="K60" s="1475">
        <v>0.5</v>
      </c>
      <c r="L60" s="1476">
        <v>0</v>
      </c>
      <c r="N60" s="1517">
        <f t="shared" ref="N60:O63" si="86">I60/SUM(I$60:I$63)*(B$60/B$64-1)</f>
        <v>1.3391770148526898E-2</v>
      </c>
      <c r="O60" s="1518">
        <f t="shared" si="86"/>
        <v>1.063264221158958E-2</v>
      </c>
      <c r="P60" s="1518">
        <f t="shared" ref="P60:Q63" si="87">K60/SUM(K$60:K$63)*(E$60/E$64-1)</f>
        <v>2.2244466688911134E-2</v>
      </c>
      <c r="Q60" s="1518">
        <f t="shared" si="87"/>
        <v>0</v>
      </c>
      <c r="R60" s="1467"/>
      <c r="S60" s="1468"/>
      <c r="T60" s="1469"/>
      <c r="U60" s="1469"/>
      <c r="V60" s="1469"/>
      <c r="X60" s="1519"/>
      <c r="Y60" s="1519"/>
      <c r="Z60" s="1519"/>
    </row>
    <row r="61" spans="1:26">
      <c r="A61" s="1454" t="s">
        <v>1200</v>
      </c>
      <c r="B61" s="1470">
        <f t="shared" ref="B61:C63" si="88">B62+(B$60-B$64)*I61/SUM(I$60:I$63)</f>
        <v>119.51351351351352</v>
      </c>
      <c r="C61" s="1470">
        <f t="shared" si="88"/>
        <v>120.7878787878788</v>
      </c>
      <c r="D61" s="1470">
        <f t="shared" si="54"/>
        <v>120.7878787878788</v>
      </c>
      <c r="E61" s="1470">
        <f t="shared" ref="E61:F63" si="89">E62+(E$60-E$64)*K61/SUM(K$60:K$63)</f>
        <v>121.5975975975976</v>
      </c>
      <c r="F61" s="1470">
        <f t="shared" si="89"/>
        <v>107</v>
      </c>
      <c r="G61" s="3479">
        <v>2004</v>
      </c>
      <c r="H61" s="1480">
        <v>3</v>
      </c>
      <c r="I61" s="1480">
        <v>0.56000000000000005</v>
      </c>
      <c r="J61" s="1480">
        <v>0.8</v>
      </c>
      <c r="K61" s="1480">
        <v>0.83</v>
      </c>
      <c r="L61" s="1481">
        <v>0.06</v>
      </c>
      <c r="N61" s="1517">
        <f t="shared" si="86"/>
        <v>2.2725428130833527E-2</v>
      </c>
      <c r="O61" s="1518">
        <f t="shared" si="86"/>
        <v>1.7012227538543329E-2</v>
      </c>
      <c r="P61" s="1518">
        <f t="shared" si="87"/>
        <v>3.6925814703592477E-2</v>
      </c>
      <c r="Q61" s="1518">
        <f t="shared" si="87"/>
        <v>2.8846153846153744E-2</v>
      </c>
      <c r="R61" s="1467"/>
      <c r="S61" s="1465"/>
      <c r="T61" s="1466"/>
      <c r="U61" s="1466"/>
      <c r="V61" s="1466"/>
      <c r="X61" s="1519"/>
      <c r="Y61" s="1519"/>
      <c r="Z61" s="1519"/>
    </row>
    <row r="62" spans="1:26">
      <c r="A62" s="1454" t="s">
        <v>1201</v>
      </c>
      <c r="B62" s="1470">
        <f t="shared" si="88"/>
        <v>116.99099099099099</v>
      </c>
      <c r="C62" s="1470">
        <f t="shared" si="88"/>
        <v>118.84848484848486</v>
      </c>
      <c r="D62" s="1470">
        <f t="shared" si="54"/>
        <v>118.84848484848486</v>
      </c>
      <c r="E62" s="1470">
        <f t="shared" si="89"/>
        <v>117.60960960960961</v>
      </c>
      <c r="F62" s="1470">
        <f t="shared" si="89"/>
        <v>104</v>
      </c>
      <c r="G62" s="3479">
        <v>2004</v>
      </c>
      <c r="H62" s="1458">
        <v>2</v>
      </c>
      <c r="I62" s="1458">
        <v>1</v>
      </c>
      <c r="J62" s="1458">
        <v>1.5</v>
      </c>
      <c r="K62" s="1458">
        <v>1.5</v>
      </c>
      <c r="L62" s="1472">
        <v>0</v>
      </c>
      <c r="N62" s="1517">
        <f t="shared" si="86"/>
        <v>4.0581121662202721E-2</v>
      </c>
      <c r="O62" s="1518">
        <f t="shared" si="86"/>
        <v>3.1897926634768738E-2</v>
      </c>
      <c r="P62" s="1518">
        <f t="shared" si="87"/>
        <v>6.6733400066733395E-2</v>
      </c>
      <c r="Q62" s="1518">
        <f t="shared" si="87"/>
        <v>0</v>
      </c>
      <c r="R62" s="1467"/>
      <c r="S62" s="1465"/>
      <c r="T62" s="1466"/>
      <c r="U62" s="1466"/>
      <c r="V62" s="1466"/>
      <c r="X62" s="1519"/>
      <c r="Y62" s="1519"/>
      <c r="Z62" s="1519"/>
    </row>
    <row r="63" spans="1:26" s="1510" customFormat="1" ht="13.5" thickBot="1">
      <c r="A63" s="1454" t="s">
        <v>1202</v>
      </c>
      <c r="B63" s="1507">
        <f t="shared" si="88"/>
        <v>112.48648648648648</v>
      </c>
      <c r="C63" s="1507">
        <f t="shared" si="88"/>
        <v>115.21212121212122</v>
      </c>
      <c r="D63" s="1507">
        <f t="shared" si="54"/>
        <v>115.21212121212122</v>
      </c>
      <c r="E63" s="1507">
        <f t="shared" si="89"/>
        <v>110.4024024024024</v>
      </c>
      <c r="F63" s="1507">
        <f t="shared" si="89"/>
        <v>104</v>
      </c>
      <c r="G63" s="3480">
        <v>2004</v>
      </c>
      <c r="H63" s="1508">
        <v>1</v>
      </c>
      <c r="I63" s="1508">
        <v>0.33</v>
      </c>
      <c r="J63" s="1508">
        <v>0.5</v>
      </c>
      <c r="K63" s="1508">
        <v>0.5</v>
      </c>
      <c r="L63" s="1509">
        <v>0</v>
      </c>
      <c r="N63" s="1522">
        <f t="shared" si="86"/>
        <v>1.3391770148526898E-2</v>
      </c>
      <c r="O63" s="1523">
        <f t="shared" si="86"/>
        <v>1.063264221158958E-2</v>
      </c>
      <c r="P63" s="1523">
        <f t="shared" si="87"/>
        <v>2.2244466688911134E-2</v>
      </c>
      <c r="Q63" s="1523">
        <f t="shared" si="87"/>
        <v>0</v>
      </c>
      <c r="R63" s="1513"/>
      <c r="S63" s="1511">
        <f>B63/B64-1</f>
        <v>1.3391770148526883E-2</v>
      </c>
      <c r="T63" s="1512">
        <f>C63/C64-1</f>
        <v>1.063264221158966E-2</v>
      </c>
      <c r="U63" s="1512">
        <f>E63/E64-1</f>
        <v>2.2244466688911224E-2</v>
      </c>
      <c r="V63" s="1512">
        <f>F63/F64-1</f>
        <v>0</v>
      </c>
      <c r="X63" s="1524"/>
      <c r="Y63" s="1524"/>
      <c r="Z63" s="1524"/>
    </row>
    <row r="64" spans="1:26" ht="13.5" thickBot="1">
      <c r="A64" s="1454" t="s">
        <v>1203</v>
      </c>
      <c r="B64" s="1525">
        <v>111</v>
      </c>
      <c r="C64" s="1525">
        <v>114</v>
      </c>
      <c r="D64" s="1525">
        <f t="shared" si="54"/>
        <v>114</v>
      </c>
      <c r="E64" s="1525">
        <v>108</v>
      </c>
      <c r="F64" s="1526">
        <v>104</v>
      </c>
      <c r="G64" s="3478">
        <v>2003</v>
      </c>
      <c r="H64" s="1515">
        <v>4</v>
      </c>
      <c r="I64" s="1527"/>
      <c r="J64" s="1527"/>
      <c r="K64" s="1527"/>
      <c r="L64" s="1527"/>
      <c r="N64" s="1528"/>
      <c r="O64" s="1527"/>
      <c r="P64" s="1527"/>
      <c r="Q64" s="1527"/>
      <c r="S64" s="1528"/>
      <c r="T64" s="1527"/>
      <c r="U64" s="1527"/>
      <c r="V64" s="1527"/>
      <c r="X64" s="1519"/>
      <c r="Y64" s="1519"/>
      <c r="Z64" s="1519"/>
    </row>
    <row r="65" spans="1:26">
      <c r="A65" s="1454" t="s">
        <v>1204</v>
      </c>
      <c r="B65" s="1529">
        <f t="shared" ref="B65:C67" si="90">B66+(B$64-B$68)/4</f>
        <v>109.75</v>
      </c>
      <c r="C65" s="1529">
        <f t="shared" si="90"/>
        <v>112.25</v>
      </c>
      <c r="D65" s="1529">
        <f t="shared" si="54"/>
        <v>112.25</v>
      </c>
      <c r="E65" s="1529">
        <f t="shared" ref="E65:F67" si="91">E66+(E$64-E$68)/4</f>
        <v>107.25</v>
      </c>
      <c r="F65" s="1529">
        <f t="shared" si="91"/>
        <v>103.5</v>
      </c>
      <c r="G65" s="3479">
        <v>2003</v>
      </c>
      <c r="H65" s="1480">
        <v>3</v>
      </c>
      <c r="I65" s="1527"/>
      <c r="J65" s="1527"/>
      <c r="K65" s="1527"/>
      <c r="L65" s="1527"/>
      <c r="X65" s="1519"/>
      <c r="Y65" s="1519"/>
      <c r="Z65" s="1519"/>
    </row>
    <row r="66" spans="1:26">
      <c r="A66" s="1454" t="s">
        <v>1205</v>
      </c>
      <c r="B66" s="1529">
        <f t="shared" si="90"/>
        <v>108.5</v>
      </c>
      <c r="C66" s="1529">
        <f t="shared" si="90"/>
        <v>110.5</v>
      </c>
      <c r="D66" s="1529">
        <f t="shared" si="54"/>
        <v>110.5</v>
      </c>
      <c r="E66" s="1529">
        <f t="shared" si="91"/>
        <v>106.5</v>
      </c>
      <c r="F66" s="1529">
        <f t="shared" si="91"/>
        <v>103</v>
      </c>
      <c r="G66" s="3479">
        <v>2003</v>
      </c>
      <c r="H66" s="1458">
        <v>2</v>
      </c>
      <c r="I66" s="1527"/>
      <c r="J66" s="1527"/>
      <c r="K66" s="1527"/>
      <c r="L66" s="1527"/>
      <c r="X66" s="1519"/>
      <c r="Y66" s="1519"/>
      <c r="Z66" s="1519"/>
    </row>
    <row r="67" spans="1:26" ht="13.5" thickBot="1">
      <c r="A67" s="1454" t="s">
        <v>1206</v>
      </c>
      <c r="B67" s="1529">
        <f t="shared" si="90"/>
        <v>107.25</v>
      </c>
      <c r="C67" s="1529">
        <f t="shared" si="90"/>
        <v>108.75</v>
      </c>
      <c r="D67" s="1529">
        <f t="shared" si="54"/>
        <v>108.75</v>
      </c>
      <c r="E67" s="1529">
        <f t="shared" si="91"/>
        <v>105.75</v>
      </c>
      <c r="F67" s="1529">
        <f t="shared" si="91"/>
        <v>102.5</v>
      </c>
      <c r="G67" s="3480">
        <v>2003</v>
      </c>
      <c r="H67" s="1530">
        <v>1</v>
      </c>
      <c r="I67" s="1527"/>
      <c r="J67" s="1527"/>
      <c r="K67" s="1527"/>
      <c r="L67" s="1527"/>
      <c r="S67" s="1465"/>
      <c r="T67" s="1466"/>
      <c r="U67" s="1466"/>
      <c r="X67" s="1519"/>
      <c r="Y67" s="1519"/>
      <c r="Z67" s="1519"/>
    </row>
    <row r="68" spans="1:26" ht="13.5" thickBot="1">
      <c r="A68" s="1454" t="s">
        <v>1207</v>
      </c>
      <c r="B68" s="1531">
        <v>106</v>
      </c>
      <c r="C68" s="1531">
        <v>107</v>
      </c>
      <c r="D68" s="1531">
        <f t="shared" si="54"/>
        <v>107</v>
      </c>
      <c r="E68" s="1531">
        <v>105</v>
      </c>
      <c r="F68" s="1532">
        <v>102</v>
      </c>
      <c r="G68" s="3478">
        <v>2002</v>
      </c>
      <c r="H68" s="1475">
        <v>4</v>
      </c>
      <c r="I68" s="1527"/>
      <c r="J68" s="1527"/>
      <c r="K68" s="1527"/>
      <c r="L68" s="1527"/>
      <c r="N68" s="1528"/>
      <c r="O68" s="1527"/>
      <c r="P68" s="1527"/>
      <c r="Q68" s="1527"/>
      <c r="S68" s="1528"/>
      <c r="T68" s="1527"/>
      <c r="U68" s="1527"/>
      <c r="V68" s="1527"/>
      <c r="X68" s="1519"/>
      <c r="Y68" s="1519"/>
      <c r="Z68" s="1519"/>
    </row>
    <row r="69" spans="1:26">
      <c r="A69" s="1454" t="s">
        <v>1208</v>
      </c>
      <c r="B69" s="1529">
        <f t="shared" ref="B69:C71" si="92">B70+(B$68-B$72)/4</f>
        <v>105</v>
      </c>
      <c r="C69" s="1529">
        <f t="shared" si="92"/>
        <v>106</v>
      </c>
      <c r="D69" s="1529">
        <f t="shared" si="54"/>
        <v>106</v>
      </c>
      <c r="E69" s="1529">
        <f t="shared" ref="E69:F71" si="93">E70+(E$68-E$72)/4</f>
        <v>104.5</v>
      </c>
      <c r="F69" s="1529">
        <f t="shared" si="93"/>
        <v>101.5</v>
      </c>
      <c r="G69" s="3479">
        <v>2002</v>
      </c>
      <c r="H69" s="1480">
        <v>3</v>
      </c>
      <c r="I69" s="1527"/>
      <c r="J69" s="1527"/>
      <c r="K69" s="1527"/>
      <c r="L69" s="1527"/>
      <c r="X69" s="1519"/>
      <c r="Y69" s="1519"/>
      <c r="Z69" s="1519"/>
    </row>
    <row r="70" spans="1:26">
      <c r="A70" s="1454" t="s">
        <v>1209</v>
      </c>
      <c r="B70" s="1529">
        <f t="shared" si="92"/>
        <v>104</v>
      </c>
      <c r="C70" s="1529">
        <f t="shared" si="92"/>
        <v>105</v>
      </c>
      <c r="D70" s="1529">
        <f t="shared" si="54"/>
        <v>105</v>
      </c>
      <c r="E70" s="1529">
        <f t="shared" si="93"/>
        <v>104</v>
      </c>
      <c r="F70" s="1529">
        <f t="shared" si="93"/>
        <v>101</v>
      </c>
      <c r="G70" s="3479">
        <v>2002</v>
      </c>
      <c r="H70" s="1458">
        <v>2</v>
      </c>
      <c r="I70" s="1527"/>
      <c r="J70" s="1527"/>
      <c r="K70" s="1527"/>
      <c r="L70" s="1527"/>
      <c r="X70" s="1519"/>
      <c r="Y70" s="1519"/>
      <c r="Z70" s="1519"/>
    </row>
    <row r="71" spans="1:26" s="1491" customFormat="1" ht="13.5" thickBot="1">
      <c r="A71" s="1487" t="s">
        <v>1210</v>
      </c>
      <c r="B71" s="1533">
        <f t="shared" si="92"/>
        <v>103</v>
      </c>
      <c r="C71" s="1533">
        <f t="shared" si="92"/>
        <v>104</v>
      </c>
      <c r="D71" s="1533">
        <f t="shared" si="54"/>
        <v>104</v>
      </c>
      <c r="E71" s="1533">
        <f t="shared" si="93"/>
        <v>103.5</v>
      </c>
      <c r="F71" s="1533">
        <f t="shared" si="93"/>
        <v>100.5</v>
      </c>
      <c r="G71" s="3480">
        <v>2002</v>
      </c>
      <c r="H71" s="1534">
        <v>1</v>
      </c>
      <c r="I71" s="1535"/>
      <c r="J71" s="1535"/>
      <c r="K71" s="1535"/>
      <c r="L71" s="1535"/>
      <c r="N71" s="1536"/>
      <c r="S71" s="1536"/>
      <c r="X71" s="1537"/>
      <c r="Y71" s="1537"/>
      <c r="Z71" s="1537"/>
    </row>
    <row r="72" spans="1:26" ht="13.5" thickBot="1">
      <c r="B72" s="1538">
        <v>102</v>
      </c>
      <c r="C72" s="1539">
        <v>103</v>
      </c>
      <c r="D72" s="1539">
        <f t="shared" si="54"/>
        <v>103</v>
      </c>
      <c r="E72" s="1539">
        <v>103</v>
      </c>
      <c r="F72" s="1540">
        <v>100</v>
      </c>
      <c r="I72" s="1527"/>
      <c r="J72" s="1527"/>
      <c r="K72" s="1527"/>
      <c r="L72" s="1527"/>
      <c r="N72" s="1528"/>
      <c r="O72" s="1527"/>
      <c r="P72" s="1527"/>
      <c r="Q72" s="1527"/>
      <c r="S72" s="1528"/>
      <c r="T72" s="1527"/>
      <c r="U72" s="1527"/>
      <c r="V72" s="1527"/>
      <c r="X72" s="1469"/>
      <c r="Y72" s="1469"/>
      <c r="Z72" s="1469"/>
    </row>
    <row r="74" spans="1:26" s="1542" customFormat="1">
      <c r="A74" s="1541" t="s">
        <v>1211</v>
      </c>
      <c r="G74" s="1543"/>
      <c r="N74" s="1543"/>
      <c r="S74" s="1543"/>
    </row>
    <row r="75" spans="1:26" s="1542" customFormat="1">
      <c r="A75" s="1542" t="s">
        <v>1212</v>
      </c>
      <c r="G75" s="1543"/>
      <c r="N75" s="1543"/>
      <c r="S75" s="1543"/>
    </row>
    <row r="76" spans="1:26" s="1542" customFormat="1">
      <c r="A76" s="1542" t="s">
        <v>1213</v>
      </c>
      <c r="G76" s="1543"/>
      <c r="I76" s="1544"/>
      <c r="J76" s="1544"/>
      <c r="K76" s="1544"/>
      <c r="L76" s="1544"/>
      <c r="N76" s="1545"/>
      <c r="O76" s="1544"/>
      <c r="P76" s="1544"/>
      <c r="Q76" s="1544"/>
      <c r="S76" s="1545"/>
      <c r="T76" s="1544"/>
      <c r="U76" s="1544"/>
      <c r="V76" s="1544"/>
    </row>
    <row r="77" spans="1:26" s="1542" customFormat="1">
      <c r="A77" s="1542" t="s">
        <v>1214</v>
      </c>
      <c r="G77" s="1543"/>
      <c r="N77" s="1543"/>
      <c r="S77" s="1543"/>
    </row>
    <row r="84" spans="7:22" ht="13.5" thickBot="1"/>
    <row r="85" spans="7:22">
      <c r="G85" s="1464"/>
      <c r="S85" s="1546" t="s">
        <v>1215</v>
      </c>
      <c r="T85" s="1547" t="s">
        <v>1216</v>
      </c>
      <c r="U85" s="1547" t="s">
        <v>1217</v>
      </c>
      <c r="V85" s="1547" t="s">
        <v>1218</v>
      </c>
    </row>
    <row r="86" spans="7:22">
      <c r="G86" s="1464"/>
      <c r="N86" s="1468"/>
      <c r="O86" s="1469"/>
      <c r="P86" s="1469"/>
      <c r="Q86" s="1469"/>
      <c r="S86" s="1548">
        <v>2006</v>
      </c>
      <c r="T86" s="1549">
        <v>15.1</v>
      </c>
      <c r="U86" s="1549">
        <v>7.43</v>
      </c>
      <c r="V86" s="1549">
        <v>26.26</v>
      </c>
    </row>
    <row r="87" spans="7:22">
      <c r="G87" s="1464"/>
      <c r="N87" s="1468"/>
      <c r="O87" s="1469"/>
      <c r="P87" s="1469"/>
      <c r="Q87" s="1469"/>
      <c r="S87" s="1550">
        <v>2005</v>
      </c>
      <c r="T87" s="1551">
        <v>13.9</v>
      </c>
      <c r="U87" s="1551">
        <v>7.49</v>
      </c>
      <c r="V87" s="1551">
        <v>24.92</v>
      </c>
    </row>
    <row r="88" spans="7:22">
      <c r="G88" s="1464"/>
      <c r="N88" s="1468"/>
      <c r="O88" s="1469"/>
      <c r="P88" s="1469"/>
      <c r="Q88" s="1469"/>
      <c r="S88" s="1548">
        <v>2004</v>
      </c>
      <c r="T88" s="1549">
        <v>9.48</v>
      </c>
      <c r="U88" s="1549">
        <v>7.2</v>
      </c>
      <c r="V88" s="1549">
        <v>14.68</v>
      </c>
    </row>
    <row r="89" spans="7:22">
      <c r="G89" s="1464"/>
      <c r="N89" s="1468"/>
      <c r="O89" s="1469"/>
      <c r="P89" s="1469"/>
      <c r="Q89" s="1469"/>
      <c r="S89" s="1550">
        <v>2003</v>
      </c>
      <c r="T89" s="1551">
        <v>4.5</v>
      </c>
      <c r="U89" s="1551">
        <v>6.12</v>
      </c>
      <c r="V89" s="1551">
        <v>2.34</v>
      </c>
    </row>
    <row r="90" spans="7:22" ht="13.5" thickBot="1">
      <c r="G90" s="1464"/>
      <c r="N90" s="1468"/>
      <c r="O90" s="1469"/>
      <c r="P90" s="1469"/>
      <c r="Q90" s="1469"/>
      <c r="S90" s="1552">
        <v>2002</v>
      </c>
      <c r="T90" s="1553">
        <v>3.59</v>
      </c>
      <c r="U90" s="1553">
        <v>4.54</v>
      </c>
      <c r="V90" s="1553">
        <v>2.5499999999999998</v>
      </c>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6"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8"/>
    <col min="19" max="19" width="8.875" style="136"/>
    <col min="20" max="45" width="8.875" style="791"/>
    <col min="46" max="16384" width="8.875" style="136"/>
  </cols>
  <sheetData>
    <row r="1" spans="1:45" ht="14.25" customHeight="1" thickBot="1">
      <c r="A1" s="152"/>
      <c r="B1" s="1197" t="s">
        <v>2992</v>
      </c>
      <c r="C1" s="3487" t="s">
        <v>2993</v>
      </c>
      <c r="D1" s="3488"/>
      <c r="E1" s="3488"/>
      <c r="F1" s="3488"/>
      <c r="G1" s="3488"/>
      <c r="H1" s="3488"/>
      <c r="I1" s="3488"/>
      <c r="J1" s="3488"/>
      <c r="K1" s="3488"/>
      <c r="L1" s="3488"/>
      <c r="M1" s="3488"/>
      <c r="N1" s="3488"/>
      <c r="O1" s="3488"/>
      <c r="P1" s="3488"/>
      <c r="Q1" s="3488"/>
      <c r="R1" s="3488"/>
      <c r="S1" s="3489"/>
      <c r="T1" s="1197" t="s">
        <v>2994</v>
      </c>
    </row>
    <row r="2" spans="1:45" s="703" customFormat="1">
      <c r="A2" s="1198"/>
      <c r="B2" s="699" t="s">
        <v>2995</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199"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0"/>
      <c r="B3" s="704"/>
      <c r="C3" s="705"/>
      <c r="D3" s="706"/>
      <c r="E3" s="706"/>
      <c r="F3" s="1696"/>
      <c r="G3" s="1696"/>
      <c r="H3" s="1696"/>
      <c r="I3" s="1696"/>
      <c r="J3" s="1696"/>
      <c r="K3" s="1696"/>
      <c r="L3" s="1697"/>
      <c r="M3" s="1698"/>
      <c r="N3" s="1698"/>
      <c r="O3" s="1696"/>
      <c r="P3" s="1696"/>
      <c r="Q3" s="1696"/>
      <c r="R3" s="1696"/>
      <c r="S3" s="1699"/>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08"/>
      <c r="B5" s="1761" t="s">
        <v>2996</v>
      </c>
      <c r="C5" s="1209"/>
      <c r="D5" s="1210"/>
      <c r="E5" s="1210"/>
      <c r="F5" s="1703"/>
      <c r="G5" s="1703"/>
      <c r="H5" s="1703"/>
      <c r="I5" s="1703"/>
      <c r="J5" s="1703"/>
      <c r="K5" s="1703"/>
      <c r="L5" s="1704"/>
      <c r="M5" s="1705"/>
      <c r="N5" s="1705"/>
      <c r="O5" s="1703"/>
      <c r="P5" s="1703"/>
      <c r="Q5" s="1703"/>
      <c r="R5" s="1703"/>
      <c r="S5" s="1706"/>
      <c r="T5" s="1212"/>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08"/>
      <c r="B7" s="1762" t="s">
        <v>2997</v>
      </c>
      <c r="C7" s="1114"/>
      <c r="D7" s="1108"/>
      <c r="E7" s="1108"/>
      <c r="F7" s="1708"/>
      <c r="G7" s="1708"/>
      <c r="H7" s="1708"/>
      <c r="I7" s="1708"/>
      <c r="J7" s="1708"/>
      <c r="K7" s="1708"/>
      <c r="L7" s="1708"/>
      <c r="M7" s="1709"/>
      <c r="N7" s="1710"/>
      <c r="O7" s="1711"/>
      <c r="P7" s="1712"/>
      <c r="Q7" s="1713"/>
      <c r="R7" s="1714"/>
      <c r="S7" s="1715"/>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08"/>
      <c r="B9" s="1762" t="s">
        <v>2998</v>
      </c>
      <c r="C9" s="1114"/>
      <c r="D9" s="1108"/>
      <c r="E9" s="1108"/>
      <c r="F9" s="1708"/>
      <c r="G9" s="1708"/>
      <c r="H9" s="1708"/>
      <c r="I9" s="1708"/>
      <c r="J9" s="1708"/>
      <c r="K9" s="1708"/>
      <c r="L9" s="1716"/>
      <c r="M9" s="1709"/>
      <c r="N9" s="1710"/>
      <c r="O9" s="1711"/>
      <c r="P9" s="1712"/>
      <c r="Q9" s="1713"/>
      <c r="R9" s="1714"/>
      <c r="S9" s="1715"/>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08"/>
      <c r="B11" s="1761" t="s">
        <v>2999</v>
      </c>
      <c r="C11" s="1209"/>
      <c r="D11" s="1210"/>
      <c r="E11" s="1210"/>
      <c r="F11" s="1210"/>
      <c r="G11" s="1210"/>
      <c r="H11" s="1210"/>
      <c r="I11" s="1210"/>
      <c r="J11" s="1210"/>
      <c r="K11" s="1210"/>
      <c r="L11" s="1210"/>
      <c r="M11" s="1211"/>
      <c r="N11" s="1215"/>
      <c r="O11" s="1216"/>
      <c r="P11" s="1217"/>
      <c r="Q11" s="1218"/>
      <c r="R11" s="1219"/>
      <c r="S11" s="1220"/>
      <c r="T11" s="1212"/>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08"/>
      <c r="B13" s="1761" t="s">
        <v>3000</v>
      </c>
      <c r="C13" s="1209"/>
      <c r="D13" s="1210"/>
      <c r="E13" s="1210"/>
      <c r="F13" s="1210"/>
      <c r="G13" s="1210"/>
      <c r="H13" s="1210"/>
      <c r="I13" s="1210"/>
      <c r="J13" s="1210"/>
      <c r="K13" s="1210"/>
      <c r="L13" s="1210"/>
      <c r="M13" s="1211"/>
      <c r="N13" s="1215"/>
      <c r="O13" s="1216"/>
      <c r="P13" s="1217"/>
      <c r="Q13" s="1218"/>
      <c r="R13" s="1219"/>
      <c r="S13" s="1220"/>
      <c r="T13" s="1221"/>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08"/>
      <c r="B15" s="1761" t="s">
        <v>3001</v>
      </c>
      <c r="C15" s="1209"/>
      <c r="D15" s="1210"/>
      <c r="E15" s="1210"/>
      <c r="F15" s="1210"/>
      <c r="G15" s="1210"/>
      <c r="H15" s="1210"/>
      <c r="I15" s="1210"/>
      <c r="J15" s="1210"/>
      <c r="K15" s="1210"/>
      <c r="L15" s="1210"/>
      <c r="M15" s="1211"/>
      <c r="N15" s="1215"/>
      <c r="O15" s="1216"/>
      <c r="P15" s="1217"/>
      <c r="Q15" s="1218"/>
      <c r="R15" s="1219"/>
      <c r="S15" s="1220"/>
      <c r="T15" s="1221"/>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6" t="s">
        <v>3002</v>
      </c>
      <c r="B17" s="2907" t="s">
        <v>3003</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2"/>
      <c r="AS17" s="792"/>
    </row>
    <row r="18" spans="1:45" s="703"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35"/>
      <c r="B19" s="164"/>
      <c r="C19" s="164"/>
      <c r="D19" s="2908" t="s">
        <v>3004</v>
      </c>
      <c r="E19" s="1784"/>
      <c r="F19" s="1784"/>
      <c r="G19" s="1784"/>
      <c r="H19" s="1273"/>
      <c r="I19" s="164"/>
      <c r="J19" s="164"/>
      <c r="K19" s="164"/>
      <c r="L19" s="164"/>
      <c r="M19" s="164"/>
      <c r="N19" s="164"/>
      <c r="O19" s="164"/>
      <c r="P19" s="164"/>
      <c r="Q19" s="164"/>
      <c r="R19" s="784"/>
      <c r="S19" s="135"/>
    </row>
    <row r="20" spans="1:45" ht="16.5" thickBot="1">
      <c r="A20" s="711" t="s">
        <v>3005</v>
      </c>
      <c r="B20" s="334" t="e">
        <f ca="1">IF(D20="——",S22,S22-F20)</f>
        <v>#REF!</v>
      </c>
      <c r="C20" s="164"/>
      <c r="D20" s="2909" t="s">
        <v>3006</v>
      </c>
      <c r="E20" s="1785"/>
      <c r="F20" s="1197" t="e">
        <f ca="1">SUMIF(INDIRECT("'"&amp;H20&amp;"'"&amp;"!A:A"),"承租人权益价值",INDIRECT("'"&amp;H20&amp;"'"&amp;"!c:c"))</f>
        <v>#REF!</v>
      </c>
      <c r="G20" s="1197" t="s">
        <v>3007</v>
      </c>
      <c r="H20" s="2910"/>
      <c r="I20" s="164"/>
      <c r="J20" s="164"/>
      <c r="K20" s="164"/>
      <c r="L20" s="164"/>
      <c r="M20" s="164"/>
      <c r="N20" s="164"/>
      <c r="O20" s="164"/>
      <c r="P20" s="164"/>
      <c r="Q20" s="164"/>
      <c r="R20" s="784"/>
      <c r="S20" s="135"/>
    </row>
    <row r="21" spans="1:45" ht="15.75">
      <c r="A21" s="711" t="s">
        <v>3008</v>
      </c>
      <c r="B21" s="334">
        <f>R22</f>
        <v>10000</v>
      </c>
      <c r="C21" s="164"/>
      <c r="D21" s="164"/>
      <c r="E21" s="164"/>
      <c r="F21" s="164"/>
      <c r="G21" s="164"/>
      <c r="H21" s="164"/>
      <c r="I21" s="164"/>
      <c r="J21" s="164"/>
      <c r="K21" s="164"/>
      <c r="L21" s="164"/>
      <c r="M21" s="164"/>
      <c r="N21" s="164"/>
      <c r="O21" s="164"/>
      <c r="P21" s="164"/>
      <c r="Q21" s="164"/>
      <c r="R21" s="784"/>
      <c r="S21" s="135"/>
    </row>
    <row r="22" spans="1:45">
      <c r="A22" s="357" t="s">
        <v>3009</v>
      </c>
      <c r="B22" s="24">
        <f>SUM(B24:B10000)</f>
        <v>100</v>
      </c>
      <c r="C22" s="3263" t="s">
        <v>33</v>
      </c>
      <c r="D22" s="3264"/>
      <c r="E22" s="3264"/>
      <c r="F22" s="3264"/>
      <c r="G22" s="3264"/>
      <c r="H22" s="3264"/>
      <c r="I22" s="3264"/>
      <c r="J22" s="3264"/>
      <c r="K22" s="3264"/>
      <c r="L22" s="3264"/>
      <c r="M22" s="3264"/>
      <c r="N22" s="3264"/>
      <c r="O22" s="3264"/>
      <c r="P22" s="3264"/>
      <c r="Q22" s="3486"/>
      <c r="R22" s="712">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3" t="s">
        <v>3013</v>
      </c>
      <c r="S23" s="11" t="s">
        <v>3014</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3015</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6"/>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6"/>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6"/>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6"/>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6"/>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6"/>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6"/>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6"/>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6"/>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6"/>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6"/>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6"/>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6"/>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6"/>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6"/>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6"/>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6"/>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6"/>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6"/>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6"/>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6"/>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6"/>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6"/>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6"/>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6"/>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6"/>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6"/>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6"/>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6"/>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6"/>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6"/>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6"/>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6"/>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6"/>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6"/>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6"/>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6"/>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6"/>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6"/>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6"/>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6"/>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6"/>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6"/>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6"/>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6"/>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6"/>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6"/>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6"/>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6"/>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6"/>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6"/>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6"/>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6"/>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6"/>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6"/>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6"/>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6"/>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6"/>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6"/>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6"/>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6"/>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6"/>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6"/>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6"/>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6"/>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6"/>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6"/>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6"/>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6"/>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6"/>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6"/>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6"/>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6"/>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6"/>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6"/>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6"/>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6"/>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6"/>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6"/>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6"/>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6"/>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6"/>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6"/>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6"/>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6"/>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6"/>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6"/>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6"/>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6"/>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6"/>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6"/>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6"/>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6"/>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6"/>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6"/>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6"/>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6"/>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6"/>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6"/>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6"/>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6"/>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6"/>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6"/>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6"/>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6"/>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6"/>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6"/>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6"/>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6"/>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6"/>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6"/>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6"/>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6"/>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6"/>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6"/>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6"/>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6"/>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6"/>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6"/>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6"/>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6"/>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6"/>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6"/>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6"/>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6"/>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6"/>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6"/>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6"/>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6"/>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6"/>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6"/>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6"/>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6"/>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6"/>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6"/>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6"/>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6"/>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6"/>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6"/>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6"/>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6"/>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6"/>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6"/>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6"/>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6"/>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6"/>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6"/>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6"/>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6"/>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6"/>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6"/>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6"/>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6"/>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6"/>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6"/>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6"/>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6"/>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6"/>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6"/>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6"/>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6"/>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6"/>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6"/>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6"/>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6"/>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6"/>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6"/>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6"/>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6"/>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6"/>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6"/>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6"/>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6"/>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6"/>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6"/>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6"/>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6"/>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6"/>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6"/>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6"/>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6"/>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6"/>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6"/>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6"/>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6"/>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6"/>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6"/>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125" style="291" customWidth="1"/>
    <col min="3" max="3" width="12.125" style="291" customWidth="1"/>
    <col min="4" max="5" width="1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153310</v>
      </c>
      <c r="C2" s="2" t="s">
        <v>133</v>
      </c>
      <c r="D2" s="239"/>
      <c r="E2" s="239"/>
      <c r="F2" s="239"/>
      <c r="G2" s="239"/>
    </row>
    <row r="3" spans="1:7" s="240" customFormat="1" ht="18" customHeight="1" thickBot="1">
      <c r="A3" s="243" t="s">
        <v>85</v>
      </c>
      <c r="B3" s="244">
        <f ca="1">ROUND(B2*10000/'数据-汇总表'!E3,0)</f>
        <v>4090</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2" t="s">
        <v>791</v>
      </c>
      <c r="B6" s="255" t="s">
        <v>91</v>
      </c>
      <c r="C6" s="256">
        <v>20000</v>
      </c>
      <c r="D6" s="257"/>
      <c r="E6" s="258"/>
      <c r="F6" s="258"/>
      <c r="G6" s="259"/>
    </row>
    <row r="7" spans="1:7" s="254" customFormat="1" ht="13.5" customHeight="1">
      <c r="A7" s="942" t="s">
        <v>792</v>
      </c>
      <c r="B7" s="255" t="s">
        <v>57</v>
      </c>
      <c r="C7" s="260">
        <f>ROUND(C6*F7,0)</f>
        <v>610</v>
      </c>
      <c r="D7" s="260"/>
      <c r="E7" s="258"/>
      <c r="F7" s="261">
        <f>'数据-取费表'!B48+'数据-取费表'!B49</f>
        <v>3.0499999999999999E-2</v>
      </c>
      <c r="G7" s="259"/>
    </row>
    <row r="8" spans="1:7" s="263" customFormat="1">
      <c r="A8" s="942" t="s">
        <v>793</v>
      </c>
      <c r="B8" s="255" t="s">
        <v>92</v>
      </c>
      <c r="C8" s="260" t="str">
        <f>IF(G8="已包含在土地购买价格中","0",'数据-取费表'!B29)</f>
        <v>0</v>
      </c>
      <c r="D8" s="262"/>
      <c r="E8" s="260"/>
      <c r="F8" s="261"/>
      <c r="G8" s="1" t="s">
        <v>1148</v>
      </c>
    </row>
    <row r="9" spans="1:7" s="254" customFormat="1" ht="13.5" customHeight="1">
      <c r="A9" s="943" t="s">
        <v>800</v>
      </c>
      <c r="B9" s="264" t="s">
        <v>93</v>
      </c>
      <c r="C9" s="265">
        <f>ROUND(D9*E9/10000,0)</f>
        <v>2451</v>
      </c>
      <c r="D9" s="1025">
        <f>'数据-汇总表'!E5</f>
        <v>84500</v>
      </c>
      <c r="E9" s="265">
        <f>'数据-取费表'!B27</f>
        <v>290</v>
      </c>
      <c r="F9" s="261"/>
      <c r="G9" s="266"/>
    </row>
    <row r="10" spans="1:7" s="254" customFormat="1" ht="13.5" customHeight="1">
      <c r="A10" s="943" t="s">
        <v>801</v>
      </c>
      <c r="B10" s="264" t="s">
        <v>94</v>
      </c>
      <c r="C10" s="265">
        <f>ROUND(D10*E10/10000,0)</f>
        <v>8421</v>
      </c>
      <c r="D10" s="1025">
        <f>'数据-汇总表'!E6</f>
        <v>290375.08999999997</v>
      </c>
      <c r="E10" s="265">
        <f>'数据-取费表'!B28</f>
        <v>290</v>
      </c>
      <c r="F10" s="261"/>
      <c r="G10" s="266"/>
    </row>
    <row r="11" spans="1:7" s="254" customFormat="1" ht="13.5" hidden="1" customHeight="1">
      <c r="A11" s="267" t="s">
        <v>7</v>
      </c>
      <c r="B11" s="255" t="s">
        <v>95</v>
      </c>
      <c r="C11" s="251"/>
      <c r="D11" s="1027"/>
      <c r="E11" s="258"/>
      <c r="F11" s="258"/>
      <c r="G11" s="259"/>
    </row>
    <row r="12" spans="1:7" s="254" customFormat="1" ht="13.5" hidden="1" customHeight="1">
      <c r="A12" s="267" t="s">
        <v>8</v>
      </c>
      <c r="B12" s="255" t="s">
        <v>96</v>
      </c>
      <c r="C12" s="251">
        <v>0</v>
      </c>
      <c r="D12" s="1027"/>
      <c r="E12" s="268"/>
      <c r="F12" s="261">
        <v>3.0499999999999999E-2</v>
      </c>
      <c r="G12" s="259"/>
    </row>
    <row r="13" spans="1:7" s="254" customFormat="1" ht="13.5" hidden="1" customHeight="1">
      <c r="A13" s="267" t="s">
        <v>9</v>
      </c>
      <c r="B13" s="255" t="s">
        <v>97</v>
      </c>
      <c r="C13" s="251"/>
      <c r="D13" s="1027"/>
      <c r="E13" s="258"/>
      <c r="F13" s="258"/>
      <c r="G13" s="259"/>
    </row>
    <row r="14" spans="1:7" s="254" customFormat="1" ht="13.5" hidden="1" customHeight="1">
      <c r="A14" s="267" t="s">
        <v>10</v>
      </c>
      <c r="B14" s="255" t="s">
        <v>92</v>
      </c>
      <c r="C14" s="251"/>
      <c r="D14" s="1027"/>
      <c r="E14" s="258"/>
      <c r="F14" s="258"/>
      <c r="G14" s="259" t="s">
        <v>98</v>
      </c>
    </row>
    <row r="15" spans="1:7" s="254" customFormat="1" ht="13.5" hidden="1" customHeight="1">
      <c r="A15" s="267" t="s">
        <v>11</v>
      </c>
      <c r="B15" s="255" t="s">
        <v>99</v>
      </c>
      <c r="C15" s="260"/>
      <c r="D15" s="1027"/>
      <c r="E15" s="258"/>
      <c r="F15" s="258"/>
      <c r="G15" s="259" t="s">
        <v>100</v>
      </c>
    </row>
    <row r="16" spans="1:7" s="254" customFormat="1" ht="13.5" hidden="1" customHeight="1">
      <c r="A16" s="267" t="s">
        <v>12</v>
      </c>
      <c r="B16" s="255" t="s">
        <v>92</v>
      </c>
      <c r="C16" s="260"/>
      <c r="D16" s="1027"/>
      <c r="E16" s="258"/>
      <c r="F16" s="258"/>
      <c r="G16" s="259"/>
    </row>
    <row r="17" spans="1:7" s="254" customFormat="1" ht="13.5" hidden="1" customHeight="1">
      <c r="A17" s="267" t="s">
        <v>13</v>
      </c>
      <c r="B17" s="255" t="s">
        <v>101</v>
      </c>
      <c r="C17" s="269"/>
      <c r="D17" s="1028"/>
      <c r="E17" s="269"/>
      <c r="F17" s="269"/>
      <c r="G17" s="259" t="s">
        <v>100</v>
      </c>
    </row>
    <row r="18" spans="1:7" s="254" customFormat="1" ht="13.5" hidden="1" customHeight="1">
      <c r="A18" s="267" t="s">
        <v>14</v>
      </c>
      <c r="B18" s="255" t="s">
        <v>102</v>
      </c>
      <c r="C18" s="260">
        <v>0</v>
      </c>
      <c r="D18" s="1027"/>
      <c r="E18" s="258"/>
      <c r="F18" s="261">
        <v>3.0499999999999999E-2</v>
      </c>
      <c r="G18" s="259" t="s">
        <v>103</v>
      </c>
    </row>
    <row r="19" spans="1:7" s="263" customFormat="1" ht="13.5" customHeight="1">
      <c r="A19" s="941" t="s">
        <v>1055</v>
      </c>
      <c r="B19" s="250" t="s">
        <v>111</v>
      </c>
      <c r="C19" s="251">
        <f>IF(G19="已包含在土地取得成本中","0",ROUND(D19*E19/10000,0))</f>
        <v>7498</v>
      </c>
      <c r="D19" s="1029">
        <f>'数据-汇总表'!E3</f>
        <v>374875.08999999997</v>
      </c>
      <c r="E19" s="251">
        <f>'数据-取费表'!B31</f>
        <v>200</v>
      </c>
      <c r="F19" s="271"/>
      <c r="G19" s="1" t="s">
        <v>1074</v>
      </c>
    </row>
    <row r="20" spans="1:7" s="254" customFormat="1" ht="13.5" customHeight="1">
      <c r="A20" s="941" t="s">
        <v>1057</v>
      </c>
      <c r="B20" s="250" t="s">
        <v>104</v>
      </c>
      <c r="C20" s="272">
        <f>ROUND((C5+C19)*F20,0)</f>
        <v>843</v>
      </c>
      <c r="D20" s="272"/>
      <c r="E20" s="272"/>
      <c r="F20" s="273">
        <f>'数据-取费表'!B37</f>
        <v>0.03</v>
      </c>
      <c r="G20" s="1282" t="s">
        <v>1068</v>
      </c>
    </row>
    <row r="21" spans="1:7" s="254" customFormat="1" ht="13.5" customHeight="1">
      <c r="A21" s="941" t="s">
        <v>1059</v>
      </c>
      <c r="B21" s="250" t="s">
        <v>105</v>
      </c>
      <c r="C21" s="275">
        <f>F21</f>
        <v>0.03</v>
      </c>
      <c r="D21" s="276" t="s">
        <v>126</v>
      </c>
      <c r="E21" s="272"/>
      <c r="F21" s="273">
        <f>'数据-取费表'!B38</f>
        <v>0.03</v>
      </c>
      <c r="G21" s="274" t="s">
        <v>106</v>
      </c>
    </row>
    <row r="22" spans="1:7" s="254" customFormat="1" ht="13.5" customHeight="1">
      <c r="A22" s="941" t="s">
        <v>786</v>
      </c>
      <c r="B22" s="250" t="s">
        <v>107</v>
      </c>
      <c r="C22" s="1347">
        <f ca="1">ROUND(SUM(C23:C25),0)</f>
        <v>3507</v>
      </c>
      <c r="D22" s="275">
        <f ca="1">C26</f>
        <v>1.8E-3</v>
      </c>
      <c r="E22" s="276" t="s">
        <v>126</v>
      </c>
      <c r="F22" s="277">
        <f ca="1">'数据-取费表'!B40</f>
        <v>4.7500000000000001E-2</v>
      </c>
      <c r="G22" s="1282" t="str">
        <f>IF('数据-取费表'!B22&lt;=1,"单利计息","复利计息")</f>
        <v>复利计息</v>
      </c>
    </row>
    <row r="23" spans="1:7" s="254" customFormat="1" ht="13.5" customHeight="1">
      <c r="A23" s="944" t="s">
        <v>794</v>
      </c>
      <c r="B23" s="255" t="s">
        <v>1061</v>
      </c>
      <c r="C23" s="1348">
        <f ca="1">ROUND(IF('数据-取费表'!B22&lt;=1,C5*F22*'数据-取费表'!B23,C5*(POWER((1+F22),'数据-取费表'!B23)-1)),0)</f>
        <v>2535</v>
      </c>
      <c r="D23" s="278"/>
      <c r="E23" s="278"/>
      <c r="F23" s="279"/>
      <c r="G23" s="280" t="s">
        <v>108</v>
      </c>
    </row>
    <row r="24" spans="1:7" s="254" customFormat="1" ht="13.5" customHeight="1">
      <c r="A24" s="944" t="s">
        <v>792</v>
      </c>
      <c r="B24" s="255" t="s">
        <v>1056</v>
      </c>
      <c r="C24" s="1348">
        <f ca="1">ROUND(IF('数据-取费表'!B22&lt;=1,C19*F22*('数据-取费表'!B19/2+'数据-取费表'!B21),C19*(POWER((1+F22),('数据-取费表'!B19/2+'数据-取费表'!B21))-1)),0)</f>
        <v>922</v>
      </c>
      <c r="D24" s="278"/>
      <c r="E24" s="278"/>
      <c r="F24" s="279"/>
      <c r="G24" s="280" t="s">
        <v>109</v>
      </c>
    </row>
    <row r="25" spans="1:7" s="254" customFormat="1" ht="24">
      <c r="A25" s="944" t="s">
        <v>793</v>
      </c>
      <c r="B25" s="255" t="s">
        <v>1058</v>
      </c>
      <c r="C25" s="1348">
        <f ca="1">ROUND(IF('数据-取费表'!B22&lt;=1,C20*F22*'数据-取费表'!B23/2,C20*(POWER((1+F22),'数据-取费表'!B23/2)-1)),0)</f>
        <v>50</v>
      </c>
      <c r="D25" s="278"/>
      <c r="E25" s="281"/>
      <c r="F25" s="279"/>
      <c r="G25" s="282" t="s">
        <v>110</v>
      </c>
    </row>
    <row r="26" spans="1:7" s="254" customFormat="1">
      <c r="A26" s="944" t="s">
        <v>795</v>
      </c>
      <c r="B26" s="255" t="s">
        <v>1060</v>
      </c>
      <c r="C26" s="278">
        <f ca="1">ROUND(IF('数据-取费表'!B22&lt;=1,F21*F22*'数据-取费表'!B23/2,F21*(POWER((1+F22),'数据-取费表'!B23/2)-1)),4)</f>
        <v>1.8E-3</v>
      </c>
      <c r="D26" s="278"/>
      <c r="E26" s="281"/>
      <c r="F26" s="279"/>
      <c r="G26" s="283"/>
    </row>
    <row r="27" spans="1:7" s="254" customFormat="1" ht="24.75">
      <c r="A27" s="941" t="s">
        <v>787</v>
      </c>
      <c r="B27" s="284" t="s">
        <v>112</v>
      </c>
      <c r="C27" s="285">
        <f>C28</f>
        <v>2714</v>
      </c>
      <c r="D27" s="275">
        <f>C29</f>
        <v>2.8E-3</v>
      </c>
      <c r="E27" s="276" t="s">
        <v>126</v>
      </c>
      <c r="F27" s="286">
        <f>'数据-取费表'!Q16</f>
        <v>0.15</v>
      </c>
      <c r="G27" s="287" t="s">
        <v>1069</v>
      </c>
    </row>
    <row r="28" spans="1:7" s="254" customFormat="1" ht="13.5" customHeight="1">
      <c r="A28" s="944" t="s">
        <v>794</v>
      </c>
      <c r="B28" s="288" t="s">
        <v>1062</v>
      </c>
      <c r="C28" s="289">
        <f>ROUND((C5+C19+C20)*F27*'数据-取费表'!B21/'数据-取费表'!B20,0)</f>
        <v>2714</v>
      </c>
      <c r="D28" s="275"/>
      <c r="E28" s="276"/>
      <c r="F28" s="286"/>
      <c r="G28" s="287"/>
    </row>
    <row r="29" spans="1:7" s="254" customFormat="1" ht="13.5" customHeight="1">
      <c r="A29" s="944" t="s">
        <v>792</v>
      </c>
      <c r="B29" s="288" t="s">
        <v>1063</v>
      </c>
      <c r="C29" s="278">
        <f>ROUND(C21*F27*'数据-取费表'!B21/'数据-取费表'!B20,4)</f>
        <v>2.8E-3</v>
      </c>
      <c r="D29" s="275"/>
      <c r="E29" s="276"/>
      <c r="F29" s="286"/>
      <c r="G29" s="287"/>
    </row>
    <row r="30" spans="1:7" s="254" customFormat="1" ht="13.5" customHeight="1">
      <c r="A30" s="941" t="s">
        <v>788</v>
      </c>
      <c r="B30" s="250" t="s">
        <v>58</v>
      </c>
      <c r="C30" s="275">
        <f>F30</f>
        <v>5.6000000000000001E-2</v>
      </c>
      <c r="D30" s="276" t="s">
        <v>127</v>
      </c>
      <c r="E30" s="281"/>
      <c r="F30" s="277">
        <f>'数据-取费表'!B41</f>
        <v>5.6000000000000001E-2</v>
      </c>
      <c r="G30" s="274" t="s">
        <v>113</v>
      </c>
    </row>
    <row r="31" spans="1:7" ht="16.5" customHeight="1">
      <c r="A31" s="249">
        <v>1</v>
      </c>
      <c r="B31" s="250" t="s">
        <v>128</v>
      </c>
      <c r="C31" s="251">
        <f ca="1">ROUND((C5+C19+C20+C22+C27)/(1-C21-D22-D27-C30/(1+'数据-取费表'!B42)),0)</f>
        <v>38563</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83837</v>
      </c>
      <c r="D33" s="272"/>
      <c r="E33" s="252"/>
      <c r="F33" s="281"/>
      <c r="G33" s="274"/>
    </row>
    <row r="34" spans="1:7" s="298" customFormat="1" ht="13.5" customHeight="1">
      <c r="A34" s="944" t="s">
        <v>794</v>
      </c>
      <c r="B34" s="255" t="s">
        <v>59</v>
      </c>
      <c r="C34" s="260">
        <f>IF(F34=100%,'数据-取费表'!M16-SUMIF('数据-取费表'!C:C,"公共配套",'数据-取费表'!M:M),'数据-取费表'!O16-SUMIF('数据-取费表'!C:C,"公共配套",'数据-取费表'!O:O))</f>
        <v>76819</v>
      </c>
      <c r="D34" s="257"/>
      <c r="E34" s="260"/>
      <c r="F34" s="297">
        <f>IF('数据-取费表'!B24=0,1,'数据-取费表'!N16)</f>
        <v>0.47499999999999998</v>
      </c>
      <c r="G34" s="259" t="s">
        <v>116</v>
      </c>
    </row>
    <row r="35" spans="1:7" ht="13.5" customHeight="1">
      <c r="A35" s="944" t="s">
        <v>796</v>
      </c>
      <c r="B35" s="255" t="s">
        <v>60</v>
      </c>
      <c r="C35" s="260">
        <f>ROUND(C34*F35,0)</f>
        <v>2305</v>
      </c>
      <c r="D35" s="260"/>
      <c r="E35" s="260"/>
      <c r="F35" s="299">
        <f>'数据-取费表'!B33</f>
        <v>0.03</v>
      </c>
      <c r="G35" s="259" t="s">
        <v>117</v>
      </c>
    </row>
    <row r="36" spans="1:7" ht="24">
      <c r="A36" s="944"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0.05</v>
      </c>
      <c r="G36" s="300" t="s">
        <v>62</v>
      </c>
    </row>
    <row r="37" spans="1:7" s="298" customFormat="1" ht="13.5" customHeight="1">
      <c r="A37" s="944" t="s">
        <v>798</v>
      </c>
      <c r="B37" s="255" t="s">
        <v>118</v>
      </c>
      <c r="C37" s="289">
        <f>ROUND(E37*D37*F34/10000,0)</f>
        <v>3561</v>
      </c>
      <c r="D37" s="257">
        <f>'数据-汇总表'!E3</f>
        <v>374875.08999999997</v>
      </c>
      <c r="E37" s="289">
        <f>'数据-取费表'!B35</f>
        <v>200</v>
      </c>
      <c r="F37" s="299"/>
      <c r="G37" s="301" t="s">
        <v>119</v>
      </c>
    </row>
    <row r="38" spans="1:7" ht="13.5" customHeight="1">
      <c r="A38" s="944" t="s">
        <v>799</v>
      </c>
      <c r="B38" s="255" t="s">
        <v>63</v>
      </c>
      <c r="C38" s="260">
        <f>ROUND(C34*F38,0)</f>
        <v>1152</v>
      </c>
      <c r="D38" s="260"/>
      <c r="E38" s="260"/>
      <c r="F38" s="299">
        <f>'数据-取费表'!B36</f>
        <v>1.4999999999999999E-2</v>
      </c>
      <c r="G38" s="259" t="s">
        <v>117</v>
      </c>
    </row>
    <row r="39" spans="1:7" s="254" customFormat="1" ht="13.5" customHeight="1">
      <c r="A39" s="941" t="s">
        <v>783</v>
      </c>
      <c r="B39" s="250" t="s">
        <v>104</v>
      </c>
      <c r="C39" s="272">
        <f>ROUND(C33*F20,0)</f>
        <v>2515</v>
      </c>
      <c r="D39" s="272"/>
      <c r="E39" s="272"/>
      <c r="F39" s="273"/>
      <c r="G39" s="1282" t="s">
        <v>1071</v>
      </c>
    </row>
    <row r="40" spans="1:7" s="254" customFormat="1" ht="13.5" customHeight="1">
      <c r="A40" s="941" t="s">
        <v>784</v>
      </c>
      <c r="B40" s="250" t="s">
        <v>105</v>
      </c>
      <c r="C40" s="302">
        <f>F21</f>
        <v>0.03</v>
      </c>
      <c r="D40" s="276" t="s">
        <v>129</v>
      </c>
      <c r="E40" s="272"/>
      <c r="F40" s="273"/>
      <c r="G40" s="274" t="s">
        <v>120</v>
      </c>
    </row>
    <row r="41" spans="1:7" s="254" customFormat="1" ht="13.5" customHeight="1">
      <c r="A41" s="941" t="s">
        <v>785</v>
      </c>
      <c r="B41" s="250" t="s">
        <v>107</v>
      </c>
      <c r="C41" s="272">
        <f ca="1">ROUND(SUM(C42:C43),0)</f>
        <v>5157</v>
      </c>
      <c r="D41" s="275">
        <f ca="1">C44</f>
        <v>1.8E-3</v>
      </c>
      <c r="E41" s="276" t="s">
        <v>129</v>
      </c>
      <c r="F41" s="277"/>
      <c r="G41" s="1282" t="str">
        <f>IF('数据-取费表'!B22&lt;=1,"单利计息","复利计息")</f>
        <v>复利计息</v>
      </c>
    </row>
    <row r="42" spans="1:7" ht="13.5" customHeight="1">
      <c r="A42" s="944" t="s">
        <v>794</v>
      </c>
      <c r="B42" s="255" t="s">
        <v>1061</v>
      </c>
      <c r="C42" s="278">
        <f ca="1">ROUND(IF('数据-取费表'!B22&lt;=1,C33*F22*'数据-取费表'!B21/2,C33*(POWER((1+F22),'数据-取费表'!B21/2)-1)),0)</f>
        <v>5007</v>
      </c>
      <c r="D42" s="278"/>
      <c r="E42" s="278"/>
      <c r="F42" s="279"/>
      <c r="G42" s="3348" t="s">
        <v>121</v>
      </c>
    </row>
    <row r="43" spans="1:7" ht="13.5" customHeight="1">
      <c r="A43" s="944" t="s">
        <v>792</v>
      </c>
      <c r="B43" s="255" t="s">
        <v>1064</v>
      </c>
      <c r="C43" s="278">
        <f ca="1">ROUND(IF('数据-取费表'!B22&lt;=1,C39*F22*'数据-取费表'!B21/2,C39*(POWER((1+F22),'数据-取费表'!B21/2)-1)),0)</f>
        <v>150</v>
      </c>
      <c r="D43" s="278"/>
      <c r="E43" s="278"/>
      <c r="F43" s="279"/>
      <c r="G43" s="3349"/>
    </row>
    <row r="44" spans="1:7" ht="13.5" customHeight="1">
      <c r="A44" s="944" t="s">
        <v>793</v>
      </c>
      <c r="B44" s="255" t="s">
        <v>1066</v>
      </c>
      <c r="C44" s="278">
        <f ca="1">ROUND(IF('数据-取费表'!B22&lt;=1,C40*F22*'数据-取费表'!B21/2,C40*(POWER((1+F22),'数据-取费表'!B21/2)-1)),4)</f>
        <v>1.8E-3</v>
      </c>
      <c r="D44" s="278"/>
      <c r="E44" s="278"/>
      <c r="F44" s="279"/>
      <c r="G44" s="3350"/>
    </row>
    <row r="45" spans="1:7" s="254" customFormat="1" ht="13.5" customHeight="1">
      <c r="A45" s="941" t="s">
        <v>786</v>
      </c>
      <c r="B45" s="284" t="s">
        <v>112</v>
      </c>
      <c r="C45" s="285">
        <f>C46</f>
        <v>12953</v>
      </c>
      <c r="D45" s="275">
        <f>C47</f>
        <v>4.4999999999999997E-3</v>
      </c>
      <c r="E45" s="276" t="s">
        <v>129</v>
      </c>
      <c r="F45" s="286"/>
      <c r="G45" s="287" t="s">
        <v>1072</v>
      </c>
    </row>
    <row r="46" spans="1:7" s="254" customFormat="1" ht="13.5" customHeight="1">
      <c r="A46" s="944" t="s">
        <v>794</v>
      </c>
      <c r="B46" s="288" t="s">
        <v>1065</v>
      </c>
      <c r="C46" s="289">
        <f>ROUND((C33+C39)*F27,0)</f>
        <v>12953</v>
      </c>
      <c r="D46" s="303"/>
      <c r="E46" s="276"/>
      <c r="F46" s="286"/>
      <c r="G46" s="287"/>
    </row>
    <row r="47" spans="1:7" s="254" customFormat="1" ht="13.5" customHeight="1">
      <c r="A47" s="944" t="s">
        <v>792</v>
      </c>
      <c r="B47" s="288" t="s">
        <v>1067</v>
      </c>
      <c r="C47" s="278">
        <f>ROUND(C40*F27,4)</f>
        <v>4.4999999999999997E-3</v>
      </c>
      <c r="D47" s="303"/>
      <c r="E47" s="276"/>
      <c r="F47" s="286"/>
      <c r="G47" s="287"/>
    </row>
    <row r="48" spans="1:7" s="254" customFormat="1" ht="13.5" customHeight="1">
      <c r="A48" s="941" t="s">
        <v>787</v>
      </c>
      <c r="B48" s="250" t="s">
        <v>122</v>
      </c>
      <c r="C48" s="302">
        <f>F30</f>
        <v>5.6000000000000001E-2</v>
      </c>
      <c r="D48" s="276" t="s">
        <v>130</v>
      </c>
      <c r="E48" s="272"/>
      <c r="F48" s="277"/>
      <c r="G48" s="274" t="s">
        <v>123</v>
      </c>
    </row>
    <row r="49" spans="1:7" ht="16.5" customHeight="1">
      <c r="A49" s="941" t="s">
        <v>788</v>
      </c>
      <c r="B49" s="250" t="s">
        <v>131</v>
      </c>
      <c r="C49" s="272">
        <f ca="1">ROUND((C33+C39+C41+C45)/(1-C40-D41-D45-C48/(1+'数据-取费表'!B42)),0)</f>
        <v>114747</v>
      </c>
      <c r="D49" s="272"/>
      <c r="E49" s="272"/>
      <c r="F49" s="304"/>
      <c r="G49" s="274" t="s">
        <v>1073</v>
      </c>
    </row>
    <row r="50" spans="1:7" s="298" customFormat="1" ht="24">
      <c r="A50" s="941" t="s">
        <v>789</v>
      </c>
      <c r="B50" s="250" t="s">
        <v>124</v>
      </c>
      <c r="C50" s="272"/>
      <c r="D50" s="272"/>
      <c r="E50" s="272"/>
      <c r="F50" s="304">
        <f>IF('数据-取费表'!B24=0,'数据-取费表'!N16,1)</f>
        <v>1</v>
      </c>
      <c r="G50" s="287" t="s">
        <v>125</v>
      </c>
    </row>
    <row r="51" spans="1:7" ht="16.5" customHeight="1">
      <c r="A51" s="941" t="s">
        <v>790</v>
      </c>
      <c r="B51" s="250" t="s">
        <v>132</v>
      </c>
      <c r="C51" s="272">
        <f ca="1">ROUND(C49*F50,0)</f>
        <v>114747</v>
      </c>
      <c r="D51" s="272"/>
      <c r="E51" s="272"/>
      <c r="F51" s="304"/>
      <c r="G51" s="274" t="s">
        <v>64</v>
      </c>
    </row>
    <row r="52" spans="1:7" s="248" customFormat="1" ht="16.5" thickBot="1">
      <c r="A52" s="305" t="s">
        <v>65</v>
      </c>
      <c r="B52" s="306"/>
      <c r="C52" s="307">
        <f ca="1">C31+C51</f>
        <v>153310</v>
      </c>
      <c r="D52" s="306"/>
      <c r="E52" s="306"/>
      <c r="F52" s="306"/>
      <c r="G52" s="308"/>
    </row>
    <row r="55" spans="1:7" ht="15">
      <c r="B55" s="310" t="s">
        <v>66</v>
      </c>
      <c r="C55" s="311"/>
    </row>
    <row r="56" spans="1:7">
      <c r="B56" s="313" t="s">
        <v>67</v>
      </c>
      <c r="C56" s="314">
        <f ca="1">ROUND(C51/C52,3)</f>
        <v>0.748</v>
      </c>
    </row>
    <row r="57" spans="1:7">
      <c r="B57" s="313" t="s">
        <v>68</v>
      </c>
      <c r="C57" s="315">
        <f ca="1">1-C56</f>
        <v>0.252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5" customWidth="1"/>
    <col min="2" max="5" width="10.125" style="803" customWidth="1"/>
    <col min="6" max="6" width="8.875" style="803"/>
    <col min="7" max="8" width="8.875" style="818"/>
    <col min="9" max="16384" width="8.875" style="803"/>
  </cols>
  <sheetData>
    <row r="1" spans="1:19">
      <c r="A1" s="3490" t="s">
        <v>156</v>
      </c>
      <c r="B1" s="3490"/>
      <c r="C1" s="3490"/>
      <c r="D1" s="3490"/>
      <c r="E1" s="3490"/>
      <c r="F1" s="3490"/>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491" t="s">
        <v>169</v>
      </c>
      <c r="B2" s="3491"/>
      <c r="C2" s="3491"/>
      <c r="D2" s="3491"/>
      <c r="E2" s="3491"/>
      <c r="F2" s="3491"/>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492"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493"/>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5" customWidth="1"/>
    <col min="2" max="2" width="10.125" style="803" customWidth="1"/>
  </cols>
  <sheetData>
    <row r="1" spans="1:6">
      <c r="A1" s="3490" t="s">
        <v>871</v>
      </c>
      <c r="B1" s="3490"/>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24.75" thickBot="1">
      <c r="A72" s="830" t="s">
        <v>137</v>
      </c>
      <c r="B72" s="824" t="s">
        <v>885</v>
      </c>
      <c r="C72" s="1070"/>
      <c r="D72" s="1070"/>
      <c r="E72" s="1070"/>
      <c r="F72" s="1058">
        <v>0.05</v>
      </c>
    </row>
    <row r="73" spans="1:6" ht="24.75" thickBot="1">
      <c r="A73" s="830" t="s">
        <v>137</v>
      </c>
      <c r="B73" s="824" t="s">
        <v>886</v>
      </c>
      <c r="C73" s="1070"/>
      <c r="D73" s="1070"/>
      <c r="E73" s="1070"/>
      <c r="F73" s="1058">
        <v>0.05</v>
      </c>
    </row>
    <row r="74" spans="1:6" ht="24.75" thickBot="1">
      <c r="A74" s="830" t="s">
        <v>137</v>
      </c>
      <c r="B74" s="824" t="s">
        <v>887</v>
      </c>
      <c r="C74" s="1070"/>
      <c r="D74" s="1070"/>
      <c r="E74" s="1070"/>
      <c r="F74" s="1058">
        <v>0.05</v>
      </c>
    </row>
    <row r="75" spans="1:6" ht="24.7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24.7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24.7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0" customWidth="1"/>
    <col min="2" max="2" width="13.125" style="1636" customWidth="1"/>
    <col min="3" max="3" width="15.625" style="1636" customWidth="1"/>
    <col min="4" max="4" width="9.375" style="1636" bestFit="1" customWidth="1"/>
    <col min="5" max="5" width="13.5" style="1636" customWidth="1"/>
    <col min="6" max="6" width="8.875" style="1636"/>
    <col min="7" max="7" width="9.375" style="1636" bestFit="1" customWidth="1"/>
    <col min="8" max="8" width="12.125" style="1636" customWidth="1"/>
    <col min="9" max="9" width="8.875" style="1636"/>
    <col min="10" max="10" width="9.375" style="1636" bestFit="1" customWidth="1"/>
    <col min="11" max="11" width="4" style="1630" customWidth="1"/>
    <col min="12" max="12" width="5.125" style="1636" customWidth="1"/>
    <col min="13" max="13" width="13.625" style="1636" customWidth="1"/>
    <col min="14" max="256" width="8.875" style="1636"/>
    <col min="257" max="257" width="4.875" style="1627" customWidth="1"/>
    <col min="258" max="258" width="13.125" style="1627" customWidth="1"/>
    <col min="259" max="259" width="15.625" style="1627" customWidth="1"/>
    <col min="260" max="260" width="9.375" style="1627" bestFit="1" customWidth="1"/>
    <col min="261" max="261" width="13.5" style="1627" customWidth="1"/>
    <col min="262" max="262" width="8.875" style="1627"/>
    <col min="263" max="263" width="9.375" style="1627" bestFit="1" customWidth="1"/>
    <col min="264" max="265" width="8.875" style="1627"/>
    <col min="266" max="266" width="9.375" style="1627" bestFit="1" customWidth="1"/>
    <col min="267" max="267" width="4" style="1627" customWidth="1"/>
    <col min="268" max="268" width="5.125" style="1627" customWidth="1"/>
    <col min="269" max="269" width="13.625" style="1627" customWidth="1"/>
    <col min="270" max="512" width="8.875" style="1627"/>
    <col min="513" max="513" width="4.875" style="1627" customWidth="1"/>
    <col min="514" max="514" width="13.125" style="1627" customWidth="1"/>
    <col min="515" max="515" width="15.625" style="1627" customWidth="1"/>
    <col min="516" max="516" width="9.375" style="1627" bestFit="1" customWidth="1"/>
    <col min="517" max="517" width="13.5" style="1627" customWidth="1"/>
    <col min="518" max="518" width="8.875" style="1627"/>
    <col min="519" max="519" width="9.375" style="1627" bestFit="1" customWidth="1"/>
    <col min="520" max="521" width="8.875" style="1627"/>
    <col min="522" max="522" width="9.375" style="1627" bestFit="1" customWidth="1"/>
    <col min="523" max="523" width="4" style="1627" customWidth="1"/>
    <col min="524" max="524" width="5.125" style="1627" customWidth="1"/>
    <col min="525" max="525" width="13.625" style="1627" customWidth="1"/>
    <col min="526" max="768" width="8.875" style="1627"/>
    <col min="769" max="769" width="4.875" style="1627" customWidth="1"/>
    <col min="770" max="770" width="13.125" style="1627" customWidth="1"/>
    <col min="771" max="771" width="15.625" style="1627" customWidth="1"/>
    <col min="772" max="772" width="9.375" style="1627" bestFit="1" customWidth="1"/>
    <col min="773" max="773" width="13.5" style="1627" customWidth="1"/>
    <col min="774" max="774" width="8.875" style="1627"/>
    <col min="775" max="775" width="9.375" style="1627" bestFit="1" customWidth="1"/>
    <col min="776" max="777" width="8.875" style="1627"/>
    <col min="778" max="778" width="9.375" style="1627" bestFit="1" customWidth="1"/>
    <col min="779" max="779" width="4" style="1627" customWidth="1"/>
    <col min="780" max="780" width="5.125" style="1627" customWidth="1"/>
    <col min="781" max="781" width="13.625" style="1627" customWidth="1"/>
    <col min="782" max="1024" width="8.875" style="1627"/>
    <col min="1025" max="1025" width="4.875" style="1627" customWidth="1"/>
    <col min="1026" max="1026" width="13.125" style="1627" customWidth="1"/>
    <col min="1027" max="1027" width="15.625" style="1627" customWidth="1"/>
    <col min="1028" max="1028" width="9.375" style="1627" bestFit="1" customWidth="1"/>
    <col min="1029" max="1029" width="13.5" style="1627" customWidth="1"/>
    <col min="1030" max="1030" width="8.875" style="1627"/>
    <col min="1031" max="1031" width="9.375" style="1627" bestFit="1" customWidth="1"/>
    <col min="1032" max="1033" width="8.875" style="1627"/>
    <col min="1034" max="1034" width="9.375" style="1627" bestFit="1" customWidth="1"/>
    <col min="1035" max="1035" width="4" style="1627" customWidth="1"/>
    <col min="1036" max="1036" width="5.125" style="1627" customWidth="1"/>
    <col min="1037" max="1037" width="13.625" style="1627" customWidth="1"/>
    <col min="1038" max="1280" width="8.875" style="1627"/>
    <col min="1281" max="1281" width="4.875" style="1627" customWidth="1"/>
    <col min="1282" max="1282" width="13.125" style="1627" customWidth="1"/>
    <col min="1283" max="1283" width="15.625" style="1627" customWidth="1"/>
    <col min="1284" max="1284" width="9.375" style="1627" bestFit="1" customWidth="1"/>
    <col min="1285" max="1285" width="13.5" style="1627" customWidth="1"/>
    <col min="1286" max="1286" width="8.875" style="1627"/>
    <col min="1287" max="1287" width="9.375" style="1627" bestFit="1" customWidth="1"/>
    <col min="1288" max="1289" width="8.875" style="1627"/>
    <col min="1290" max="1290" width="9.375" style="1627" bestFit="1" customWidth="1"/>
    <col min="1291" max="1291" width="4" style="1627" customWidth="1"/>
    <col min="1292" max="1292" width="5.125" style="1627" customWidth="1"/>
    <col min="1293" max="1293" width="13.625" style="1627" customWidth="1"/>
    <col min="1294" max="1536" width="8.875" style="1627"/>
    <col min="1537" max="1537" width="4.875" style="1627" customWidth="1"/>
    <col min="1538" max="1538" width="13.125" style="1627" customWidth="1"/>
    <col min="1539" max="1539" width="15.625" style="1627" customWidth="1"/>
    <col min="1540" max="1540" width="9.375" style="1627" bestFit="1" customWidth="1"/>
    <col min="1541" max="1541" width="13.5" style="1627" customWidth="1"/>
    <col min="1542" max="1542" width="8.875" style="1627"/>
    <col min="1543" max="1543" width="9.375" style="1627" bestFit="1" customWidth="1"/>
    <col min="1544" max="1545" width="8.875" style="1627"/>
    <col min="1546" max="1546" width="9.375" style="1627" bestFit="1" customWidth="1"/>
    <col min="1547" max="1547" width="4" style="1627" customWidth="1"/>
    <col min="1548" max="1548" width="5.125" style="1627" customWidth="1"/>
    <col min="1549" max="1549" width="13.625" style="1627" customWidth="1"/>
    <col min="1550" max="1792" width="8.875" style="1627"/>
    <col min="1793" max="1793" width="4.875" style="1627" customWidth="1"/>
    <col min="1794" max="1794" width="13.125" style="1627" customWidth="1"/>
    <col min="1795" max="1795" width="15.625" style="1627" customWidth="1"/>
    <col min="1796" max="1796" width="9.375" style="1627" bestFit="1" customWidth="1"/>
    <col min="1797" max="1797" width="13.5" style="1627" customWidth="1"/>
    <col min="1798" max="1798" width="8.875" style="1627"/>
    <col min="1799" max="1799" width="9.375" style="1627" bestFit="1" customWidth="1"/>
    <col min="1800" max="1801" width="8.875" style="1627"/>
    <col min="1802" max="1802" width="9.375" style="1627" bestFit="1" customWidth="1"/>
    <col min="1803" max="1803" width="4" style="1627" customWidth="1"/>
    <col min="1804" max="1804" width="5.125" style="1627" customWidth="1"/>
    <col min="1805" max="1805" width="13.625" style="1627" customWidth="1"/>
    <col min="1806" max="2048" width="8.875" style="1627"/>
    <col min="2049" max="2049" width="4.875" style="1627" customWidth="1"/>
    <col min="2050" max="2050" width="13.125" style="1627" customWidth="1"/>
    <col min="2051" max="2051" width="15.625" style="1627" customWidth="1"/>
    <col min="2052" max="2052" width="9.375" style="1627" bestFit="1" customWidth="1"/>
    <col min="2053" max="2053" width="13.5" style="1627" customWidth="1"/>
    <col min="2054" max="2054" width="8.875" style="1627"/>
    <col min="2055" max="2055" width="9.375" style="1627" bestFit="1" customWidth="1"/>
    <col min="2056" max="2057" width="8.875" style="1627"/>
    <col min="2058" max="2058" width="9.375" style="1627" bestFit="1" customWidth="1"/>
    <col min="2059" max="2059" width="4" style="1627" customWidth="1"/>
    <col min="2060" max="2060" width="5.125" style="1627" customWidth="1"/>
    <col min="2061" max="2061" width="13.625" style="1627" customWidth="1"/>
    <col min="2062" max="2304" width="8.875" style="1627"/>
    <col min="2305" max="2305" width="4.875" style="1627" customWidth="1"/>
    <col min="2306" max="2306" width="13.125" style="1627" customWidth="1"/>
    <col min="2307" max="2307" width="15.625" style="1627" customWidth="1"/>
    <col min="2308" max="2308" width="9.375" style="1627" bestFit="1" customWidth="1"/>
    <col min="2309" max="2309" width="13.5" style="1627" customWidth="1"/>
    <col min="2310" max="2310" width="8.875" style="1627"/>
    <col min="2311" max="2311" width="9.375" style="1627" bestFit="1" customWidth="1"/>
    <col min="2312" max="2313" width="8.875" style="1627"/>
    <col min="2314" max="2314" width="9.375" style="1627" bestFit="1" customWidth="1"/>
    <col min="2315" max="2315" width="4" style="1627" customWidth="1"/>
    <col min="2316" max="2316" width="5.125" style="1627" customWidth="1"/>
    <col min="2317" max="2317" width="13.625" style="1627" customWidth="1"/>
    <col min="2318" max="2560" width="8.875" style="1627"/>
    <col min="2561" max="2561" width="4.875" style="1627" customWidth="1"/>
    <col min="2562" max="2562" width="13.125" style="1627" customWidth="1"/>
    <col min="2563" max="2563" width="15.625" style="1627" customWidth="1"/>
    <col min="2564" max="2564" width="9.375" style="1627" bestFit="1" customWidth="1"/>
    <col min="2565" max="2565" width="13.5" style="1627" customWidth="1"/>
    <col min="2566" max="2566" width="8.875" style="1627"/>
    <col min="2567" max="2567" width="9.375" style="1627" bestFit="1" customWidth="1"/>
    <col min="2568" max="2569" width="8.875" style="1627"/>
    <col min="2570" max="2570" width="9.375" style="1627" bestFit="1" customWidth="1"/>
    <col min="2571" max="2571" width="4" style="1627" customWidth="1"/>
    <col min="2572" max="2572" width="5.125" style="1627" customWidth="1"/>
    <col min="2573" max="2573" width="13.625" style="1627" customWidth="1"/>
    <col min="2574" max="2816" width="8.875" style="1627"/>
    <col min="2817" max="2817" width="4.875" style="1627" customWidth="1"/>
    <col min="2818" max="2818" width="13.125" style="1627" customWidth="1"/>
    <col min="2819" max="2819" width="15.625" style="1627" customWidth="1"/>
    <col min="2820" max="2820" width="9.375" style="1627" bestFit="1" customWidth="1"/>
    <col min="2821" max="2821" width="13.5" style="1627" customWidth="1"/>
    <col min="2822" max="2822" width="8.875" style="1627"/>
    <col min="2823" max="2823" width="9.375" style="1627" bestFit="1" customWidth="1"/>
    <col min="2824" max="2825" width="8.875" style="1627"/>
    <col min="2826" max="2826" width="9.375" style="1627" bestFit="1" customWidth="1"/>
    <col min="2827" max="2827" width="4" style="1627" customWidth="1"/>
    <col min="2828" max="2828" width="5.125" style="1627" customWidth="1"/>
    <col min="2829" max="2829" width="13.625" style="1627" customWidth="1"/>
    <col min="2830" max="3072" width="8.875" style="1627"/>
    <col min="3073" max="3073" width="4.875" style="1627" customWidth="1"/>
    <col min="3074" max="3074" width="13.125" style="1627" customWidth="1"/>
    <col min="3075" max="3075" width="15.625" style="1627" customWidth="1"/>
    <col min="3076" max="3076" width="9.375" style="1627" bestFit="1" customWidth="1"/>
    <col min="3077" max="3077" width="13.5" style="1627" customWidth="1"/>
    <col min="3078" max="3078" width="8.875" style="1627"/>
    <col min="3079" max="3079" width="9.375" style="1627" bestFit="1" customWidth="1"/>
    <col min="3080" max="3081" width="8.875" style="1627"/>
    <col min="3082" max="3082" width="9.375" style="1627" bestFit="1" customWidth="1"/>
    <col min="3083" max="3083" width="4" style="1627" customWidth="1"/>
    <col min="3084" max="3084" width="5.125" style="1627" customWidth="1"/>
    <col min="3085" max="3085" width="13.625" style="1627" customWidth="1"/>
    <col min="3086" max="3328" width="8.875" style="1627"/>
    <col min="3329" max="3329" width="4.875" style="1627" customWidth="1"/>
    <col min="3330" max="3330" width="13.125" style="1627" customWidth="1"/>
    <col min="3331" max="3331" width="15.625" style="1627" customWidth="1"/>
    <col min="3332" max="3332" width="9.375" style="1627" bestFit="1" customWidth="1"/>
    <col min="3333" max="3333" width="13.5" style="1627" customWidth="1"/>
    <col min="3334" max="3334" width="8.875" style="1627"/>
    <col min="3335" max="3335" width="9.375" style="1627" bestFit="1" customWidth="1"/>
    <col min="3336" max="3337" width="8.875" style="1627"/>
    <col min="3338" max="3338" width="9.375" style="1627" bestFit="1" customWidth="1"/>
    <col min="3339" max="3339" width="4" style="1627" customWidth="1"/>
    <col min="3340" max="3340" width="5.125" style="1627" customWidth="1"/>
    <col min="3341" max="3341" width="13.625" style="1627" customWidth="1"/>
    <col min="3342" max="3584" width="8.875" style="1627"/>
    <col min="3585" max="3585" width="4.875" style="1627" customWidth="1"/>
    <col min="3586" max="3586" width="13.125" style="1627" customWidth="1"/>
    <col min="3587" max="3587" width="15.625" style="1627" customWidth="1"/>
    <col min="3588" max="3588" width="9.375" style="1627" bestFit="1" customWidth="1"/>
    <col min="3589" max="3589" width="13.5" style="1627" customWidth="1"/>
    <col min="3590" max="3590" width="8.875" style="1627"/>
    <col min="3591" max="3591" width="9.375" style="1627" bestFit="1" customWidth="1"/>
    <col min="3592" max="3593" width="8.875" style="1627"/>
    <col min="3594" max="3594" width="9.375" style="1627" bestFit="1" customWidth="1"/>
    <col min="3595" max="3595" width="4" style="1627" customWidth="1"/>
    <col min="3596" max="3596" width="5.125" style="1627" customWidth="1"/>
    <col min="3597" max="3597" width="13.625" style="1627" customWidth="1"/>
    <col min="3598" max="3840" width="8.875" style="1627"/>
    <col min="3841" max="3841" width="4.875" style="1627" customWidth="1"/>
    <col min="3842" max="3842" width="13.125" style="1627" customWidth="1"/>
    <col min="3843" max="3843" width="15.625" style="1627" customWidth="1"/>
    <col min="3844" max="3844" width="9.375" style="1627" bestFit="1" customWidth="1"/>
    <col min="3845" max="3845" width="13.5" style="1627" customWidth="1"/>
    <col min="3846" max="3846" width="8.875" style="1627"/>
    <col min="3847" max="3847" width="9.375" style="1627" bestFit="1" customWidth="1"/>
    <col min="3848" max="3849" width="8.875" style="1627"/>
    <col min="3850" max="3850" width="9.375" style="1627" bestFit="1" customWidth="1"/>
    <col min="3851" max="3851" width="4" style="1627" customWidth="1"/>
    <col min="3852" max="3852" width="5.125" style="1627" customWidth="1"/>
    <col min="3853" max="3853" width="13.625" style="1627" customWidth="1"/>
    <col min="3854" max="4096" width="8.875" style="1627"/>
    <col min="4097" max="4097" width="4.875" style="1627" customWidth="1"/>
    <col min="4098" max="4098" width="13.125" style="1627" customWidth="1"/>
    <col min="4099" max="4099" width="15.625" style="1627" customWidth="1"/>
    <col min="4100" max="4100" width="9.375" style="1627" bestFit="1" customWidth="1"/>
    <col min="4101" max="4101" width="13.5" style="1627" customWidth="1"/>
    <col min="4102" max="4102" width="8.875" style="1627"/>
    <col min="4103" max="4103" width="9.375" style="1627" bestFit="1" customWidth="1"/>
    <col min="4104" max="4105" width="8.875" style="1627"/>
    <col min="4106" max="4106" width="9.375" style="1627" bestFit="1" customWidth="1"/>
    <col min="4107" max="4107" width="4" style="1627" customWidth="1"/>
    <col min="4108" max="4108" width="5.125" style="1627" customWidth="1"/>
    <col min="4109" max="4109" width="13.625" style="1627" customWidth="1"/>
    <col min="4110" max="4352" width="8.875" style="1627"/>
    <col min="4353" max="4353" width="4.875" style="1627" customWidth="1"/>
    <col min="4354" max="4354" width="13.125" style="1627" customWidth="1"/>
    <col min="4355" max="4355" width="15.625" style="1627" customWidth="1"/>
    <col min="4356" max="4356" width="9.375" style="1627" bestFit="1" customWidth="1"/>
    <col min="4357" max="4357" width="13.5" style="1627" customWidth="1"/>
    <col min="4358" max="4358" width="8.875" style="1627"/>
    <col min="4359" max="4359" width="9.375" style="1627" bestFit="1" customWidth="1"/>
    <col min="4360" max="4361" width="8.875" style="1627"/>
    <col min="4362" max="4362" width="9.375" style="1627" bestFit="1" customWidth="1"/>
    <col min="4363" max="4363" width="4" style="1627" customWidth="1"/>
    <col min="4364" max="4364" width="5.125" style="1627" customWidth="1"/>
    <col min="4365" max="4365" width="13.625" style="1627" customWidth="1"/>
    <col min="4366" max="4608" width="8.875" style="1627"/>
    <col min="4609" max="4609" width="4.875" style="1627" customWidth="1"/>
    <col min="4610" max="4610" width="13.125" style="1627" customWidth="1"/>
    <col min="4611" max="4611" width="15.625" style="1627" customWidth="1"/>
    <col min="4612" max="4612" width="9.375" style="1627" bestFit="1" customWidth="1"/>
    <col min="4613" max="4613" width="13.5" style="1627" customWidth="1"/>
    <col min="4614" max="4614" width="8.875" style="1627"/>
    <col min="4615" max="4615" width="9.375" style="1627" bestFit="1" customWidth="1"/>
    <col min="4616" max="4617" width="8.875" style="1627"/>
    <col min="4618" max="4618" width="9.375" style="1627" bestFit="1" customWidth="1"/>
    <col min="4619" max="4619" width="4" style="1627" customWidth="1"/>
    <col min="4620" max="4620" width="5.125" style="1627" customWidth="1"/>
    <col min="4621" max="4621" width="13.625" style="1627" customWidth="1"/>
    <col min="4622" max="4864" width="8.875" style="1627"/>
    <col min="4865" max="4865" width="4.875" style="1627" customWidth="1"/>
    <col min="4866" max="4866" width="13.125" style="1627" customWidth="1"/>
    <col min="4867" max="4867" width="15.625" style="1627" customWidth="1"/>
    <col min="4868" max="4868" width="9.375" style="1627" bestFit="1" customWidth="1"/>
    <col min="4869" max="4869" width="13.5" style="1627" customWidth="1"/>
    <col min="4870" max="4870" width="8.875" style="1627"/>
    <col min="4871" max="4871" width="9.375" style="1627" bestFit="1" customWidth="1"/>
    <col min="4872" max="4873" width="8.875" style="1627"/>
    <col min="4874" max="4874" width="9.375" style="1627" bestFit="1" customWidth="1"/>
    <col min="4875" max="4875" width="4" style="1627" customWidth="1"/>
    <col min="4876" max="4876" width="5.125" style="1627" customWidth="1"/>
    <col min="4877" max="4877" width="13.625" style="1627" customWidth="1"/>
    <col min="4878" max="5120" width="8.875" style="1627"/>
    <col min="5121" max="5121" width="4.875" style="1627" customWidth="1"/>
    <col min="5122" max="5122" width="13.125" style="1627" customWidth="1"/>
    <col min="5123" max="5123" width="15.625" style="1627" customWidth="1"/>
    <col min="5124" max="5124" width="9.375" style="1627" bestFit="1" customWidth="1"/>
    <col min="5125" max="5125" width="13.5" style="1627" customWidth="1"/>
    <col min="5126" max="5126" width="8.875" style="1627"/>
    <col min="5127" max="5127" width="9.375" style="1627" bestFit="1" customWidth="1"/>
    <col min="5128" max="5129" width="8.875" style="1627"/>
    <col min="5130" max="5130" width="9.375" style="1627" bestFit="1" customWidth="1"/>
    <col min="5131" max="5131" width="4" style="1627" customWidth="1"/>
    <col min="5132" max="5132" width="5.125" style="1627" customWidth="1"/>
    <col min="5133" max="5133" width="13.625" style="1627" customWidth="1"/>
    <col min="5134" max="5376" width="8.875" style="1627"/>
    <col min="5377" max="5377" width="4.875" style="1627" customWidth="1"/>
    <col min="5378" max="5378" width="13.125" style="1627" customWidth="1"/>
    <col min="5379" max="5379" width="15.625" style="1627" customWidth="1"/>
    <col min="5380" max="5380" width="9.375" style="1627" bestFit="1" customWidth="1"/>
    <col min="5381" max="5381" width="13.5" style="1627" customWidth="1"/>
    <col min="5382" max="5382" width="8.875" style="1627"/>
    <col min="5383" max="5383" width="9.375" style="1627" bestFit="1" customWidth="1"/>
    <col min="5384" max="5385" width="8.875" style="1627"/>
    <col min="5386" max="5386" width="9.375" style="1627" bestFit="1" customWidth="1"/>
    <col min="5387" max="5387" width="4" style="1627" customWidth="1"/>
    <col min="5388" max="5388" width="5.125" style="1627" customWidth="1"/>
    <col min="5389" max="5389" width="13.625" style="1627" customWidth="1"/>
    <col min="5390" max="5632" width="8.875" style="1627"/>
    <col min="5633" max="5633" width="4.875" style="1627" customWidth="1"/>
    <col min="5634" max="5634" width="13.125" style="1627" customWidth="1"/>
    <col min="5635" max="5635" width="15.625" style="1627" customWidth="1"/>
    <col min="5636" max="5636" width="9.375" style="1627" bestFit="1" customWidth="1"/>
    <col min="5637" max="5637" width="13.5" style="1627" customWidth="1"/>
    <col min="5638" max="5638" width="8.875" style="1627"/>
    <col min="5639" max="5639" width="9.375" style="1627" bestFit="1" customWidth="1"/>
    <col min="5640" max="5641" width="8.875" style="1627"/>
    <col min="5642" max="5642" width="9.375" style="1627" bestFit="1" customWidth="1"/>
    <col min="5643" max="5643" width="4" style="1627" customWidth="1"/>
    <col min="5644" max="5644" width="5.125" style="1627" customWidth="1"/>
    <col min="5645" max="5645" width="13.625" style="1627" customWidth="1"/>
    <col min="5646" max="5888" width="8.875" style="1627"/>
    <col min="5889" max="5889" width="4.875" style="1627" customWidth="1"/>
    <col min="5890" max="5890" width="13.125" style="1627" customWidth="1"/>
    <col min="5891" max="5891" width="15.625" style="1627" customWidth="1"/>
    <col min="5892" max="5892" width="9.375" style="1627" bestFit="1" customWidth="1"/>
    <col min="5893" max="5893" width="13.5" style="1627" customWidth="1"/>
    <col min="5894" max="5894" width="8.875" style="1627"/>
    <col min="5895" max="5895" width="9.375" style="1627" bestFit="1" customWidth="1"/>
    <col min="5896" max="5897" width="8.875" style="1627"/>
    <col min="5898" max="5898" width="9.375" style="1627" bestFit="1" customWidth="1"/>
    <col min="5899" max="5899" width="4" style="1627" customWidth="1"/>
    <col min="5900" max="5900" width="5.125" style="1627" customWidth="1"/>
    <col min="5901" max="5901" width="13.625" style="1627" customWidth="1"/>
    <col min="5902" max="6144" width="8.875" style="1627"/>
    <col min="6145" max="6145" width="4.875" style="1627" customWidth="1"/>
    <col min="6146" max="6146" width="13.125" style="1627" customWidth="1"/>
    <col min="6147" max="6147" width="15.625" style="1627" customWidth="1"/>
    <col min="6148" max="6148" width="9.375" style="1627" bestFit="1" customWidth="1"/>
    <col min="6149" max="6149" width="13.5" style="1627" customWidth="1"/>
    <col min="6150" max="6150" width="8.875" style="1627"/>
    <col min="6151" max="6151" width="9.375" style="1627" bestFit="1" customWidth="1"/>
    <col min="6152" max="6153" width="8.875" style="1627"/>
    <col min="6154" max="6154" width="9.375" style="1627" bestFit="1" customWidth="1"/>
    <col min="6155" max="6155" width="4" style="1627" customWidth="1"/>
    <col min="6156" max="6156" width="5.125" style="1627" customWidth="1"/>
    <col min="6157" max="6157" width="13.625" style="1627" customWidth="1"/>
    <col min="6158" max="6400" width="8.875" style="1627"/>
    <col min="6401" max="6401" width="4.875" style="1627" customWidth="1"/>
    <col min="6402" max="6402" width="13.125" style="1627" customWidth="1"/>
    <col min="6403" max="6403" width="15.625" style="1627" customWidth="1"/>
    <col min="6404" max="6404" width="9.375" style="1627" bestFit="1" customWidth="1"/>
    <col min="6405" max="6405" width="13.5" style="1627" customWidth="1"/>
    <col min="6406" max="6406" width="8.875" style="1627"/>
    <col min="6407" max="6407" width="9.375" style="1627" bestFit="1" customWidth="1"/>
    <col min="6408" max="6409" width="8.875" style="1627"/>
    <col min="6410" max="6410" width="9.375" style="1627" bestFit="1" customWidth="1"/>
    <col min="6411" max="6411" width="4" style="1627" customWidth="1"/>
    <col min="6412" max="6412" width="5.125" style="1627" customWidth="1"/>
    <col min="6413" max="6413" width="13.625" style="1627" customWidth="1"/>
    <col min="6414" max="6656" width="8.875" style="1627"/>
    <col min="6657" max="6657" width="4.875" style="1627" customWidth="1"/>
    <col min="6658" max="6658" width="13.125" style="1627" customWidth="1"/>
    <col min="6659" max="6659" width="15.625" style="1627" customWidth="1"/>
    <col min="6660" max="6660" width="9.375" style="1627" bestFit="1" customWidth="1"/>
    <col min="6661" max="6661" width="13.5" style="1627" customWidth="1"/>
    <col min="6662" max="6662" width="8.875" style="1627"/>
    <col min="6663" max="6663" width="9.375" style="1627" bestFit="1" customWidth="1"/>
    <col min="6664" max="6665" width="8.875" style="1627"/>
    <col min="6666" max="6666" width="9.375" style="1627" bestFit="1" customWidth="1"/>
    <col min="6667" max="6667" width="4" style="1627" customWidth="1"/>
    <col min="6668" max="6668" width="5.125" style="1627" customWidth="1"/>
    <col min="6669" max="6669" width="13.625" style="1627" customWidth="1"/>
    <col min="6670" max="6912" width="8.875" style="1627"/>
    <col min="6913" max="6913" width="4.875" style="1627" customWidth="1"/>
    <col min="6914" max="6914" width="13.125" style="1627" customWidth="1"/>
    <col min="6915" max="6915" width="15.625" style="1627" customWidth="1"/>
    <col min="6916" max="6916" width="9.375" style="1627" bestFit="1" customWidth="1"/>
    <col min="6917" max="6917" width="13.5" style="1627" customWidth="1"/>
    <col min="6918" max="6918" width="8.875" style="1627"/>
    <col min="6919" max="6919" width="9.375" style="1627" bestFit="1" customWidth="1"/>
    <col min="6920" max="6921" width="8.875" style="1627"/>
    <col min="6922" max="6922" width="9.375" style="1627" bestFit="1" customWidth="1"/>
    <col min="6923" max="6923" width="4" style="1627" customWidth="1"/>
    <col min="6924" max="6924" width="5.125" style="1627" customWidth="1"/>
    <col min="6925" max="6925" width="13.625" style="1627" customWidth="1"/>
    <col min="6926" max="7168" width="8.875" style="1627"/>
    <col min="7169" max="7169" width="4.875" style="1627" customWidth="1"/>
    <col min="7170" max="7170" width="13.125" style="1627" customWidth="1"/>
    <col min="7171" max="7171" width="15.625" style="1627" customWidth="1"/>
    <col min="7172" max="7172" width="9.375" style="1627" bestFit="1" customWidth="1"/>
    <col min="7173" max="7173" width="13.5" style="1627" customWidth="1"/>
    <col min="7174" max="7174" width="8.875" style="1627"/>
    <col min="7175" max="7175" width="9.375" style="1627" bestFit="1" customWidth="1"/>
    <col min="7176" max="7177" width="8.875" style="1627"/>
    <col min="7178" max="7178" width="9.375" style="1627" bestFit="1" customWidth="1"/>
    <col min="7179" max="7179" width="4" style="1627" customWidth="1"/>
    <col min="7180" max="7180" width="5.125" style="1627" customWidth="1"/>
    <col min="7181" max="7181" width="13.625" style="1627" customWidth="1"/>
    <col min="7182" max="7424" width="8.875" style="1627"/>
    <col min="7425" max="7425" width="4.875" style="1627" customWidth="1"/>
    <col min="7426" max="7426" width="13.125" style="1627" customWidth="1"/>
    <col min="7427" max="7427" width="15.625" style="1627" customWidth="1"/>
    <col min="7428" max="7428" width="9.375" style="1627" bestFit="1" customWidth="1"/>
    <col min="7429" max="7429" width="13.5" style="1627" customWidth="1"/>
    <col min="7430" max="7430" width="8.875" style="1627"/>
    <col min="7431" max="7431" width="9.375" style="1627" bestFit="1" customWidth="1"/>
    <col min="7432" max="7433" width="8.875" style="1627"/>
    <col min="7434" max="7434" width="9.375" style="1627" bestFit="1" customWidth="1"/>
    <col min="7435" max="7435" width="4" style="1627" customWidth="1"/>
    <col min="7436" max="7436" width="5.125" style="1627" customWidth="1"/>
    <col min="7437" max="7437" width="13.625" style="1627" customWidth="1"/>
    <col min="7438" max="7680" width="8.875" style="1627"/>
    <col min="7681" max="7681" width="4.875" style="1627" customWidth="1"/>
    <col min="7682" max="7682" width="13.125" style="1627" customWidth="1"/>
    <col min="7683" max="7683" width="15.625" style="1627" customWidth="1"/>
    <col min="7684" max="7684" width="9.375" style="1627" bestFit="1" customWidth="1"/>
    <col min="7685" max="7685" width="13.5" style="1627" customWidth="1"/>
    <col min="7686" max="7686" width="8.875" style="1627"/>
    <col min="7687" max="7687" width="9.375" style="1627" bestFit="1" customWidth="1"/>
    <col min="7688" max="7689" width="8.875" style="1627"/>
    <col min="7690" max="7690" width="9.375" style="1627" bestFit="1" customWidth="1"/>
    <col min="7691" max="7691" width="4" style="1627" customWidth="1"/>
    <col min="7692" max="7692" width="5.125" style="1627" customWidth="1"/>
    <col min="7693" max="7693" width="13.625" style="1627" customWidth="1"/>
    <col min="7694" max="7936" width="8.875" style="1627"/>
    <col min="7937" max="7937" width="4.875" style="1627" customWidth="1"/>
    <col min="7938" max="7938" width="13.125" style="1627" customWidth="1"/>
    <col min="7939" max="7939" width="15.625" style="1627" customWidth="1"/>
    <col min="7940" max="7940" width="9.375" style="1627" bestFit="1" customWidth="1"/>
    <col min="7941" max="7941" width="13.5" style="1627" customWidth="1"/>
    <col min="7942" max="7942" width="8.875" style="1627"/>
    <col min="7943" max="7943" width="9.375" style="1627" bestFit="1" customWidth="1"/>
    <col min="7944" max="7945" width="8.875" style="1627"/>
    <col min="7946" max="7946" width="9.375" style="1627" bestFit="1" customWidth="1"/>
    <col min="7947" max="7947" width="4" style="1627" customWidth="1"/>
    <col min="7948" max="7948" width="5.125" style="1627" customWidth="1"/>
    <col min="7949" max="7949" width="13.625" style="1627" customWidth="1"/>
    <col min="7950" max="8192" width="8.875" style="1627"/>
    <col min="8193" max="8193" width="4.875" style="1627" customWidth="1"/>
    <col min="8194" max="8194" width="13.125" style="1627" customWidth="1"/>
    <col min="8195" max="8195" width="15.625" style="1627" customWidth="1"/>
    <col min="8196" max="8196" width="9.375" style="1627" bestFit="1" customWidth="1"/>
    <col min="8197" max="8197" width="13.5" style="1627" customWidth="1"/>
    <col min="8198" max="8198" width="8.875" style="1627"/>
    <col min="8199" max="8199" width="9.375" style="1627" bestFit="1" customWidth="1"/>
    <col min="8200" max="8201" width="8.875" style="1627"/>
    <col min="8202" max="8202" width="9.375" style="1627" bestFit="1" customWidth="1"/>
    <col min="8203" max="8203" width="4" style="1627" customWidth="1"/>
    <col min="8204" max="8204" width="5.125" style="1627" customWidth="1"/>
    <col min="8205" max="8205" width="13.625" style="1627" customWidth="1"/>
    <col min="8206" max="8448" width="8.875" style="1627"/>
    <col min="8449" max="8449" width="4.875" style="1627" customWidth="1"/>
    <col min="8450" max="8450" width="13.125" style="1627" customWidth="1"/>
    <col min="8451" max="8451" width="15.625" style="1627" customWidth="1"/>
    <col min="8452" max="8452" width="9.375" style="1627" bestFit="1" customWidth="1"/>
    <col min="8453" max="8453" width="13.5" style="1627" customWidth="1"/>
    <col min="8454" max="8454" width="8.875" style="1627"/>
    <col min="8455" max="8455" width="9.375" style="1627" bestFit="1" customWidth="1"/>
    <col min="8456" max="8457" width="8.875" style="1627"/>
    <col min="8458" max="8458" width="9.375" style="1627" bestFit="1" customWidth="1"/>
    <col min="8459" max="8459" width="4" style="1627" customWidth="1"/>
    <col min="8460" max="8460" width="5.125" style="1627" customWidth="1"/>
    <col min="8461" max="8461" width="13.625" style="1627" customWidth="1"/>
    <col min="8462" max="8704" width="8.875" style="1627"/>
    <col min="8705" max="8705" width="4.875" style="1627" customWidth="1"/>
    <col min="8706" max="8706" width="13.125" style="1627" customWidth="1"/>
    <col min="8707" max="8707" width="15.625" style="1627" customWidth="1"/>
    <col min="8708" max="8708" width="9.375" style="1627" bestFit="1" customWidth="1"/>
    <col min="8709" max="8709" width="13.5" style="1627" customWidth="1"/>
    <col min="8710" max="8710" width="8.875" style="1627"/>
    <col min="8711" max="8711" width="9.375" style="1627" bestFit="1" customWidth="1"/>
    <col min="8712" max="8713" width="8.875" style="1627"/>
    <col min="8714" max="8714" width="9.375" style="1627" bestFit="1" customWidth="1"/>
    <col min="8715" max="8715" width="4" style="1627" customWidth="1"/>
    <col min="8716" max="8716" width="5.125" style="1627" customWidth="1"/>
    <col min="8717" max="8717" width="13.625" style="1627" customWidth="1"/>
    <col min="8718" max="8960" width="8.875" style="1627"/>
    <col min="8961" max="8961" width="4.875" style="1627" customWidth="1"/>
    <col min="8962" max="8962" width="13.125" style="1627" customWidth="1"/>
    <col min="8963" max="8963" width="15.625" style="1627" customWidth="1"/>
    <col min="8964" max="8964" width="9.375" style="1627" bestFit="1" customWidth="1"/>
    <col min="8965" max="8965" width="13.5" style="1627" customWidth="1"/>
    <col min="8966" max="8966" width="8.875" style="1627"/>
    <col min="8967" max="8967" width="9.375" style="1627" bestFit="1" customWidth="1"/>
    <col min="8968" max="8969" width="8.875" style="1627"/>
    <col min="8970" max="8970" width="9.375" style="1627" bestFit="1" customWidth="1"/>
    <col min="8971" max="8971" width="4" style="1627" customWidth="1"/>
    <col min="8972" max="8972" width="5.125" style="1627" customWidth="1"/>
    <col min="8973" max="8973" width="13.625" style="1627" customWidth="1"/>
    <col min="8974" max="9216" width="8.875" style="1627"/>
    <col min="9217" max="9217" width="4.875" style="1627" customWidth="1"/>
    <col min="9218" max="9218" width="13.125" style="1627" customWidth="1"/>
    <col min="9219" max="9219" width="15.625" style="1627" customWidth="1"/>
    <col min="9220" max="9220" width="9.375" style="1627" bestFit="1" customWidth="1"/>
    <col min="9221" max="9221" width="13.5" style="1627" customWidth="1"/>
    <col min="9222" max="9222" width="8.875" style="1627"/>
    <col min="9223" max="9223" width="9.375" style="1627" bestFit="1" customWidth="1"/>
    <col min="9224" max="9225" width="8.875" style="1627"/>
    <col min="9226" max="9226" width="9.375" style="1627" bestFit="1" customWidth="1"/>
    <col min="9227" max="9227" width="4" style="1627" customWidth="1"/>
    <col min="9228" max="9228" width="5.125" style="1627" customWidth="1"/>
    <col min="9229" max="9229" width="13.625" style="1627" customWidth="1"/>
    <col min="9230" max="9472" width="8.875" style="1627"/>
    <col min="9473" max="9473" width="4.875" style="1627" customWidth="1"/>
    <col min="9474" max="9474" width="13.125" style="1627" customWidth="1"/>
    <col min="9475" max="9475" width="15.625" style="1627" customWidth="1"/>
    <col min="9476" max="9476" width="9.375" style="1627" bestFit="1" customWidth="1"/>
    <col min="9477" max="9477" width="13.5" style="1627" customWidth="1"/>
    <col min="9478" max="9478" width="8.875" style="1627"/>
    <col min="9479" max="9479" width="9.375" style="1627" bestFit="1" customWidth="1"/>
    <col min="9480" max="9481" width="8.875" style="1627"/>
    <col min="9482" max="9482" width="9.375" style="1627" bestFit="1" customWidth="1"/>
    <col min="9483" max="9483" width="4" style="1627" customWidth="1"/>
    <col min="9484" max="9484" width="5.125" style="1627" customWidth="1"/>
    <col min="9485" max="9485" width="13.625" style="1627" customWidth="1"/>
    <col min="9486" max="9728" width="8.875" style="1627"/>
    <col min="9729" max="9729" width="4.875" style="1627" customWidth="1"/>
    <col min="9730" max="9730" width="13.125" style="1627" customWidth="1"/>
    <col min="9731" max="9731" width="15.625" style="1627" customWidth="1"/>
    <col min="9732" max="9732" width="9.375" style="1627" bestFit="1" customWidth="1"/>
    <col min="9733" max="9733" width="13.5" style="1627" customWidth="1"/>
    <col min="9734" max="9734" width="8.875" style="1627"/>
    <col min="9735" max="9735" width="9.375" style="1627" bestFit="1" customWidth="1"/>
    <col min="9736" max="9737" width="8.875" style="1627"/>
    <col min="9738" max="9738" width="9.375" style="1627" bestFit="1" customWidth="1"/>
    <col min="9739" max="9739" width="4" style="1627" customWidth="1"/>
    <col min="9740" max="9740" width="5.125" style="1627" customWidth="1"/>
    <col min="9741" max="9741" width="13.625" style="1627" customWidth="1"/>
    <col min="9742" max="9984" width="8.875" style="1627"/>
    <col min="9985" max="9985" width="4.875" style="1627" customWidth="1"/>
    <col min="9986" max="9986" width="13.125" style="1627" customWidth="1"/>
    <col min="9987" max="9987" width="15.625" style="1627" customWidth="1"/>
    <col min="9988" max="9988" width="9.375" style="1627" bestFit="1" customWidth="1"/>
    <col min="9989" max="9989" width="13.5" style="1627" customWidth="1"/>
    <col min="9990" max="9990" width="8.875" style="1627"/>
    <col min="9991" max="9991" width="9.375" style="1627" bestFit="1" customWidth="1"/>
    <col min="9992" max="9993" width="8.875" style="1627"/>
    <col min="9994" max="9994" width="9.375" style="1627" bestFit="1" customWidth="1"/>
    <col min="9995" max="9995" width="4" style="1627" customWidth="1"/>
    <col min="9996" max="9996" width="5.125" style="1627" customWidth="1"/>
    <col min="9997" max="9997" width="13.625" style="1627" customWidth="1"/>
    <col min="9998" max="10240" width="8.875" style="1627"/>
    <col min="10241" max="10241" width="4.875" style="1627" customWidth="1"/>
    <col min="10242" max="10242" width="13.125" style="1627" customWidth="1"/>
    <col min="10243" max="10243" width="15.625" style="1627" customWidth="1"/>
    <col min="10244" max="10244" width="9.375" style="1627" bestFit="1" customWidth="1"/>
    <col min="10245" max="10245" width="13.5" style="1627" customWidth="1"/>
    <col min="10246" max="10246" width="8.875" style="1627"/>
    <col min="10247" max="10247" width="9.375" style="1627" bestFit="1" customWidth="1"/>
    <col min="10248" max="10249" width="8.875" style="1627"/>
    <col min="10250" max="10250" width="9.375" style="1627" bestFit="1" customWidth="1"/>
    <col min="10251" max="10251" width="4" style="1627" customWidth="1"/>
    <col min="10252" max="10252" width="5.125" style="1627" customWidth="1"/>
    <col min="10253" max="10253" width="13.625" style="1627" customWidth="1"/>
    <col min="10254" max="10496" width="8.875" style="1627"/>
    <col min="10497" max="10497" width="4.875" style="1627" customWidth="1"/>
    <col min="10498" max="10498" width="13.125" style="1627" customWidth="1"/>
    <col min="10499" max="10499" width="15.625" style="1627" customWidth="1"/>
    <col min="10500" max="10500" width="9.375" style="1627" bestFit="1" customWidth="1"/>
    <col min="10501" max="10501" width="13.5" style="1627" customWidth="1"/>
    <col min="10502" max="10502" width="8.875" style="1627"/>
    <col min="10503" max="10503" width="9.375" style="1627" bestFit="1" customWidth="1"/>
    <col min="10504" max="10505" width="8.875" style="1627"/>
    <col min="10506" max="10506" width="9.375" style="1627" bestFit="1" customWidth="1"/>
    <col min="10507" max="10507" width="4" style="1627" customWidth="1"/>
    <col min="10508" max="10508" width="5.125" style="1627" customWidth="1"/>
    <col min="10509" max="10509" width="13.625" style="1627" customWidth="1"/>
    <col min="10510" max="10752" width="8.875" style="1627"/>
    <col min="10753" max="10753" width="4.875" style="1627" customWidth="1"/>
    <col min="10754" max="10754" width="13.125" style="1627" customWidth="1"/>
    <col min="10755" max="10755" width="15.625" style="1627" customWidth="1"/>
    <col min="10756" max="10756" width="9.375" style="1627" bestFit="1" customWidth="1"/>
    <col min="10757" max="10757" width="13.5" style="1627" customWidth="1"/>
    <col min="10758" max="10758" width="8.875" style="1627"/>
    <col min="10759" max="10759" width="9.375" style="1627" bestFit="1" customWidth="1"/>
    <col min="10760" max="10761" width="8.875" style="1627"/>
    <col min="10762" max="10762" width="9.375" style="1627" bestFit="1" customWidth="1"/>
    <col min="10763" max="10763" width="4" style="1627" customWidth="1"/>
    <col min="10764" max="10764" width="5.125" style="1627" customWidth="1"/>
    <col min="10765" max="10765" width="13.625" style="1627" customWidth="1"/>
    <col min="10766" max="11008" width="8.875" style="1627"/>
    <col min="11009" max="11009" width="4.875" style="1627" customWidth="1"/>
    <col min="11010" max="11010" width="13.125" style="1627" customWidth="1"/>
    <col min="11011" max="11011" width="15.625" style="1627" customWidth="1"/>
    <col min="11012" max="11012" width="9.375" style="1627" bestFit="1" customWidth="1"/>
    <col min="11013" max="11013" width="13.5" style="1627" customWidth="1"/>
    <col min="11014" max="11014" width="8.875" style="1627"/>
    <col min="11015" max="11015" width="9.375" style="1627" bestFit="1" customWidth="1"/>
    <col min="11016" max="11017" width="8.875" style="1627"/>
    <col min="11018" max="11018" width="9.375" style="1627" bestFit="1" customWidth="1"/>
    <col min="11019" max="11019" width="4" style="1627" customWidth="1"/>
    <col min="11020" max="11020" width="5.125" style="1627" customWidth="1"/>
    <col min="11021" max="11021" width="13.625" style="1627" customWidth="1"/>
    <col min="11022" max="11264" width="8.875" style="1627"/>
    <col min="11265" max="11265" width="4.875" style="1627" customWidth="1"/>
    <col min="11266" max="11266" width="13.125" style="1627" customWidth="1"/>
    <col min="11267" max="11267" width="15.625" style="1627" customWidth="1"/>
    <col min="11268" max="11268" width="9.375" style="1627" bestFit="1" customWidth="1"/>
    <col min="11269" max="11269" width="13.5" style="1627" customWidth="1"/>
    <col min="11270" max="11270" width="8.875" style="1627"/>
    <col min="11271" max="11271" width="9.375" style="1627" bestFit="1" customWidth="1"/>
    <col min="11272" max="11273" width="8.875" style="1627"/>
    <col min="11274" max="11274" width="9.375" style="1627" bestFit="1" customWidth="1"/>
    <col min="11275" max="11275" width="4" style="1627" customWidth="1"/>
    <col min="11276" max="11276" width="5.125" style="1627" customWidth="1"/>
    <col min="11277" max="11277" width="13.625" style="1627" customWidth="1"/>
    <col min="11278" max="11520" width="8.875" style="1627"/>
    <col min="11521" max="11521" width="4.875" style="1627" customWidth="1"/>
    <col min="11522" max="11522" width="13.125" style="1627" customWidth="1"/>
    <col min="11523" max="11523" width="15.625" style="1627" customWidth="1"/>
    <col min="11524" max="11524" width="9.375" style="1627" bestFit="1" customWidth="1"/>
    <col min="11525" max="11525" width="13.5" style="1627" customWidth="1"/>
    <col min="11526" max="11526" width="8.875" style="1627"/>
    <col min="11527" max="11527" width="9.375" style="1627" bestFit="1" customWidth="1"/>
    <col min="11528" max="11529" width="8.875" style="1627"/>
    <col min="11530" max="11530" width="9.375" style="1627" bestFit="1" customWidth="1"/>
    <col min="11531" max="11531" width="4" style="1627" customWidth="1"/>
    <col min="11532" max="11532" width="5.125" style="1627" customWidth="1"/>
    <col min="11533" max="11533" width="13.625" style="1627" customWidth="1"/>
    <col min="11534" max="11776" width="8.875" style="1627"/>
    <col min="11777" max="11777" width="4.875" style="1627" customWidth="1"/>
    <col min="11778" max="11778" width="13.125" style="1627" customWidth="1"/>
    <col min="11779" max="11779" width="15.625" style="1627" customWidth="1"/>
    <col min="11780" max="11780" width="9.375" style="1627" bestFit="1" customWidth="1"/>
    <col min="11781" max="11781" width="13.5" style="1627" customWidth="1"/>
    <col min="11782" max="11782" width="8.875" style="1627"/>
    <col min="11783" max="11783" width="9.375" style="1627" bestFit="1" customWidth="1"/>
    <col min="11784" max="11785" width="8.875" style="1627"/>
    <col min="11786" max="11786" width="9.375" style="1627" bestFit="1" customWidth="1"/>
    <col min="11787" max="11787" width="4" style="1627" customWidth="1"/>
    <col min="11788" max="11788" width="5.125" style="1627" customWidth="1"/>
    <col min="11789" max="11789" width="13.625" style="1627" customWidth="1"/>
    <col min="11790" max="12032" width="8.875" style="1627"/>
    <col min="12033" max="12033" width="4.875" style="1627" customWidth="1"/>
    <col min="12034" max="12034" width="13.125" style="1627" customWidth="1"/>
    <col min="12035" max="12035" width="15.625" style="1627" customWidth="1"/>
    <col min="12036" max="12036" width="9.375" style="1627" bestFit="1" customWidth="1"/>
    <col min="12037" max="12037" width="13.5" style="1627" customWidth="1"/>
    <col min="12038" max="12038" width="8.875" style="1627"/>
    <col min="12039" max="12039" width="9.375" style="1627" bestFit="1" customWidth="1"/>
    <col min="12040" max="12041" width="8.875" style="1627"/>
    <col min="12042" max="12042" width="9.375" style="1627" bestFit="1" customWidth="1"/>
    <col min="12043" max="12043" width="4" style="1627" customWidth="1"/>
    <col min="12044" max="12044" width="5.125" style="1627" customWidth="1"/>
    <col min="12045" max="12045" width="13.625" style="1627" customWidth="1"/>
    <col min="12046" max="12288" width="8.875" style="1627"/>
    <col min="12289" max="12289" width="4.875" style="1627" customWidth="1"/>
    <col min="12290" max="12290" width="13.125" style="1627" customWidth="1"/>
    <col min="12291" max="12291" width="15.625" style="1627" customWidth="1"/>
    <col min="12292" max="12292" width="9.375" style="1627" bestFit="1" customWidth="1"/>
    <col min="12293" max="12293" width="13.5" style="1627" customWidth="1"/>
    <col min="12294" max="12294" width="8.875" style="1627"/>
    <col min="12295" max="12295" width="9.375" style="1627" bestFit="1" customWidth="1"/>
    <col min="12296" max="12297" width="8.875" style="1627"/>
    <col min="12298" max="12298" width="9.375" style="1627" bestFit="1" customWidth="1"/>
    <col min="12299" max="12299" width="4" style="1627" customWidth="1"/>
    <col min="12300" max="12300" width="5.125" style="1627" customWidth="1"/>
    <col min="12301" max="12301" width="13.625" style="1627" customWidth="1"/>
    <col min="12302" max="12544" width="8.875" style="1627"/>
    <col min="12545" max="12545" width="4.875" style="1627" customWidth="1"/>
    <col min="12546" max="12546" width="13.125" style="1627" customWidth="1"/>
    <col min="12547" max="12547" width="15.625" style="1627" customWidth="1"/>
    <col min="12548" max="12548" width="9.375" style="1627" bestFit="1" customWidth="1"/>
    <col min="12549" max="12549" width="13.5" style="1627" customWidth="1"/>
    <col min="12550" max="12550" width="8.875" style="1627"/>
    <col min="12551" max="12551" width="9.375" style="1627" bestFit="1" customWidth="1"/>
    <col min="12552" max="12553" width="8.875" style="1627"/>
    <col min="12554" max="12554" width="9.375" style="1627" bestFit="1" customWidth="1"/>
    <col min="12555" max="12555" width="4" style="1627" customWidth="1"/>
    <col min="12556" max="12556" width="5.125" style="1627" customWidth="1"/>
    <col min="12557" max="12557" width="13.625" style="1627" customWidth="1"/>
    <col min="12558" max="12800" width="8.875" style="1627"/>
    <col min="12801" max="12801" width="4.875" style="1627" customWidth="1"/>
    <col min="12802" max="12802" width="13.125" style="1627" customWidth="1"/>
    <col min="12803" max="12803" width="15.625" style="1627" customWidth="1"/>
    <col min="12804" max="12804" width="9.375" style="1627" bestFit="1" customWidth="1"/>
    <col min="12805" max="12805" width="13.5" style="1627" customWidth="1"/>
    <col min="12806" max="12806" width="8.875" style="1627"/>
    <col min="12807" max="12807" width="9.375" style="1627" bestFit="1" customWidth="1"/>
    <col min="12808" max="12809" width="8.875" style="1627"/>
    <col min="12810" max="12810" width="9.375" style="1627" bestFit="1" customWidth="1"/>
    <col min="12811" max="12811" width="4" style="1627" customWidth="1"/>
    <col min="12812" max="12812" width="5.125" style="1627" customWidth="1"/>
    <col min="12813" max="12813" width="13.625" style="1627" customWidth="1"/>
    <col min="12814" max="13056" width="8.875" style="1627"/>
    <col min="13057" max="13057" width="4.875" style="1627" customWidth="1"/>
    <col min="13058" max="13058" width="13.125" style="1627" customWidth="1"/>
    <col min="13059" max="13059" width="15.625" style="1627" customWidth="1"/>
    <col min="13060" max="13060" width="9.375" style="1627" bestFit="1" customWidth="1"/>
    <col min="13061" max="13061" width="13.5" style="1627" customWidth="1"/>
    <col min="13062" max="13062" width="8.875" style="1627"/>
    <col min="13063" max="13063" width="9.375" style="1627" bestFit="1" customWidth="1"/>
    <col min="13064" max="13065" width="8.875" style="1627"/>
    <col min="13066" max="13066" width="9.375" style="1627" bestFit="1" customWidth="1"/>
    <col min="13067" max="13067" width="4" style="1627" customWidth="1"/>
    <col min="13068" max="13068" width="5.125" style="1627" customWidth="1"/>
    <col min="13069" max="13069" width="13.625" style="1627" customWidth="1"/>
    <col min="13070" max="13312" width="8.875" style="1627"/>
    <col min="13313" max="13313" width="4.875" style="1627" customWidth="1"/>
    <col min="13314" max="13314" width="13.125" style="1627" customWidth="1"/>
    <col min="13315" max="13315" width="15.625" style="1627" customWidth="1"/>
    <col min="13316" max="13316" width="9.375" style="1627" bestFit="1" customWidth="1"/>
    <col min="13317" max="13317" width="13.5" style="1627" customWidth="1"/>
    <col min="13318" max="13318" width="8.875" style="1627"/>
    <col min="13319" max="13319" width="9.375" style="1627" bestFit="1" customWidth="1"/>
    <col min="13320" max="13321" width="8.875" style="1627"/>
    <col min="13322" max="13322" width="9.375" style="1627" bestFit="1" customWidth="1"/>
    <col min="13323" max="13323" width="4" style="1627" customWidth="1"/>
    <col min="13324" max="13324" width="5.125" style="1627" customWidth="1"/>
    <col min="13325" max="13325" width="13.625" style="1627" customWidth="1"/>
    <col min="13326" max="13568" width="8.875" style="1627"/>
    <col min="13569" max="13569" width="4.875" style="1627" customWidth="1"/>
    <col min="13570" max="13570" width="13.125" style="1627" customWidth="1"/>
    <col min="13571" max="13571" width="15.625" style="1627" customWidth="1"/>
    <col min="13572" max="13572" width="9.375" style="1627" bestFit="1" customWidth="1"/>
    <col min="13573" max="13573" width="13.5" style="1627" customWidth="1"/>
    <col min="13574" max="13574" width="8.875" style="1627"/>
    <col min="13575" max="13575" width="9.375" style="1627" bestFit="1" customWidth="1"/>
    <col min="13576" max="13577" width="8.875" style="1627"/>
    <col min="13578" max="13578" width="9.375" style="1627" bestFit="1" customWidth="1"/>
    <col min="13579" max="13579" width="4" style="1627" customWidth="1"/>
    <col min="13580" max="13580" width="5.125" style="1627" customWidth="1"/>
    <col min="13581" max="13581" width="13.625" style="1627" customWidth="1"/>
    <col min="13582" max="13824" width="8.875" style="1627"/>
    <col min="13825" max="13825" width="4.875" style="1627" customWidth="1"/>
    <col min="13826" max="13826" width="13.125" style="1627" customWidth="1"/>
    <col min="13827" max="13827" width="15.625" style="1627" customWidth="1"/>
    <col min="13828" max="13828" width="9.375" style="1627" bestFit="1" customWidth="1"/>
    <col min="13829" max="13829" width="13.5" style="1627" customWidth="1"/>
    <col min="13830" max="13830" width="8.875" style="1627"/>
    <col min="13831" max="13831" width="9.375" style="1627" bestFit="1" customWidth="1"/>
    <col min="13832" max="13833" width="8.875" style="1627"/>
    <col min="13834" max="13834" width="9.375" style="1627" bestFit="1" customWidth="1"/>
    <col min="13835" max="13835" width="4" style="1627" customWidth="1"/>
    <col min="13836" max="13836" width="5.125" style="1627" customWidth="1"/>
    <col min="13837" max="13837" width="13.625" style="1627" customWidth="1"/>
    <col min="13838" max="14080" width="8.875" style="1627"/>
    <col min="14081" max="14081" width="4.875" style="1627" customWidth="1"/>
    <col min="14082" max="14082" width="13.125" style="1627" customWidth="1"/>
    <col min="14083" max="14083" width="15.625" style="1627" customWidth="1"/>
    <col min="14084" max="14084" width="9.375" style="1627" bestFit="1" customWidth="1"/>
    <col min="14085" max="14085" width="13.5" style="1627" customWidth="1"/>
    <col min="14086" max="14086" width="8.875" style="1627"/>
    <col min="14087" max="14087" width="9.375" style="1627" bestFit="1" customWidth="1"/>
    <col min="14088" max="14089" width="8.875" style="1627"/>
    <col min="14090" max="14090" width="9.375" style="1627" bestFit="1" customWidth="1"/>
    <col min="14091" max="14091" width="4" style="1627" customWidth="1"/>
    <col min="14092" max="14092" width="5.125" style="1627" customWidth="1"/>
    <col min="14093" max="14093" width="13.625" style="1627" customWidth="1"/>
    <col min="14094" max="14336" width="8.875" style="1627"/>
    <col min="14337" max="14337" width="4.875" style="1627" customWidth="1"/>
    <col min="14338" max="14338" width="13.125" style="1627" customWidth="1"/>
    <col min="14339" max="14339" width="15.625" style="1627" customWidth="1"/>
    <col min="14340" max="14340" width="9.375" style="1627" bestFit="1" customWidth="1"/>
    <col min="14341" max="14341" width="13.5" style="1627" customWidth="1"/>
    <col min="14342" max="14342" width="8.875" style="1627"/>
    <col min="14343" max="14343" width="9.375" style="1627" bestFit="1" customWidth="1"/>
    <col min="14344" max="14345" width="8.875" style="1627"/>
    <col min="14346" max="14346" width="9.375" style="1627" bestFit="1" customWidth="1"/>
    <col min="14347" max="14347" width="4" style="1627" customWidth="1"/>
    <col min="14348" max="14348" width="5.125" style="1627" customWidth="1"/>
    <col min="14349" max="14349" width="13.625" style="1627" customWidth="1"/>
    <col min="14350" max="14592" width="8.875" style="1627"/>
    <col min="14593" max="14593" width="4.875" style="1627" customWidth="1"/>
    <col min="14594" max="14594" width="13.125" style="1627" customWidth="1"/>
    <col min="14595" max="14595" width="15.625" style="1627" customWidth="1"/>
    <col min="14596" max="14596" width="9.375" style="1627" bestFit="1" customWidth="1"/>
    <col min="14597" max="14597" width="13.5" style="1627" customWidth="1"/>
    <col min="14598" max="14598" width="8.875" style="1627"/>
    <col min="14599" max="14599" width="9.375" style="1627" bestFit="1" customWidth="1"/>
    <col min="14600" max="14601" width="8.875" style="1627"/>
    <col min="14602" max="14602" width="9.375" style="1627" bestFit="1" customWidth="1"/>
    <col min="14603" max="14603" width="4" style="1627" customWidth="1"/>
    <col min="14604" max="14604" width="5.125" style="1627" customWidth="1"/>
    <col min="14605" max="14605" width="13.625" style="1627" customWidth="1"/>
    <col min="14606" max="14848" width="8.875" style="1627"/>
    <col min="14849" max="14849" width="4.875" style="1627" customWidth="1"/>
    <col min="14850" max="14850" width="13.125" style="1627" customWidth="1"/>
    <col min="14851" max="14851" width="15.625" style="1627" customWidth="1"/>
    <col min="14852" max="14852" width="9.375" style="1627" bestFit="1" customWidth="1"/>
    <col min="14853" max="14853" width="13.5" style="1627" customWidth="1"/>
    <col min="14854" max="14854" width="8.875" style="1627"/>
    <col min="14855" max="14855" width="9.375" style="1627" bestFit="1" customWidth="1"/>
    <col min="14856" max="14857" width="8.875" style="1627"/>
    <col min="14858" max="14858" width="9.375" style="1627" bestFit="1" customWidth="1"/>
    <col min="14859" max="14859" width="4" style="1627" customWidth="1"/>
    <col min="14860" max="14860" width="5.125" style="1627" customWidth="1"/>
    <col min="14861" max="14861" width="13.625" style="1627" customWidth="1"/>
    <col min="14862" max="15104" width="8.875" style="1627"/>
    <col min="15105" max="15105" width="4.875" style="1627" customWidth="1"/>
    <col min="15106" max="15106" width="13.125" style="1627" customWidth="1"/>
    <col min="15107" max="15107" width="15.625" style="1627" customWidth="1"/>
    <col min="15108" max="15108" width="9.375" style="1627" bestFit="1" customWidth="1"/>
    <col min="15109" max="15109" width="13.5" style="1627" customWidth="1"/>
    <col min="15110" max="15110" width="8.875" style="1627"/>
    <col min="15111" max="15111" width="9.375" style="1627" bestFit="1" customWidth="1"/>
    <col min="15112" max="15113" width="8.875" style="1627"/>
    <col min="15114" max="15114" width="9.375" style="1627" bestFit="1" customWidth="1"/>
    <col min="15115" max="15115" width="4" style="1627" customWidth="1"/>
    <col min="15116" max="15116" width="5.125" style="1627" customWidth="1"/>
    <col min="15117" max="15117" width="13.625" style="1627" customWidth="1"/>
    <col min="15118" max="15360" width="8.875" style="1627"/>
    <col min="15361" max="15361" width="4.875" style="1627" customWidth="1"/>
    <col min="15362" max="15362" width="13.125" style="1627" customWidth="1"/>
    <col min="15363" max="15363" width="15.625" style="1627" customWidth="1"/>
    <col min="15364" max="15364" width="9.375" style="1627" bestFit="1" customWidth="1"/>
    <col min="15365" max="15365" width="13.5" style="1627" customWidth="1"/>
    <col min="15366" max="15366" width="8.875" style="1627"/>
    <col min="15367" max="15367" width="9.375" style="1627" bestFit="1" customWidth="1"/>
    <col min="15368" max="15369" width="8.875" style="1627"/>
    <col min="15370" max="15370" width="9.375" style="1627" bestFit="1" customWidth="1"/>
    <col min="15371" max="15371" width="4" style="1627" customWidth="1"/>
    <col min="15372" max="15372" width="5.125" style="1627" customWidth="1"/>
    <col min="15373" max="15373" width="13.625" style="1627" customWidth="1"/>
    <col min="15374" max="15616" width="8.875" style="1627"/>
    <col min="15617" max="15617" width="4.875" style="1627" customWidth="1"/>
    <col min="15618" max="15618" width="13.125" style="1627" customWidth="1"/>
    <col min="15619" max="15619" width="15.625" style="1627" customWidth="1"/>
    <col min="15620" max="15620" width="9.375" style="1627" bestFit="1" customWidth="1"/>
    <col min="15621" max="15621" width="13.5" style="1627" customWidth="1"/>
    <col min="15622" max="15622" width="8.875" style="1627"/>
    <col min="15623" max="15623" width="9.375" style="1627" bestFit="1" customWidth="1"/>
    <col min="15624" max="15625" width="8.875" style="1627"/>
    <col min="15626" max="15626" width="9.375" style="1627" bestFit="1" customWidth="1"/>
    <col min="15627" max="15627" width="4" style="1627" customWidth="1"/>
    <col min="15628" max="15628" width="5.125" style="1627" customWidth="1"/>
    <col min="15629" max="15629" width="13.625" style="1627" customWidth="1"/>
    <col min="15630" max="15872" width="8.875" style="1627"/>
    <col min="15873" max="15873" width="4.875" style="1627" customWidth="1"/>
    <col min="15874" max="15874" width="13.125" style="1627" customWidth="1"/>
    <col min="15875" max="15875" width="15.625" style="1627" customWidth="1"/>
    <col min="15876" max="15876" width="9.375" style="1627" bestFit="1" customWidth="1"/>
    <col min="15877" max="15877" width="13.5" style="1627" customWidth="1"/>
    <col min="15878" max="15878" width="8.875" style="1627"/>
    <col min="15879" max="15879" width="9.375" style="1627" bestFit="1" customWidth="1"/>
    <col min="15880" max="15881" width="8.875" style="1627"/>
    <col min="15882" max="15882" width="9.375" style="1627" bestFit="1" customWidth="1"/>
    <col min="15883" max="15883" width="4" style="1627" customWidth="1"/>
    <col min="15884" max="15884" width="5.125" style="1627" customWidth="1"/>
    <col min="15885" max="15885" width="13.625" style="1627" customWidth="1"/>
    <col min="15886" max="16128" width="8.875" style="1627"/>
    <col min="16129" max="16129" width="4.875" style="1627" customWidth="1"/>
    <col min="16130" max="16130" width="13.125" style="1627" customWidth="1"/>
    <col min="16131" max="16131" width="15.625" style="1627" customWidth="1"/>
    <col min="16132" max="16132" width="9.375" style="1627" bestFit="1" customWidth="1"/>
    <col min="16133" max="16133" width="13.5" style="1627" customWidth="1"/>
    <col min="16134" max="16134" width="8.875" style="1627"/>
    <col min="16135" max="16135" width="9.375" style="1627" bestFit="1" customWidth="1"/>
    <col min="16136" max="16137" width="8.875" style="1627"/>
    <col min="16138" max="16138" width="9.375" style="1627" bestFit="1" customWidth="1"/>
    <col min="16139" max="16139" width="4" style="1627" customWidth="1"/>
    <col min="16140" max="16140" width="5.125" style="1627" customWidth="1"/>
    <col min="16141" max="16141" width="13.625" style="1627" customWidth="1"/>
    <col min="16142" max="16384" width="8.875" style="1627"/>
  </cols>
  <sheetData>
    <row r="1" spans="1:257" s="1691" customFormat="1" ht="14.25" thickBot="1">
      <c r="A1" s="1685"/>
      <c r="B1" s="1692" t="s">
        <v>1300</v>
      </c>
      <c r="C1" s="1686">
        <f>项目基本情况!D3</f>
        <v>43332</v>
      </c>
      <c r="D1" s="1692" t="s">
        <v>1301</v>
      </c>
      <c r="E1" s="1687">
        <f>'数据-取费表'!B22</f>
        <v>4</v>
      </c>
      <c r="F1" s="1692" t="s">
        <v>1302</v>
      </c>
      <c r="G1" s="1688">
        <f ca="1">INDIRECT("d"&amp;$K$1)/100</f>
        <v>4.7500000000000001E-2</v>
      </c>
      <c r="H1" s="1692" t="s">
        <v>1332</v>
      </c>
      <c r="I1" s="1688">
        <f ca="1">F4/100</f>
        <v>1.4999999999999999E-2</v>
      </c>
      <c r="J1" s="1693">
        <f>IF(C1&gt;C13,0,MATCH(C1,C$13:C$100,-1))+IF(SUMIF(C13:C100,C1,D13:D100)=0,13,12)</f>
        <v>13</v>
      </c>
      <c r="K1" s="1693">
        <f>MATCH(E1,C3:C7,1)+IF(SUMIF(C3:C7,E1,D3:D7)=0,2,1)</f>
        <v>6</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ColWidth="8.875" defaultRowHeight="13.5"/>
  <sheetData/>
  <phoneticPr fontId="143"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75" defaultRowHeight="13.5"/>
  <sheetData/>
  <phoneticPr fontId="14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37" customWidth="1"/>
    <col min="2" max="3" width="22.375" style="1937" customWidth="1"/>
    <col min="4" max="4" width="23" style="1937" customWidth="1"/>
    <col min="5" max="16384" width="8.875" style="1937"/>
  </cols>
  <sheetData>
    <row r="1" spans="1:4" ht="18.75">
      <c r="A1" s="3180" t="s">
        <v>1662</v>
      </c>
      <c r="B1" s="3180"/>
      <c r="C1" s="3180"/>
      <c r="D1" s="3180"/>
    </row>
    <row r="2" spans="1:4" ht="18">
      <c r="A2" s="3181" t="s">
        <v>1646</v>
      </c>
      <c r="B2" s="3181"/>
      <c r="C2" s="3181"/>
      <c r="D2" s="3181"/>
    </row>
    <row r="3" spans="1:4" ht="18.75">
      <c r="A3" s="1969" t="s">
        <v>1647</v>
      </c>
      <c r="B3" s="1969" t="s">
        <v>1648</v>
      </c>
      <c r="C3" s="1969" t="s">
        <v>1649</v>
      </c>
      <c r="D3" s="1969" t="s">
        <v>1650</v>
      </c>
    </row>
    <row r="4" spans="1:4" ht="56.25" customHeight="1">
      <c r="A4" s="1970" t="str">
        <f>项目基本情况!B4</f>
        <v>王鹏</v>
      </c>
      <c r="B4" s="1971">
        <f ca="1">项目基本情况!C4</f>
        <v>1120050019</v>
      </c>
      <c r="C4" s="1972"/>
      <c r="D4" s="1973" t="s">
        <v>1651</v>
      </c>
    </row>
    <row r="5" spans="1:4" ht="56.25" customHeight="1">
      <c r="A5" s="1970" t="str">
        <f>项目基本情况!D4</f>
        <v>郑燚</v>
      </c>
      <c r="B5" s="1971">
        <f ca="1">项目基本情况!E4</f>
        <v>1120070131</v>
      </c>
      <c r="C5" s="1974"/>
      <c r="D5" s="1973" t="s">
        <v>1651</v>
      </c>
    </row>
    <row r="6" spans="1:4" ht="18">
      <c r="A6" s="3181" t="s">
        <v>1652</v>
      </c>
      <c r="B6" s="3181"/>
      <c r="C6" s="3181"/>
      <c r="D6" s="3181"/>
    </row>
    <row r="7" spans="1:4" ht="18.75">
      <c r="A7" s="1969" t="s">
        <v>1647</v>
      </c>
      <c r="B7" s="1971" t="s">
        <v>1653</v>
      </c>
      <c r="C7" s="1969" t="s">
        <v>1649</v>
      </c>
      <c r="D7" s="1969" t="s">
        <v>1650</v>
      </c>
    </row>
    <row r="8" spans="1:4" ht="56.25" customHeight="1">
      <c r="A8" s="1975" t="s">
        <v>869</v>
      </c>
      <c r="B8" s="1975" t="s">
        <v>1</v>
      </c>
      <c r="C8" s="1972"/>
      <c r="D8" s="1973" t="s">
        <v>1651</v>
      </c>
    </row>
    <row r="9" spans="1:4">
      <c r="A9" s="724"/>
      <c r="B9" s="724"/>
      <c r="C9" s="724"/>
      <c r="D9" s="724"/>
    </row>
    <row r="10" spans="1:4" ht="18.75">
      <c r="A10" s="1976" t="s">
        <v>1654</v>
      </c>
      <c r="B10" s="724"/>
      <c r="C10" s="724"/>
      <c r="D10" s="724"/>
    </row>
    <row r="11" spans="1:4" ht="30" customHeight="1">
      <c r="A11" s="3182" t="s">
        <v>1655</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1656</v>
      </c>
      <c r="B16" s="3186"/>
      <c r="C16" s="3186"/>
      <c r="D16" s="3186"/>
    </row>
    <row r="17" spans="1:4" ht="144" customHeight="1">
      <c r="A17" s="3186" t="s">
        <v>1657</v>
      </c>
      <c r="B17" s="3186"/>
      <c r="C17" s="3186"/>
      <c r="D17" s="3186"/>
    </row>
    <row r="18" spans="1:4" ht="15.75" customHeight="1">
      <c r="A18" s="3183" t="str">
        <f>IF(项目基本情况!B8="抵押",结果表!K120,"——")</f>
        <v>故，本次评估估价师知悉的除抵押担保权以外的法定优先受偿款为人民币5816万元整。</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1658</v>
      </c>
      <c r="B22" s="3188"/>
      <c r="C22" s="3188"/>
      <c r="D22" s="3188"/>
    </row>
    <row r="23" spans="1:4">
      <c r="A23" s="1977"/>
      <c r="B23" s="1949"/>
      <c r="C23" s="1949"/>
      <c r="D23" s="1949"/>
    </row>
    <row r="24" spans="1:4">
      <c r="A24" s="1977"/>
      <c r="B24" s="1949"/>
      <c r="C24" s="1949"/>
      <c r="D24" s="1949"/>
    </row>
    <row r="25" spans="1:4" ht="18.75">
      <c r="A25" s="1978" t="s">
        <v>1659</v>
      </c>
    </row>
    <row r="26" spans="1:4" ht="18">
      <c r="A26" s="1947"/>
    </row>
    <row r="27" spans="1:4" ht="18.75">
      <c r="A27" s="1947" t="s">
        <v>1660</v>
      </c>
    </row>
    <row r="30" spans="1:4" ht="18.75">
      <c r="D30" s="1978" t="s">
        <v>1661</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5" customWidth="1"/>
    <col min="3" max="10" width="12.5" style="1935" customWidth="1"/>
    <col min="11" max="16384" width="8.875"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5" customWidth="1"/>
    <col min="2" max="16384" width="14.5" style="1967"/>
  </cols>
  <sheetData>
    <row r="1" spans="1:7" s="1982" customFormat="1" ht="18.75">
      <c r="A1" s="1981" t="s">
        <v>1663</v>
      </c>
    </row>
    <row r="3" spans="1:7">
      <c r="A3" s="1983" t="s">
        <v>82</v>
      </c>
      <c r="B3" s="1967" t="s">
        <v>1664</v>
      </c>
      <c r="G3" s="1984"/>
    </row>
    <row r="4" spans="1:7">
      <c r="G4" s="1984"/>
    </row>
    <row r="5" spans="1:7">
      <c r="A5" s="1986" t="s">
        <v>73</v>
      </c>
      <c r="B5" s="1967" t="s">
        <v>1665</v>
      </c>
      <c r="G5" s="1984"/>
    </row>
    <row r="6" spans="1:7">
      <c r="G6" s="1984"/>
    </row>
    <row r="7" spans="1:7">
      <c r="A7" s="1987" t="s">
        <v>135</v>
      </c>
      <c r="B7" s="1967" t="s">
        <v>1666</v>
      </c>
      <c r="G7" s="1984"/>
    </row>
    <row r="8" spans="1:7">
      <c r="G8" s="1984"/>
    </row>
    <row r="9" spans="1:7">
      <c r="A9" s="1988" t="s">
        <v>74</v>
      </c>
      <c r="B9" s="1967" t="s">
        <v>1667</v>
      </c>
    </row>
    <row r="11" spans="1:7">
      <c r="A11" s="1989" t="s">
        <v>75</v>
      </c>
      <c r="B11" s="1990" t="s">
        <v>72</v>
      </c>
    </row>
    <row r="13" spans="1:7">
      <c r="A13" s="1991" t="s">
        <v>1668</v>
      </c>
    </row>
    <row r="15" spans="1:7" ht="13.5">
      <c r="A15" s="3194" t="s">
        <v>1669</v>
      </c>
      <c r="B15" s="3189" t="s">
        <v>136</v>
      </c>
      <c r="C15" s="3190"/>
    </row>
    <row r="16" spans="1:7" ht="13.5">
      <c r="A16" s="3195"/>
      <c r="B16" s="3189" t="s">
        <v>69</v>
      </c>
      <c r="C16" s="3190"/>
    </row>
    <row r="17" spans="1:3" ht="13.5">
      <c r="A17" s="3195"/>
      <c r="B17" s="3192" t="s">
        <v>1670</v>
      </c>
      <c r="C17" s="1992" t="s">
        <v>1669</v>
      </c>
    </row>
    <row r="18" spans="1:3" ht="13.5">
      <c r="A18" s="3195"/>
      <c r="B18" s="3192"/>
      <c r="C18" s="1992" t="s">
        <v>1671</v>
      </c>
    </row>
    <row r="19" spans="1:3" ht="13.5">
      <c r="A19" s="3195"/>
      <c r="B19" s="3192"/>
      <c r="C19" s="1992" t="s">
        <v>1672</v>
      </c>
    </row>
    <row r="20" spans="1:3" ht="13.5">
      <c r="A20" s="3196"/>
      <c r="B20" s="3191" t="s">
        <v>1673</v>
      </c>
      <c r="C20" s="3190"/>
    </row>
    <row r="21" spans="1:3" ht="13.5">
      <c r="A21" s="1993" t="s">
        <v>1674</v>
      </c>
      <c r="B21" s="1994"/>
      <c r="C21" s="1995"/>
    </row>
    <row r="22" spans="1:3" ht="13.5">
      <c r="A22" s="3193" t="s">
        <v>1675</v>
      </c>
      <c r="B22" s="3191" t="s">
        <v>1676</v>
      </c>
      <c r="C22" s="3190"/>
    </row>
    <row r="23" spans="1:3" ht="13.5">
      <c r="A23" s="3193"/>
      <c r="B23" s="3191" t="s">
        <v>1677</v>
      </c>
      <c r="C23" s="3190"/>
    </row>
    <row r="24" spans="1:3" ht="13.5">
      <c r="A24" s="3193"/>
      <c r="B24" s="3191" t="s">
        <v>1678</v>
      </c>
      <c r="C24" s="3190"/>
    </row>
    <row r="25" spans="1:3" ht="13.5">
      <c r="A25" s="3193"/>
      <c r="B25" s="3192" t="s">
        <v>1679</v>
      </c>
      <c r="C25" s="1992" t="s">
        <v>1680</v>
      </c>
    </row>
    <row r="26" spans="1:3" ht="13.5">
      <c r="A26" s="3193"/>
      <c r="B26" s="3192"/>
      <c r="C26" s="1992" t="s">
        <v>1681</v>
      </c>
    </row>
    <row r="27" spans="1:3" ht="13.5">
      <c r="A27" s="3193"/>
      <c r="B27" s="3192"/>
      <c r="C27" s="1992" t="s">
        <v>1682</v>
      </c>
    </row>
    <row r="28" spans="1:3" ht="13.5">
      <c r="A28" s="3193"/>
      <c r="B28" s="3192"/>
      <c r="C28" s="1992" t="s">
        <v>1683</v>
      </c>
    </row>
    <row r="29" spans="1:3" ht="13.5">
      <c r="A29" s="3193"/>
      <c r="B29" s="3192"/>
      <c r="C29" s="1992" t="s">
        <v>1684</v>
      </c>
    </row>
    <row r="30" spans="1:3" ht="13.5">
      <c r="A30" s="3193"/>
      <c r="B30" s="3192"/>
      <c r="C30" s="1992" t="s">
        <v>1685</v>
      </c>
    </row>
    <row r="31" spans="1:3" ht="13.5">
      <c r="A31" s="3193"/>
      <c r="B31" s="3192"/>
      <c r="C31" s="1992" t="s">
        <v>1686</v>
      </c>
    </row>
    <row r="32" spans="1:3" ht="13.5">
      <c r="A32" s="3193"/>
      <c r="B32" s="3192"/>
      <c r="C32" s="1992" t="s">
        <v>1687</v>
      </c>
    </row>
    <row r="33" spans="1:3" ht="13.5">
      <c r="A33" s="3193"/>
      <c r="B33" s="3192"/>
      <c r="C33" s="1992" t="s">
        <v>1688</v>
      </c>
    </row>
    <row r="34" spans="1:3">
      <c r="A34" s="1996" t="s">
        <v>76</v>
      </c>
    </row>
    <row r="37" spans="1:3">
      <c r="A37" s="1996" t="s">
        <v>1689</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43340</v>
      </c>
      <c r="C2" s="1012" t="s">
        <v>826</v>
      </c>
      <c r="D2" s="1012"/>
    </row>
    <row r="3" spans="1:6" ht="24" customHeight="1">
      <c r="A3" s="1013" t="s">
        <v>827</v>
      </c>
      <c r="B3" s="1014" t="s">
        <v>828</v>
      </c>
      <c r="C3" s="2335" t="s">
        <v>829</v>
      </c>
      <c r="D3" s="2338" t="s">
        <v>830</v>
      </c>
      <c r="E3" s="1015" t="s">
        <v>831</v>
      </c>
      <c r="F3" s="1014" t="s">
        <v>829</v>
      </c>
    </row>
    <row r="4" spans="1:6" ht="24" customHeight="1">
      <c r="A4" s="1694" t="s">
        <v>832</v>
      </c>
      <c r="B4" s="1015">
        <f ca="1">IF(C4&lt;B2,"已过期",1119970066)</f>
        <v>1119970066</v>
      </c>
      <c r="C4" s="2336">
        <v>43849</v>
      </c>
      <c r="D4" s="2339" t="s">
        <v>832</v>
      </c>
      <c r="E4" s="1015">
        <f ca="1">IF(F4&lt;B2,"已过期",96010014)</f>
        <v>96010014</v>
      </c>
      <c r="F4" s="1023">
        <v>47118</v>
      </c>
    </row>
    <row r="5" spans="1:6" ht="24" customHeight="1">
      <c r="A5" s="1694" t="s">
        <v>833</v>
      </c>
      <c r="B5" s="1015">
        <f ca="1">IF(C5&lt;B2,"已过期",1119970074)</f>
        <v>1119970074</v>
      </c>
      <c r="C5" s="2336">
        <v>43849</v>
      </c>
      <c r="D5" s="2339" t="s">
        <v>833</v>
      </c>
      <c r="E5" s="1015">
        <f ca="1">IF(F5&lt;B2,"已过期",2002110027)</f>
        <v>2002110027</v>
      </c>
      <c r="F5" s="1023">
        <v>46752</v>
      </c>
    </row>
    <row r="6" spans="1:6" ht="24" customHeight="1">
      <c r="A6" s="1694" t="s">
        <v>834</v>
      </c>
      <c r="B6" s="1015">
        <f ca="1">IF(C6&lt;B2,"已过期",1119970111)</f>
        <v>1119970111</v>
      </c>
      <c r="C6" s="2336">
        <v>43849</v>
      </c>
      <c r="D6" s="2339" t="s">
        <v>834</v>
      </c>
      <c r="E6" s="1015">
        <f ca="1">IF(F6&lt;B2,"已过期",94010078)</f>
        <v>94010078</v>
      </c>
      <c r="F6" s="1023">
        <v>46387</v>
      </c>
    </row>
    <row r="7" spans="1:6" ht="24" customHeight="1">
      <c r="A7" s="1694" t="s">
        <v>835</v>
      </c>
      <c r="B7" s="1015">
        <f ca="1">IF(C7&lt;B2,"已过期",1120050019)</f>
        <v>1120050019</v>
      </c>
      <c r="C7" s="2336">
        <v>44395</v>
      </c>
      <c r="D7" s="2339" t="s">
        <v>835</v>
      </c>
      <c r="E7" s="1015">
        <f ca="1">IF(F7&lt;B2,"已过期",2002110030)</f>
        <v>2002110030</v>
      </c>
      <c r="F7" s="1023">
        <v>46387</v>
      </c>
    </row>
    <row r="8" spans="1:6" ht="24" customHeight="1">
      <c r="A8" s="1694" t="s">
        <v>836</v>
      </c>
      <c r="B8" s="1015">
        <f ca="1">IF(C8&lt;B2,"已过期",1120000080)</f>
        <v>1120000080</v>
      </c>
      <c r="C8" s="2336">
        <v>43849</v>
      </c>
      <c r="D8" s="2339" t="s">
        <v>836</v>
      </c>
      <c r="E8" s="1015">
        <f ca="1">IF(F8&lt;B2,"已过期",2000110082)</f>
        <v>2000110082</v>
      </c>
      <c r="F8" s="1023">
        <v>46387</v>
      </c>
    </row>
    <row r="9" spans="1:6" ht="24" customHeight="1">
      <c r="A9" s="1694" t="s">
        <v>837</v>
      </c>
      <c r="B9" s="1015">
        <f ca="1">IF(C9&lt;B2,"已过期",1419970001)</f>
        <v>1419970001</v>
      </c>
      <c r="C9" s="2336">
        <v>43867</v>
      </c>
      <c r="D9" s="2339" t="s">
        <v>837</v>
      </c>
      <c r="E9" s="1015">
        <f ca="1">IF(F9&lt;B2,"已过期",2002110125)</f>
        <v>2002110125</v>
      </c>
      <c r="F9" s="1023">
        <v>47118</v>
      </c>
    </row>
    <row r="10" spans="1:6" ht="24" customHeight="1">
      <c r="A10" s="1694" t="s">
        <v>838</v>
      </c>
      <c r="B10" s="1015">
        <f ca="1">IF(C10&lt;B2,"已过期",1120060040)</f>
        <v>1120060040</v>
      </c>
      <c r="C10" s="2336">
        <v>43483</v>
      </c>
      <c r="D10" s="2339" t="s">
        <v>838</v>
      </c>
      <c r="E10" s="1015">
        <f ca="1">IF(F10&lt;B2,"已过期",2004110096)</f>
        <v>2004110096</v>
      </c>
      <c r="F10" s="1023">
        <v>47118</v>
      </c>
    </row>
    <row r="11" spans="1:6" ht="24" customHeight="1">
      <c r="A11" s="1694" t="s">
        <v>839</v>
      </c>
      <c r="B11" s="1015">
        <f ca="1">IF(C11&lt;B2,"已过期",1120100036)</f>
        <v>1120100036</v>
      </c>
      <c r="C11" s="2336">
        <v>43622</v>
      </c>
      <c r="D11" s="2339" t="s">
        <v>839</v>
      </c>
      <c r="E11" s="1015">
        <f ca="1">IF(F11&lt;B2,"已过期",2010110070)</f>
        <v>2010110070</v>
      </c>
      <c r="F11" s="1023">
        <v>47907</v>
      </c>
    </row>
    <row r="12" spans="1:6" ht="24" customHeight="1">
      <c r="A12" s="1694" t="s">
        <v>3031</v>
      </c>
      <c r="B12" s="1015">
        <v>1120110054</v>
      </c>
      <c r="C12" s="2930">
        <v>43937</v>
      </c>
      <c r="D12" s="1694" t="s">
        <v>3031</v>
      </c>
      <c r="E12" s="1015">
        <v>2008110060</v>
      </c>
      <c r="F12" s="1023">
        <v>47177</v>
      </c>
    </row>
    <row r="13" spans="1:6" ht="24" customHeight="1">
      <c r="A13" s="1694" t="s">
        <v>840</v>
      </c>
      <c r="B13" s="1015">
        <f ca="1">IF(C13&lt;B2,"已过期",1120070131)</f>
        <v>1120070131</v>
      </c>
      <c r="C13" s="2336">
        <v>43814</v>
      </c>
      <c r="D13" s="2339" t="s">
        <v>840</v>
      </c>
      <c r="E13" s="1015">
        <v>2014110011</v>
      </c>
      <c r="F13" s="1023">
        <v>49302</v>
      </c>
    </row>
    <row r="14" spans="1:6" ht="24" customHeight="1">
      <c r="A14" s="1694" t="s">
        <v>841</v>
      </c>
      <c r="B14" s="1015">
        <f ca="1">IF(C14&lt;B2,"已过期",1120130020)</f>
        <v>1120130020</v>
      </c>
      <c r="C14" s="2336">
        <v>43622</v>
      </c>
      <c r="D14" s="2339"/>
      <c r="E14" s="1015"/>
      <c r="F14" s="1015"/>
    </row>
    <row r="15" spans="1:6" ht="24" customHeight="1">
      <c r="A15" s="1695" t="s">
        <v>1149</v>
      </c>
      <c r="B15" s="1015">
        <v>1120070085</v>
      </c>
      <c r="C15" s="2336">
        <v>43814</v>
      </c>
      <c r="D15" s="2340" t="s">
        <v>1149</v>
      </c>
      <c r="E15" s="1015">
        <v>2004110128</v>
      </c>
      <c r="F15" s="1016">
        <v>47118</v>
      </c>
    </row>
    <row r="16" spans="1:6" ht="24" customHeight="1">
      <c r="A16" s="1694" t="s">
        <v>842</v>
      </c>
      <c r="B16" s="1015">
        <f ca="1">IF(C16&lt;B2,"已过期",1120140022)</f>
        <v>1120140022</v>
      </c>
      <c r="C16" s="2336">
        <v>44029</v>
      </c>
      <c r="D16" s="2339" t="s">
        <v>842</v>
      </c>
      <c r="E16" s="1015">
        <f ca="1">IF(F16&lt;B2,"已过期",2008110059)</f>
        <v>2008110059</v>
      </c>
      <c r="F16" s="1023">
        <v>47177</v>
      </c>
    </row>
    <row r="17" spans="1:7" ht="24" customHeight="1">
      <c r="A17" s="1694"/>
      <c r="B17" s="1015"/>
      <c r="C17" s="2336"/>
      <c r="D17" s="2339"/>
      <c r="E17" s="1015"/>
      <c r="F17" s="1023"/>
    </row>
    <row r="18" spans="1:7" ht="24" customHeight="1">
      <c r="A18" s="1694"/>
      <c r="B18" s="1015"/>
      <c r="C18" s="2336"/>
      <c r="D18" s="2339"/>
      <c r="E18" s="1015"/>
      <c r="F18" s="1023"/>
    </row>
    <row r="19" spans="1:7" ht="24" customHeight="1">
      <c r="A19" s="1694"/>
      <c r="B19" s="1015"/>
      <c r="C19" s="2336"/>
      <c r="D19" s="2339"/>
      <c r="E19" s="1015"/>
      <c r="F19" s="1015"/>
    </row>
    <row r="20" spans="1:7" ht="24" customHeight="1">
      <c r="A20" s="1694"/>
      <c r="B20" s="1015"/>
      <c r="C20" s="2336"/>
      <c r="D20" s="2339"/>
      <c r="E20" s="1015"/>
      <c r="F20" s="1015"/>
    </row>
    <row r="21" spans="1:7" ht="24" customHeight="1">
      <c r="A21" s="1694"/>
      <c r="B21" s="1015"/>
      <c r="C21" s="2336"/>
      <c r="D21" s="2339" t="s">
        <v>843</v>
      </c>
      <c r="E21" s="1015">
        <f ca="1">IF(F21&lt;B2,"已过期",2011110090)</f>
        <v>2011110090</v>
      </c>
      <c r="F21" s="1023">
        <v>48302</v>
      </c>
    </row>
    <row r="22" spans="1:7" ht="24" customHeight="1">
      <c r="A22" s="1694" t="s">
        <v>844</v>
      </c>
      <c r="B22" s="1015">
        <f ca="1">IF(C22&lt;B2,"已过期",1120020033)</f>
        <v>1120020033</v>
      </c>
      <c r="C22" s="2930">
        <v>44339</v>
      </c>
      <c r="D22" s="2339" t="s">
        <v>844</v>
      </c>
      <c r="E22" s="1015">
        <f ca="1">IF(F22&lt;B2,"已过期",2000110137)</f>
        <v>2000110137</v>
      </c>
      <c r="F22" s="1023">
        <v>46387</v>
      </c>
    </row>
    <row r="23" spans="1:7" ht="24" customHeight="1">
      <c r="A23" s="1694" t="s">
        <v>845</v>
      </c>
      <c r="B23" s="1015">
        <f ca="1">IF(C23&lt;B2,"已过期",1120130048)</f>
        <v>1120130048</v>
      </c>
      <c r="C23" s="2336">
        <v>43686</v>
      </c>
      <c r="D23" s="2339"/>
      <c r="E23" s="1015"/>
      <c r="F23" s="1015"/>
    </row>
    <row r="24" spans="1:7" s="1017" customFormat="1" ht="24" customHeight="1">
      <c r="A24" s="1695" t="s">
        <v>1333</v>
      </c>
      <c r="B24" s="1695" t="s">
        <v>1333</v>
      </c>
      <c r="C24" s="2337" t="s">
        <v>1333</v>
      </c>
      <c r="D24" s="2340" t="s">
        <v>1333</v>
      </c>
      <c r="E24" s="1695" t="s">
        <v>1333</v>
      </c>
      <c r="F24" s="1695" t="s">
        <v>1333</v>
      </c>
    </row>
    <row r="25" spans="1:7" ht="24" customHeight="1">
      <c r="A25" s="3197" t="s">
        <v>846</v>
      </c>
      <c r="B25" s="3197"/>
      <c r="C25" s="3197"/>
      <c r="D25" s="3197"/>
      <c r="E25" s="3197"/>
      <c r="F25" s="3197"/>
      <c r="G25" s="3197"/>
    </row>
    <row r="26" spans="1:7" s="1018" customFormat="1" ht="24" customHeight="1">
      <c r="A26" s="3198" t="s">
        <v>847</v>
      </c>
      <c r="B26" s="3198"/>
      <c r="C26" s="3199"/>
      <c r="D26" s="3200" t="s">
        <v>848</v>
      </c>
      <c r="E26" s="3198"/>
      <c r="F26" s="3198"/>
    </row>
    <row r="27" spans="1:7" s="1020" customFormat="1" ht="24" customHeight="1">
      <c r="A27" s="1019" t="s">
        <v>849</v>
      </c>
      <c r="B27" s="1014" t="s">
        <v>850</v>
      </c>
      <c r="C27" s="2335" t="s">
        <v>851</v>
      </c>
      <c r="D27" s="2343" t="s">
        <v>849</v>
      </c>
      <c r="E27" s="1014" t="s">
        <v>850</v>
      </c>
      <c r="F27" s="1014" t="s">
        <v>851</v>
      </c>
    </row>
    <row r="28" spans="1:7" s="1020" customFormat="1" ht="24" customHeight="1">
      <c r="A28" s="1021" t="s">
        <v>852</v>
      </c>
      <c r="B28" s="1022" t="s">
        <v>853</v>
      </c>
      <c r="C28" s="2341">
        <v>43725</v>
      </c>
      <c r="D28" s="2344" t="s">
        <v>854</v>
      </c>
      <c r="E28" s="1021" t="s">
        <v>855</v>
      </c>
      <c r="F28" s="1051">
        <v>44377</v>
      </c>
    </row>
    <row r="29" spans="1:7" s="1020" customFormat="1" ht="24" customHeight="1">
      <c r="A29" s="1021"/>
      <c r="B29" s="1021"/>
      <c r="C29" s="2342"/>
      <c r="D29" s="2344"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55" priority="66">
      <formula>AND($C28-TODAY()&lt;30,TODAY()&lt;$C28)</formula>
    </cfRule>
  </conditionalFormatting>
  <conditionalFormatting sqref="C28 F4">
    <cfRule type="cellIs" dxfId="254" priority="68" stopIfTrue="1" operator="lessThan">
      <formula>$B$2</formula>
    </cfRule>
  </conditionalFormatting>
  <conditionalFormatting sqref="C5">
    <cfRule type="expression" dxfId="253" priority="63">
      <formula>AND($C5-TODAY()&lt;30,TODAY()&lt;$C5)</formula>
    </cfRule>
  </conditionalFormatting>
  <conditionalFormatting sqref="C5 F5">
    <cfRule type="cellIs" dxfId="252" priority="64" stopIfTrue="1" operator="lessThan">
      <formula>$B$2</formula>
    </cfRule>
  </conditionalFormatting>
  <conditionalFormatting sqref="F6 F8 F10">
    <cfRule type="cellIs" dxfId="251" priority="62" stopIfTrue="1" operator="lessThan">
      <formula>$B$2</formula>
    </cfRule>
  </conditionalFormatting>
  <conditionalFormatting sqref="C4:C11 C13:C21 C23">
    <cfRule type="expression" dxfId="250" priority="60">
      <formula>AND($C4-TODAY()&lt;30,TODAY()&lt;$C4)</formula>
    </cfRule>
  </conditionalFormatting>
  <conditionalFormatting sqref="F7 F9 F11 C4:C11 C13:C21 C23">
    <cfRule type="cellIs" dxfId="249" priority="61" stopIfTrue="1" operator="lessThan">
      <formula>$B$2</formula>
    </cfRule>
  </conditionalFormatting>
  <conditionalFormatting sqref="C14">
    <cfRule type="expression" dxfId="248" priority="54">
      <formula>AND($C14-TODAY()&lt;30,TODAY()&lt;$C14)</formula>
    </cfRule>
  </conditionalFormatting>
  <conditionalFormatting sqref="C14">
    <cfRule type="cellIs" dxfId="247" priority="55" stopIfTrue="1" operator="lessThan">
      <formula>$B$2</formula>
    </cfRule>
  </conditionalFormatting>
  <conditionalFormatting sqref="C16">
    <cfRule type="expression" dxfId="246" priority="52">
      <formula>AND($C16-TODAY()&lt;30,TODAY()&lt;$C16)</formula>
    </cfRule>
  </conditionalFormatting>
  <conditionalFormatting sqref="C16">
    <cfRule type="cellIs" dxfId="245" priority="53" stopIfTrue="1" operator="lessThan">
      <formula>$B$2</formula>
    </cfRule>
  </conditionalFormatting>
  <conditionalFormatting sqref="C18">
    <cfRule type="expression" dxfId="244" priority="50">
      <formula>AND($C18-TODAY()&lt;30,TODAY()&lt;$C18)</formula>
    </cfRule>
  </conditionalFormatting>
  <conditionalFormatting sqref="C18">
    <cfRule type="cellIs" dxfId="243" priority="51" stopIfTrue="1" operator="lessThan">
      <formula>$B$2</formula>
    </cfRule>
  </conditionalFormatting>
  <conditionalFormatting sqref="C20">
    <cfRule type="expression" dxfId="242" priority="48">
      <formula>AND($C20-TODAY()&lt;30,TODAY()&lt;$C20)</formula>
    </cfRule>
  </conditionalFormatting>
  <conditionalFormatting sqref="C20">
    <cfRule type="cellIs" dxfId="241" priority="49" stopIfTrue="1" operator="lessThan">
      <formula>$B$2</formula>
    </cfRule>
  </conditionalFormatting>
  <conditionalFormatting sqref="C15">
    <cfRule type="expression" dxfId="240" priority="44">
      <formula>AND($C15-TODAY()&lt;30,TODAY()&lt;$C15)</formula>
    </cfRule>
  </conditionalFormatting>
  <conditionalFormatting sqref="C15">
    <cfRule type="cellIs" dxfId="239" priority="45" stopIfTrue="1" operator="lessThan">
      <formula>$B$2</formula>
    </cfRule>
  </conditionalFormatting>
  <conditionalFormatting sqref="C17">
    <cfRule type="expression" dxfId="238" priority="42">
      <formula>AND($C17-TODAY()&lt;30,TODAY()&lt;$C17)</formula>
    </cfRule>
  </conditionalFormatting>
  <conditionalFormatting sqref="C17">
    <cfRule type="cellIs" dxfId="237" priority="43" stopIfTrue="1" operator="lessThan">
      <formula>$B$2</formula>
    </cfRule>
  </conditionalFormatting>
  <conditionalFormatting sqref="C19">
    <cfRule type="expression" dxfId="236" priority="40">
      <formula>AND($C19-TODAY()&lt;30,TODAY()&lt;$C19)</formula>
    </cfRule>
  </conditionalFormatting>
  <conditionalFormatting sqref="C19">
    <cfRule type="cellIs" dxfId="235" priority="41" stopIfTrue="1" operator="lessThan">
      <formula>$B$2</formula>
    </cfRule>
  </conditionalFormatting>
  <conditionalFormatting sqref="C21">
    <cfRule type="expression" dxfId="234" priority="38">
      <formula>AND($C21-TODAY()&lt;30,TODAY()&lt;$C21)</formula>
    </cfRule>
  </conditionalFormatting>
  <conditionalFormatting sqref="C21">
    <cfRule type="cellIs" dxfId="233" priority="39" stopIfTrue="1" operator="lessThan">
      <formula>$B$2</formula>
    </cfRule>
  </conditionalFormatting>
  <conditionalFormatting sqref="C23">
    <cfRule type="expression" dxfId="232" priority="36">
      <formula>AND($C23-TODAY()&lt;30,TODAY()&lt;$C23)</formula>
    </cfRule>
  </conditionalFormatting>
  <conditionalFormatting sqref="C23">
    <cfRule type="cellIs" dxfId="231" priority="37" stopIfTrue="1" operator="lessThan">
      <formula>$B$2</formula>
    </cfRule>
  </conditionalFormatting>
  <conditionalFormatting sqref="F16">
    <cfRule type="cellIs" dxfId="230" priority="34" stopIfTrue="1" operator="lessThan">
      <formula>$B$2</formula>
    </cfRule>
  </conditionalFormatting>
  <conditionalFormatting sqref="F18">
    <cfRule type="cellIs" dxfId="229" priority="33" stopIfTrue="1" operator="lessThan">
      <formula>$B$2</formula>
    </cfRule>
  </conditionalFormatting>
  <conditionalFormatting sqref="F22">
    <cfRule type="cellIs" dxfId="228" priority="32" stopIfTrue="1" operator="lessThan">
      <formula>$B$2</formula>
    </cfRule>
  </conditionalFormatting>
  <conditionalFormatting sqref="F21">
    <cfRule type="cellIs" dxfId="227" priority="31" stopIfTrue="1" operator="lessThan">
      <formula>$B$2</formula>
    </cfRule>
  </conditionalFormatting>
  <conditionalFormatting sqref="F17">
    <cfRule type="cellIs" dxfId="226" priority="30" stopIfTrue="1" operator="lessThan">
      <formula>$B$2</formula>
    </cfRule>
  </conditionalFormatting>
  <conditionalFormatting sqref="B4:B11 E4:E11 B16:B23 E16:E23 B13:B14 E13:E14">
    <cfRule type="cellIs" dxfId="225" priority="29" stopIfTrue="1" operator="equal">
      <formula>"已过期"</formula>
    </cfRule>
  </conditionalFormatting>
  <conditionalFormatting sqref="A24:F24">
    <cfRule type="cellIs" dxfId="224" priority="25" stopIfTrue="1" operator="equal">
      <formula>"已过期"</formula>
    </cfRule>
  </conditionalFormatting>
  <conditionalFormatting sqref="F28">
    <cfRule type="expression" dxfId="223" priority="23">
      <formula>AND($E28-TODAY()&lt;30,TODAY()&lt;$E28)</formula>
    </cfRule>
  </conditionalFormatting>
  <conditionalFormatting sqref="F28">
    <cfRule type="cellIs" dxfId="222" priority="24" stopIfTrue="1" operator="lessThan">
      <formula>$B$2</formula>
    </cfRule>
  </conditionalFormatting>
  <conditionalFormatting sqref="F29">
    <cfRule type="expression" dxfId="221" priority="19" stopIfTrue="1">
      <formula>AND($E29-TODAY()&lt;30,TODAY()&lt;$E29)</formula>
    </cfRule>
  </conditionalFormatting>
  <conditionalFormatting sqref="F29">
    <cfRule type="cellIs" dxfId="220" priority="20" stopIfTrue="1" operator="lessThan">
      <formula>$B$2</formula>
    </cfRule>
  </conditionalFormatting>
  <conditionalFormatting sqref="B15">
    <cfRule type="cellIs" dxfId="219" priority="17" stopIfTrue="1" operator="equal">
      <formula>"已过期"</formula>
    </cfRule>
  </conditionalFormatting>
  <conditionalFormatting sqref="A15">
    <cfRule type="cellIs" dxfId="218" priority="16" stopIfTrue="1" operator="equal">
      <formula>"已过期"</formula>
    </cfRule>
  </conditionalFormatting>
  <conditionalFormatting sqref="C15">
    <cfRule type="expression" dxfId="217" priority="15">
      <formula>AND($C15-TODAY()&lt;30,TODAY()&lt;$C15)</formula>
    </cfRule>
  </conditionalFormatting>
  <conditionalFormatting sqref="E15">
    <cfRule type="cellIs" dxfId="216" priority="14" stopIfTrue="1" operator="equal">
      <formula>"已过期"</formula>
    </cfRule>
  </conditionalFormatting>
  <conditionalFormatting sqref="D15">
    <cfRule type="cellIs" dxfId="215" priority="13" stopIfTrue="1" operator="equal">
      <formula>"已过期"</formula>
    </cfRule>
  </conditionalFormatting>
  <conditionalFormatting sqref="F13">
    <cfRule type="cellIs" dxfId="214" priority="12" stopIfTrue="1" operator="lessThan">
      <formula>$B$2</formula>
    </cfRule>
  </conditionalFormatting>
  <conditionalFormatting sqref="C12">
    <cfRule type="expression" dxfId="213" priority="10">
      <formula>AND($C12-TODAY()&lt;30,TODAY()&lt;$C12)</formula>
    </cfRule>
  </conditionalFormatting>
  <conditionalFormatting sqref="C12">
    <cfRule type="cellIs" dxfId="212" priority="11" stopIfTrue="1" operator="lessThan">
      <formula>$B$2</formula>
    </cfRule>
  </conditionalFormatting>
  <conditionalFormatting sqref="C12">
    <cfRule type="expression" dxfId="211" priority="8">
      <formula>AND($C12-TODAY()&lt;30,TODAY()&lt;$C12)</formula>
    </cfRule>
  </conditionalFormatting>
  <conditionalFormatting sqref="C12">
    <cfRule type="cellIs" dxfId="210" priority="9" stopIfTrue="1" operator="lessThan">
      <formula>$B$2</formula>
    </cfRule>
  </conditionalFormatting>
  <conditionalFormatting sqref="B12">
    <cfRule type="cellIs" dxfId="209" priority="7" stopIfTrue="1" operator="equal">
      <formula>"已过期"</formula>
    </cfRule>
  </conditionalFormatting>
  <conditionalFormatting sqref="E12">
    <cfRule type="cellIs" dxfId="208" priority="6" stopIfTrue="1" operator="equal">
      <formula>"已过期"</formula>
    </cfRule>
  </conditionalFormatting>
  <conditionalFormatting sqref="F12">
    <cfRule type="cellIs" dxfId="207" priority="5" stopIfTrue="1" operator="lessThan">
      <formula>$B$2</formula>
    </cfRule>
  </conditionalFormatting>
  <conditionalFormatting sqref="C22">
    <cfRule type="expression" dxfId="206" priority="3">
      <formula>AND($C22-TODAY()&lt;30,TODAY()&lt;$C22)</formula>
    </cfRule>
  </conditionalFormatting>
  <conditionalFormatting sqref="C22">
    <cfRule type="cellIs" dxfId="205" priority="4" stopIfTrue="1" operator="lessThan">
      <formula>$B$2</formula>
    </cfRule>
  </conditionalFormatting>
  <conditionalFormatting sqref="C22">
    <cfRule type="expression" dxfId="204" priority="1">
      <formula>AND($C22-TODAY()&lt;30,TODAY()&lt;$C22)</formula>
    </cfRule>
  </conditionalFormatting>
  <conditionalFormatting sqref="C22">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172</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经济技术指标</vt:lpstr>
      <vt:lpstr>预测（地下商业、车库）</vt:lpstr>
      <vt:lpstr>预测（T1-3）</vt:lpstr>
      <vt:lpstr>数据-汇总表</vt:lpstr>
      <vt:lpstr>数据-取费表</vt:lpstr>
      <vt:lpstr>估价对象房地状况</vt:lpstr>
      <vt:lpstr>系统读取表</vt:lpstr>
      <vt:lpstr>结果表</vt:lpstr>
      <vt:lpstr>成本测算</vt:lpstr>
      <vt:lpstr>成本法</vt:lpstr>
      <vt:lpstr>成本法 (元)</vt:lpstr>
      <vt:lpstr>土地比较法-住宅</vt:lpstr>
      <vt:lpstr>土地案例（住宅）</vt:lpstr>
      <vt:lpstr>土地比较法-商业</vt:lpstr>
      <vt:lpstr>土地案例（商业）</vt:lpstr>
      <vt:lpstr>地价增长、案例位置</vt:lpstr>
      <vt:lpstr>假设开发法</vt:lpstr>
      <vt:lpstr>收益法（地上商业）</vt:lpstr>
      <vt:lpstr>收益法（地下商业）</vt:lpstr>
      <vt:lpstr>比较法-公寓</vt:lpstr>
      <vt:lpstr>比较法-住宅 (2)</vt:lpstr>
      <vt:lpstr>收益法（办公）</vt:lpstr>
      <vt:lpstr>比较法-办公</vt:lpstr>
      <vt:lpstr>比较法-住宅</vt:lpstr>
      <vt:lpstr>收益法 (元)</vt:lpstr>
      <vt:lpstr>收益法（汇总）</vt:lpstr>
      <vt:lpstr>酒店收入计算</vt:lpstr>
      <vt:lpstr>收益法（地下车位）</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Sheet1</vt:lpstr>
      <vt:lpstr>估价师及机构信息!Print_Area</vt:lpstr>
      <vt:lpstr>'收益法 (元)'!Print_Area</vt:lpstr>
      <vt:lpstr>'收益法（办公）'!Print_Area</vt:lpstr>
      <vt:lpstr>'收益法（地上商业）'!Print_Area</vt:lpstr>
      <vt:lpstr>'收益法（地下车位）'!Print_Area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'比较法-住宅 (2)'!住宅朝向</vt:lpstr>
      <vt:lpstr>住宅朝向</vt:lpstr>
      <vt:lpstr>'比较法-公寓'!住宅房型</vt:lpstr>
      <vt:lpstr>'比较法-住宅 (2)'!住宅房型</vt:lpstr>
      <vt:lpstr>住宅房型</vt:lpstr>
      <vt:lpstr>'比较法-公寓'!住宅公共部分装修</vt:lpstr>
      <vt:lpstr>'比较法-住宅 (2)'!住宅公共部分装修</vt:lpstr>
      <vt:lpstr>住宅公共部分装修</vt:lpstr>
      <vt:lpstr>'比较法-公寓'!住宅基础设施水平</vt:lpstr>
      <vt:lpstr>'比较法-住宅 (2)'!住宅基础设施水平</vt:lpstr>
      <vt:lpstr>住宅基础设施水平</vt:lpstr>
      <vt:lpstr>'比较法-公寓'!住宅建筑结构</vt:lpstr>
      <vt:lpstr>'比较法-住宅 (2)'!住宅建筑结构</vt:lpstr>
      <vt:lpstr>住宅建筑结构</vt:lpstr>
      <vt:lpstr>'比较法-公寓'!住宅建筑类型</vt:lpstr>
      <vt:lpstr>'比较法-住宅 (2)'!住宅建筑类型</vt:lpstr>
      <vt:lpstr>住宅建筑类型</vt:lpstr>
      <vt:lpstr>'比较法-公寓'!住宅建筑品质</vt:lpstr>
      <vt:lpstr>'比较法-住宅 (2)'!住宅建筑品质</vt:lpstr>
      <vt:lpstr>住宅建筑品质</vt:lpstr>
      <vt:lpstr>'比较法-公寓'!住宅交易情况</vt:lpstr>
      <vt:lpstr>'比较法-住宅 (2)'!住宅交易情况</vt:lpstr>
      <vt:lpstr>住宅交易情况</vt:lpstr>
      <vt:lpstr>'比较法-公寓'!住宅楼层</vt:lpstr>
      <vt:lpstr>'比较法-住宅 (2)'!住宅楼层</vt:lpstr>
      <vt:lpstr>住宅楼层</vt:lpstr>
      <vt:lpstr>'比较法-公寓'!住宅内部装修</vt:lpstr>
      <vt:lpstr>'比较法-住宅 (2)'!住宅内部装修</vt:lpstr>
      <vt:lpstr>住宅内部装修</vt:lpstr>
      <vt:lpstr>'比较法-公寓'!住宅物业管理</vt:lpstr>
      <vt:lpstr>'比较法-住宅 (2)'!住宅物业管理</vt:lpstr>
      <vt:lpstr>住宅物业管理</vt:lpstr>
      <vt:lpstr>'比较法-公寓'!住宅用途</vt:lpstr>
      <vt:lpstr>'比较法-住宅 (2)'!住宅用途</vt:lpstr>
      <vt:lpstr>住宅用途</vt:lpstr>
      <vt:lpstr>'比较法-公寓'!住宅主力户型面积</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2018-08-28T08:00:21Z</dcterms:modified>
</cp:coreProperties>
</file>