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430" windowHeight="9555" tabRatio="887"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E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K103" i="46"/>
  <c r="C23" i="46"/>
  <c r="G103" i="46"/>
  <c r="C7" i="46"/>
  <c r="D11" i="59"/>
  <c r="D10" i="59"/>
  <c r="G20" i="46"/>
  <c r="E41" i="46"/>
  <c r="C41" i="46"/>
  <c r="S5" i="46"/>
  <c r="S2" i="46"/>
  <c r="S3" i="46"/>
  <c r="S7" i="46"/>
  <c r="S6" i="46"/>
  <c r="S4" i="46"/>
  <c r="M26" i="69"/>
  <c r="M11" i="44"/>
  <c r="F8" i="67"/>
  <c r="M8" i="15"/>
  <c r="J3" i="65"/>
  <c r="B8" i="67"/>
  <c r="E9" i="67"/>
  <c r="L49" i="44"/>
  <c r="N6" i="65"/>
  <c r="B11" i="67"/>
  <c r="E11" i="67"/>
  <c r="F43" i="15"/>
  <c r="J4" i="65"/>
  <c r="F40" i="15"/>
  <c r="I7" i="65"/>
  <c r="I3" i="65"/>
  <c r="J15" i="15"/>
  <c r="F39" i="44"/>
  <c r="N4" i="65"/>
  <c r="J5" i="65"/>
  <c r="F13" i="69"/>
  <c r="M8" i="69"/>
  <c r="F26" i="69"/>
  <c r="F42" i="69"/>
  <c r="M6" i="69"/>
  <c r="M22" i="69"/>
  <c r="F9" i="69"/>
  <c r="M23" i="69"/>
  <c r="F16" i="69"/>
  <c r="F8" i="69"/>
  <c r="J15" i="69"/>
  <c r="L48" i="69"/>
  <c r="F28" i="44"/>
  <c r="E12" i="67"/>
  <c r="J17" i="44"/>
  <c r="F11" i="67"/>
  <c r="F18" i="44"/>
  <c r="N7" i="65"/>
  <c r="F13" i="15"/>
  <c r="M6" i="15"/>
  <c r="F10" i="67"/>
  <c r="F46" i="44"/>
  <c r="M27" i="15"/>
  <c r="L47" i="15"/>
  <c r="L47" i="69"/>
  <c r="L48" i="15"/>
  <c r="J36" i="15"/>
  <c r="M31" i="44"/>
  <c r="F38" i="44"/>
  <c r="E14" i="67"/>
  <c r="F15" i="44"/>
  <c r="F13" i="67"/>
  <c r="E8" i="67"/>
  <c r="F43" i="44"/>
  <c r="E13" i="67"/>
  <c r="F10" i="44"/>
  <c r="M25" i="44"/>
  <c r="M28" i="15"/>
  <c r="M8" i="44"/>
  <c r="F43" i="69"/>
  <c r="B14" i="67"/>
  <c r="E10" i="67"/>
  <c r="F8" i="15"/>
  <c r="F9" i="67"/>
  <c r="F11" i="44"/>
  <c r="N5" i="65"/>
  <c r="M29" i="15"/>
  <c r="I6" i="65"/>
  <c r="F6" i="15"/>
  <c r="J7" i="65"/>
  <c r="F14" i="67"/>
  <c r="F7" i="69"/>
  <c r="B9" i="67"/>
  <c r="I5" i="65"/>
  <c r="B10" i="67"/>
  <c r="M22" i="15"/>
  <c r="F26" i="15"/>
  <c r="M9" i="15"/>
  <c r="M9" i="69"/>
  <c r="F6" i="69"/>
  <c r="M24" i="69"/>
  <c r="J36" i="69"/>
  <c r="M28" i="69"/>
  <c r="F40" i="69"/>
  <c r="F38" i="69"/>
  <c r="F37" i="69"/>
  <c r="M27" i="69"/>
  <c r="F36" i="69"/>
  <c r="F9" i="15"/>
  <c r="F37" i="15"/>
  <c r="F9" i="44"/>
  <c r="M26" i="44"/>
  <c r="M26" i="15"/>
  <c r="M30" i="44"/>
  <c r="M28" i="44"/>
  <c r="F45" i="44"/>
  <c r="L48" i="44"/>
  <c r="M24" i="44"/>
  <c r="F40" i="44"/>
  <c r="F8" i="44"/>
  <c r="N3" i="65"/>
  <c r="B13" i="67"/>
  <c r="M23" i="15"/>
  <c r="M24" i="15"/>
  <c r="F16" i="15"/>
  <c r="B12" i="67"/>
  <c r="M29" i="69"/>
  <c r="F36" i="15"/>
  <c r="I4" i="65"/>
  <c r="F38" i="15"/>
  <c r="F12" i="67"/>
  <c r="M29" i="44"/>
  <c r="J6" i="65"/>
  <c r="F42" i="15"/>
  <c r="M10" i="44"/>
  <c r="C72" i="39" l="1"/>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H67" i="40"/>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7" i="15"/>
  <c r="C16" i="15"/>
  <c r="E2" i="65"/>
  <c r="C18" i="44"/>
  <c r="C16" i="69"/>
  <c r="E3" i="65"/>
  <c r="E70" i="39" l="1"/>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F41" i="69"/>
  <c r="AE7" i="1"/>
  <c r="J67" i="40" l="1"/>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15"/>
  <c r="C19" i="44"/>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15"/>
  <c r="C17" i="69"/>
  <c r="F7" i="67"/>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M21" i="69"/>
  <c r="F35" i="15"/>
  <c r="M21" i="15"/>
  <c r="C14" i="15"/>
  <c r="E7" i="67"/>
  <c r="B7" i="67"/>
  <c r="C16" i="44"/>
  <c r="C14" i="69"/>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M23" i="44"/>
  <c r="F37" i="44"/>
  <c r="G48" i="40" l="1"/>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I49" i="40" l="1"/>
  <c r="J49" i="40" s="1"/>
  <c r="E49" i="40"/>
  <c r="F49" i="40" s="1"/>
  <c r="E48" i="40"/>
  <c r="F48" i="40" s="1"/>
  <c r="M70" i="39"/>
  <c r="L72" i="39"/>
  <c r="C44" i="40"/>
  <c r="C45" i="40"/>
  <c r="C33" i="44"/>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C32" i="44"/>
  <c r="C42" i="44" s="1"/>
  <c r="Q71" i="44" s="1"/>
  <c r="Q70" i="44" s="1"/>
  <c r="L57" i="15"/>
  <c r="L60" i="15" s="1"/>
  <c r="O58" i="21"/>
  <c r="F7" i="21"/>
  <c r="N46" i="36"/>
  <c r="O46" i="36" s="1"/>
  <c r="J7" i="36"/>
  <c r="N59" i="34"/>
  <c r="O59" i="34" s="1"/>
  <c r="J7" i="34"/>
  <c r="L51" i="69"/>
  <c r="N70" i="39" l="1"/>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Q48" i="15" s="1"/>
  <c r="Q54" i="15" s="1"/>
  <c r="C40" i="69"/>
  <c r="Q48" i="69" s="1"/>
  <c r="Q54" i="69" s="1"/>
  <c r="J39" i="15"/>
  <c r="J40" i="15" s="1"/>
  <c r="J39" i="69"/>
  <c r="J40" i="69" s="1"/>
  <c r="Q68" i="69"/>
  <c r="C44" i="44"/>
  <c r="C45" i="44" s="1"/>
  <c r="B2" i="44" s="1"/>
  <c r="Q67" i="15"/>
  <c r="L46" i="15"/>
  <c r="Q58" i="15"/>
  <c r="Q57" i="15"/>
  <c r="C70" i="15"/>
  <c r="AC7" i="34"/>
  <c r="V49" i="34" s="1"/>
  <c r="I49" i="34" s="1"/>
  <c r="W7" i="34"/>
  <c r="AA7" i="21"/>
  <c r="R48" i="21" s="1"/>
  <c r="S7" i="21"/>
  <c r="AC7" i="36"/>
  <c r="V36" i="36" s="1"/>
  <c r="I36" i="36" s="1"/>
  <c r="W7" i="36"/>
  <c r="H7" i="34"/>
  <c r="F7" i="34"/>
  <c r="F7" i="36"/>
  <c r="H7" i="36"/>
  <c r="J7" i="21"/>
  <c r="H7" i="21"/>
  <c r="L51" i="15"/>
  <c r="B4" i="40" l="1"/>
  <c r="B3" i="40"/>
  <c r="B5" i="40"/>
  <c r="J9" i="39"/>
  <c r="N72" i="39"/>
  <c r="O70" i="39"/>
  <c r="O72" i="39" s="1"/>
  <c r="B2" i="15"/>
  <c r="B3" i="15" s="1"/>
  <c r="Q66" i="15"/>
  <c r="Q76" i="15" s="1"/>
  <c r="C46" i="15"/>
  <c r="J42" i="15"/>
  <c r="J43" i="15" s="1"/>
  <c r="C43" i="15"/>
  <c r="D8" i="12" s="1"/>
  <c r="D10"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H9" i="39" l="1"/>
  <c r="F9" i="39"/>
  <c r="W9" i="39"/>
  <c r="AC9" i="39"/>
  <c r="V49" i="39" s="1"/>
  <c r="I49" i="39" s="1"/>
  <c r="I53" i="39" s="1"/>
  <c r="J53" i="39" s="1"/>
  <c r="Y21" i="70"/>
  <c r="Y13" i="70" s="1"/>
  <c r="Y17" i="70" s="1"/>
  <c r="L58" i="44"/>
  <c r="L61" i="44" s="1"/>
  <c r="Q59" i="44" s="1"/>
  <c r="Q64" i="44" s="1"/>
  <c r="Y15" i="70"/>
  <c r="Y18" i="70"/>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S9" i="39" l="1"/>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C19" i="9"/>
  <c r="D19" i="9"/>
  <c r="L43" i="9" l="1"/>
  <c r="B5" i="39"/>
  <c r="B3" i="39"/>
  <c r="B4" i="39"/>
  <c r="D22" i="9"/>
  <c r="L44" i="9"/>
  <c r="G19" i="9"/>
  <c r="B5" i="12"/>
  <c r="B4" i="12"/>
  <c r="M4" i="12"/>
  <c r="B3" i="12"/>
  <c r="C20" i="9"/>
  <c r="C21" i="9"/>
  <c r="D21" i="9"/>
  <c r="D20"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<sst xmlns="http://schemas.openxmlformats.org/spreadsheetml/2006/main" count="7506" uniqueCount="3164">
  <si>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</si>
  <si>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</si>
  <si>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</si>
  <si>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</si>
  <si>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</si>
  <si>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</si>
  <si>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</si>
  <si>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</si>
  <si>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</si>
  <si>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</si>
  <si>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</si>
  <si>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</si>
  <si>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</si>
  <si>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</si>
  <si>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</si>
  <si>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</si>
  <si>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</si>
  <si>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</si>
  <si>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</si>
  <si>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</si>
  <si>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</si>
  <si>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</si>
  <si>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</si>
  <si>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</si>
  <si>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</si>
  <si>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</si>
  <si>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</si>
  <si>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</si>
  <si>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</si>
  <si>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</si>
  <si>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</si>
  <si>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</si>
  <si>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</si>
  <si>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</si>
  <si>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</si>
  <si>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</si>
  <si>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</si>
  <si>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</si>
  <si>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</si>
  <si>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</si>
  <si>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</si>
  <si>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</si>
  <si>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</si>
  <si>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</si>
  <si>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</si>
  <si>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</si>
  <si>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</si>
  <si>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</si>
  <si>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</si>
  <si>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</si>
  <si>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</si>
  <si>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</si>
  <si>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</si>
  <si>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</si>
  <si>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</si>
  <si>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</si>
  <si>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</si>
  <si>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</si>
  <si>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</si>
  <si>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</si>
  <si>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</si>
  <si>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</si>
  <si>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</si>
  <si>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</si>
  <si>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</si>
  <si>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</si>
  <si>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</si>
  <si>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</si>
  <si>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</si>
  <si>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</si>
  <si>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</si>
  <si>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</si>
  <si>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</si>
  <si>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</si>
  <si>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</si>
  <si>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</si>
  <si>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</si>
  <si>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</si>
  <si>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</si>
  <si>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</si>
  <si>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</si>
  <si>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</si>
  <si>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</si>
  <si>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</si>
  <si>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</si>
  <si>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</si>
  <si>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</si>
  <si>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</si>
  <si>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</si>
  <si>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</si>
  <si>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</si>
  <si>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</si>
  <si>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</si>
  <si>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</si>
  <si>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</si>
  <si>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</si>
  <si>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</si>
  <si>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</si>
  <si>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</si>
  <si>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</si>
  <si>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</si>
  <si>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</si>
  <si>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</si>
  <si>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</si>
  <si>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</si>
  <si>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</si>
  <si>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</si>
  <si>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</si>
  <si>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</si>
  <si>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</si>
  <si>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</si>
  <si>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</si>
  <si>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</si>
  <si>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</si>
  <si>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</si>
  <si>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</si>
  <si>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</si>
  <si>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</si>
  <si>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</si>
  <si>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</si>
  <si>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</si>
  <si>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</si>
  <si>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</si>
  <si>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</si>
  <si>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</si>
  <si>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</si>
  <si>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</si>
  <si>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</si>
  <si>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</si>
  <si>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</si>
  <si>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</si>
  <si>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</si>
  <si>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</si>
  <si>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</si>
  <si>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</si>
  <si>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</si>
  <si>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</si>
  <si>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</si>
  <si>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</si>
  <si>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</si>
  <si>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</si>
  <si>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</si>
  <si>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</si>
  <si>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</si>
  <si>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</si>
  <si>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</si>
  <si>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</si>
  <si>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</si>
  <si>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</si>
  <si>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</si>
  <si>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</si>
  <si>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</si>
  <si>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</si>
  <si>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</si>
  <si>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</si>
  <si>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</si>
  <si>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</si>
  <si>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</si>
  <si>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</si>
  <si>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</si>
  <si>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</si>
  <si>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</si>
  <si>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</si>
  <si>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</si>
  <si>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</si>
  <si>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</si>
  <si>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</si>
  <si>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</si>
  <si>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</si>
  <si>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</si>
  <si>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</si>
  <si>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</si>
  <si>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</si>
  <si>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</si>
  <si>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</si>
  <si>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</si>
  <si>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</si>
  <si>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</si>
  <si>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</si>
  <si>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</si>
  <si>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</si>
  <si>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</si>
  <si>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</si>
  <si>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</si>
  <si>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</si>
  <si>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</si>
  <si>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</si>
  <si>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</si>
  <si>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</si>
  <si>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</si>
  <si>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</si>
  <si>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</si>
  <si>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</si>
  <si>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</si>
  <si>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</si>
  <si>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</si>
  <si>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</si>
  <si>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</si>
  <si>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</si>
  <si>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</si>
  <si>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</si>
  <si>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</si>
  <si>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</si>
  <si>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</si>
  <si>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</si>
  <si>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</si>
  <si>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</si>
  <si>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</si>
  <si>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</si>
  <si>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</si>
  <si>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</si>
  <si>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</si>
  <si>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</si>
  <si>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</si>
  <si>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</si>
  <si>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</si>
  <si>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</si>
  <si>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</si>
  <si>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</si>
  <si>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</si>
  <si>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</si>
  <si>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</si>
  <si>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</si>
  <si>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</si>
  <si>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</si>
  <si>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</si>
  <si>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</si>
  <si>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</si>
  <si>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</si>
  <si>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</si>
  <si>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</si>
  <si>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</si>
  <si>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</si>
  <si>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</si>
  <si>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</si>
  <si>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</si>
  <si>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</si>
  <si>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</si>
  <si>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</si>
  <si>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</si>
  <si>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</si>
  <si>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</si>
  <si>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</si>
  <si>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</si>
  <si>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</si>
  <si>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</si>
  <si>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</si>
  <si>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</si>
  <si>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</si>
  <si>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</si>
  <si>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</si>
  <si>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</si>
  <si>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</si>
  <si>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</si>
  <si>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</si>
  <si>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</si>
  <si>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</si>
  <si>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</si>
  <si>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</si>
  <si>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</si>
  <si>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</si>
  <si>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</si>
  <si>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</si>
  <si>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</si>
  <si>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</si>
  <si>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</si>
  <si>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</si>
  <si>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</si>
  <si>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</si>
  <si>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</si>
  <si>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</si>
  <si>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</si>
  <si>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</si>
  <si>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</si>
  <si>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</si>
  <si>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</si>
  <si>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</si>
  <si>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</si>
  <si>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</si>
  <si>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</si>
  <si>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</si>
  <si>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</si>
  <si>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</si>
  <si>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</si>
  <si>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</si>
  <si>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</si>
  <si>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</si>
  <si>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</si>
  <si>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</si>
  <si>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</si>
  <si>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</si>
  <si>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</si>
  <si>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</si>
  <si>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</si>
  <si>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</si>
  <si>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</si>
  <si>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</si>
  <si>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</si>
  <si>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</si>
  <si>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</si>
  <si>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</si>
  <si>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</si>
  <si>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</si>
  <si>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</si>
  <si>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</si>
  <si>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</si>
  <si>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</si>
  <si>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</si>
  <si>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</si>
  <si>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</si>
  <si>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</si>
  <si>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</si>
  <si>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</si>
  <si>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</si>
  <si>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</si>
  <si>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</si>
  <si>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</si>
  <si>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</si>
  <si>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</si>
  <si>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</si>
  <si>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</si>
  <si>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</si>
  <si>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</si>
  <si>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</si>
  <si>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</si>
  <si>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</si>
  <si>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</si>
  <si>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</si>
  <si>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</si>
  <si>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</si>
  <si>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</si>
  <si>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</si>
  <si>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</si>
  <si>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</si>
  <si>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</si>
  <si>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</si>
  <si>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</si>
  <si>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</si>
  <si>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</si>
  <si>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</si>
  <si>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</si>
  <si>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</si>
  <si>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</si>
  <si>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</si>
  <si>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</si>
  <si>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</si>
  <si>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</si>
  <si>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</si>
  <si>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</si>
  <si>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</si>
  <si>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</si>
  <si>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</si>
  <si>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</si>
  <si>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</si>
  <si>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</si>
  <si>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</si>
  <si>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</si>
  <si>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</si>
  <si>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</si>
  <si>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</si>
  <si>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</si>
  <si>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</si>
  <si>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</si>
  <si>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</si>
  <si>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</si>
  <si>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</si>
  <si>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</si>
  <si>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</si>
  <si>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</si>
  <si>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</si>
  <si>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</si>
  <si>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</si>
  <si>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</si>
  <si>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</si>
  <si>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</si>
  <si>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</si>
  <si>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</si>
  <si>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</si>
  <si>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</si>
  <si>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</si>
  <si>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</si>
  <si>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</si>
  <si>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</si>
  <si>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</si>
  <si>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</si>
  <si>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</si>
  <si>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</si>
  <si>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</si>
  <si>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</si>
  <si>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</si>
  <si>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</si>
  <si>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</si>
  <si>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</si>
  <si>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</si>
  <si>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</si>
  <si>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</si>
  <si>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</si>
  <si>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</si>
  <si>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</si>
  <si>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</si>
  <si>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</si>
  <si>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</si>
  <si>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</si>
  <si>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</si>
  <si>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</si>
  <si>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</si>
  <si>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</si>
  <si>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</si>
  <si>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</si>
  <si>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</si>
  <si>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</si>
  <si>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</si>
  <si>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</si>
  <si>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</si>
  <si>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</si>
  <si>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</si>
  <si>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</si>
  <si>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</si>
  <si>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</si>
  <si>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</si>
  <si>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</si>
  <si>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</si>
  <si>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</si>
  <si>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</si>
  <si>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</si>
  <si>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</si>
  <si>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</si>
  <si>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</si>
  <si>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</si>
  <si>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</si>
  <si>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</si>
  <si>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</si>
  <si>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</si>
  <si>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</si>
  <si>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</si>
  <si>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</si>
  <si>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</si>
  <si>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</si>
  <si>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</si>
  <si>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</si>
  <si>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</si>
  <si>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</si>
  <si>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</si>
  <si>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</si>
  <si>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</si>
  <si>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</si>
  <si>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</si>
  <si>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</si>
  <si>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</si>
  <si>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</si>
  <si>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</si>
  <si>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</si>
  <si>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</si>
  <si>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</si>
  <si>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</si>
  <si>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</si>
  <si>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</si>
  <si>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</si>
  <si>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</si>
  <si>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</si>
  <si>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</si>
  <si>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</si>
  <si>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</si>
  <si>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</si>
  <si>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</si>
  <si>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</si>
  <si>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</si>
  <si>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</si>
  <si>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</si>
  <si>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</si>
  <si>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</si>
  <si>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</si>
  <si>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</si>
  <si>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</si>
  <si>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</si>
  <si>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</si>
  <si>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</si>
  <si>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</si>
  <si>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</si>
  <si>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</si>
  <si>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</si>
  <si>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</si>
  <si>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</si>
  <si>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</si>
  <si>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</si>
  <si>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</si>
  <si>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</si>
  <si>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</si>
  <si>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</si>
  <si>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</si>
  <si>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</si>
  <si>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</si>
  <si>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</si>
  <si>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</si>
  <si>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</si>
  <si>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</si>
  <si>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</si>
  <si>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</si>
  <si>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</si>
  <si>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</si>
  <si>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</si>
  <si>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</si>
  <si>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</si>
  <si>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</si>
  <si>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</si>
  <si>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</si>
  <si>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</si>
  <si>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</si>
  <si>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</si>
  <si>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</si>
  <si>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</si>
  <si>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</si>
  <si>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</si>
  <si>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</si>
  <si>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</si>
  <si>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</si>
  <si>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</si>
  <si>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</si>
  <si>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</si>
  <si>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</si>
  <si>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</si>
  <si>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</si>
  <si>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</si>
  <si>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</si>
  <si>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</si>
  <si>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</si>
  <si>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</si>
  <si>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</si>
  <si>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</si>
  <si>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</si>
  <si>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</si>
  <si>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</si>
  <si>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</si>
  <si>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</si>
  <si>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</si>
  <si>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</si>
  <si>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</si>
  <si>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</si>
  <si>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</si>
  <si>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</si>
  <si>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</si>
  <si>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</si>
  <si>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</si>
  <si>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</si>
  <si>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</si>
  <si>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</si>
  <si>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</si>
  <si>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</si>
  <si>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</si>
  <si>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</si>
  <si>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</si>
  <si>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</si>
  <si>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</si>
  <si>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</si>
  <si>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</si>
  <si>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</si>
  <si>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</si>
  <si>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</si>
  <si>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</si>
  <si>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</si>
  <si>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</si>
  <si>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</si>
  <si>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</si>
  <si>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</si>
  <si>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</si>
  <si>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</si>
  <si>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</si>
  <si>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</si>
  <si>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</si>
  <si>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</si>
  <si>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</si>
  <si>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</si>
  <si>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</si>
  <si>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</si>
  <si>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</si>
  <si>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</si>
  <si>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</si>
  <si>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</si>
  <si>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</si>
  <si>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</si>
  <si>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</si>
  <si>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</si>
  <si>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</si>
  <si>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</si>
  <si>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</si>
  <si>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</si>
  <si>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</si>
  <si>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</si>
  <si>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</si>
  <si>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</si>
  <si>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</si>
  <si>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</si>
  <si>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</si>
  <si>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</si>
  <si>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</si>
  <si>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</si>
  <si>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</si>
  <si>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</si>
  <si>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</si>
  <si>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</si>
  <si>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</si>
  <si>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</si>
  <si>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</si>
  <si>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</si>
  <si>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</si>
  <si>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</si>
  <si>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</si>
  <si>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</si>
  <si>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</si>
  <si>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</si>
  <si>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</si>
  <si>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</si>
  <si>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</si>
  <si>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</si>
  <si>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</si>
  <si>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</si>
  <si>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</si>
  <si>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</si>
  <si>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</si>
  <si>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</si>
  <si>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</si>
  <si>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</si>
  <si>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</si>
  <si>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</si>
  <si>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</si>
  <si>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</si>
  <si>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</si>
  <si>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</si>
  <si>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</si>
  <si>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</si>
  <si>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</si>
  <si>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</si>
  <si>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</si>
  <si>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</si>
  <si>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</si>
  <si>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</si>
  <si>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</si>
  <si>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</si>
  <si>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</si>
  <si>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</si>
  <si>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</si>
  <si>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</si>
  <si>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</si>
  <si>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</si>
  <si>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</si>
  <si>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</si>
  <si>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</si>
  <si>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</si>
  <si>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</si>
  <si>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</si>
  <si>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</si>
  <si>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</si>
  <si>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</si>
  <si>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</si>
  <si>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</si>
  <si>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</si>
  <si>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</si>
  <si>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</si>
  <si>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</si>
  <si>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</si>
  <si>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</si>
  <si>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</si>
  <si>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</si>
  <si>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</si>
  <si>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</si>
  <si>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</si>
  <si>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</si>
  <si>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</si>
  <si>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</si>
  <si>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</si>
  <si>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</si>
  <si>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</si>
  <si>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</si>
  <si>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</si>
  <si>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</si>
  <si>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</si>
  <si>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</si>
  <si>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</si>
  <si>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</si>
  <si>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</si>
  <si>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</si>
  <si>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</si>
  <si>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</si>
  <si>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</si>
  <si>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</si>
  <si>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</si>
  <si>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</si>
  <si>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</si>
  <si>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</si>
  <si>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</si>
  <si>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</si>
  <si>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</si>
  <si>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</si>
  <si>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</si>
  <si>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</si>
  <si>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</si>
  <si>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</si>
  <si>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</si>
  <si>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</si>
  <si>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</si>
  <si>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</si>
  <si>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</si>
  <si>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</si>
  <si>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</si>
  <si>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</si>
  <si>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</si>
  <si>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</si>
  <si>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</si>
  <si>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</si>
  <si>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</si>
  <si>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</si>
  <si>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</si>
  <si>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</si>
  <si>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</si>
  <si>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</si>
  <si>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</si>
  <si>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</si>
  <si>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</si>
  <si>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</si>
  <si>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</si>
  <si>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</si>
  <si>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</si>
  <si>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</si>
  <si>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</si>
  <si>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</si>
  <si>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</si>
  <si>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</si>
  <si>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</si>
  <si>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</si>
  <si>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</si>
  <si>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</si>
  <si>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</si>
  <si>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</si>
  <si>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</si>
  <si>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</si>
  <si>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</si>
  <si>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</si>
  <si>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</si>
  <si>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</si>
  <si>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</si>
  <si>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</si>
  <si>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</si>
  <si>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</si>
  <si>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</si>
  <si>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</si>
  <si>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</si>
  <si>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</si>
  <si>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</si>
  <si>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</si>
  <si>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</si>
  <si>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</si>
  <si>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</si>
  <si>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</si>
  <si>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</si>
  <si>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</si>
  <si>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</si>
  <si>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</si>
  <si>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</si>
  <si>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</si>
  <si>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</si>
  <si>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</si>
  <si>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</si>
  <si>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</si>
  <si>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</si>
  <si>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</si>
  <si>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</si>
  <si>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</si>
  <si>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</si>
  <si>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</si>
  <si>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</si>
  <si>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</si>
  <si>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</si>
  <si>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</si>
  <si>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</si>
  <si>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</si>
  <si>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</si>
  <si>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</si>
  <si>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</si>
  <si>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</si>
  <si>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</si>
  <si>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</si>
  <si>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</si>
  <si>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</si>
  <si>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</si>
  <si>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</si>
  <si>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</si>
  <si>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</si>
  <si>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</si>
  <si>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</si>
  <si>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</si>
  <si>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</si>
  <si>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</si>
  <si>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</si>
  <si>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</si>
  <si>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</si>
  <si>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</si>
  <si>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</si>
  <si>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</si>
  <si>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</si>
  <si>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</si>
  <si>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</si>
  <si>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</si>
  <si>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</si>
  <si>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</si>
  <si>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</si>
  <si>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</si>
  <si>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</si>
  <si>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</si>
  <si>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</si>
  <si>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</si>
  <si>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</si>
  <si>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</si>
  <si>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</si>
  <si>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</si>
  <si>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</si>
  <si>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</si>
  <si>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</si>
  <si>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</si>
  <si>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</si>
  <si>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</si>
  <si>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</si>
  <si>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</si>
  <si>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</si>
  <si>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</si>
  <si>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</si>
  <si>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</si>
  <si>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</si>
  <si>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</si>
  <si>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</si>
  <si>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</si>
  <si>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</si>
  <si>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</si>
  <si>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</si>
  <si>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</si>
  <si>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</si>
  <si>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</si>
  <si>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</si>
  <si>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</si>
  <si>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</si>
  <si>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</si>
  <si>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</si>
  <si>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</si>
  <si>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</si>
  <si>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</si>
  <si>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</si>
  <si>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</si>
  <si>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</si>
  <si>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</si>
  <si>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</si>
  <si>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</si>
  <si>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</si>
  <si>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</si>
  <si>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</si>
  <si>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</si>
  <si>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</si>
  <si>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</si>
  <si>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</si>
  <si>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</si>
  <si>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</si>
  <si>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</si>
  <si>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</si>
  <si>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</si>
  <si>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</si>
  <si>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</si>
  <si>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</si>
  <si>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</si>
  <si>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</si>
  <si>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</si>
  <si>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</si>
  <si>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</si>
  <si>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</si>
  <si>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</si>
  <si>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</si>
  <si>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</si>
  <si>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</si>
  <si>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</si>
  <si>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</si>
  <si>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</si>
  <si>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</si>
  <si>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</si>
  <si>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</si>
  <si>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</si>
  <si>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</si>
  <si>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</si>
  <si>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</si>
  <si>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</si>
  <si>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</si>
  <si>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</si>
  <si>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</si>
  <si>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</si>
  <si>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</si>
  <si>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</si>
  <si>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</si>
  <si>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</si>
  <si>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</si>
  <si>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</si>
  <si>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</si>
  <si>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</si>
  <si>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</si>
  <si>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</si>
  <si>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</si>
  <si>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</si>
  <si>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</si>
  <si>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</si>
  <si>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</si>
  <si>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</si>
  <si>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</si>
  <si>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</si>
  <si>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</si>
  <si>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</si>
  <si>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</si>
  <si>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</si>
  <si>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</si>
  <si>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</si>
  <si>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</si>
  <si>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</si>
  <si>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</si>
  <si>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</si>
  <si>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</si>
  <si>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</si>
  <si>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</si>
  <si>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</si>
  <si>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</si>
  <si>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</si>
  <si>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</si>
  <si>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</si>
  <si>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</si>
  <si>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</si>
  <si>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</si>
  <si>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</si>
  <si>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</si>
  <si>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</si>
  <si>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</si>
  <si>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</si>
  <si>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</si>
  <si>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</si>
  <si>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</si>
  <si>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</si>
  <si>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</si>
  <si>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</si>
  <si>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</si>
  <si>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</si>
  <si>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</si>
  <si>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</si>
  <si>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</si>
  <si>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</si>
  <si>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</si>
  <si>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</si>
  <si>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</si>
  <si>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</si>
  <si>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</si>
  <si>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</si>
  <si>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</si>
  <si>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</si>
  <si>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</si>
  <si>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</si>
  <si>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</si>
  <si>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</si>
  <si>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</si>
  <si>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</si>
  <si>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</si>
  <si>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</si>
  <si>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</si>
  <si>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</si>
  <si>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</si>
  <si>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</si>
  <si>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</si>
  <si>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</si>
  <si>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</si>
  <si>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</si>
  <si>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</si>
  <si>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</si>
  <si>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</si>
  <si>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</si>
  <si>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</si>
  <si>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</si>
  <si>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</si>
  <si>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</si>
  <si>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</si>
  <si>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</si>
  <si>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</si>
  <si>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</si>
  <si>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</si>
  <si>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</si>
  <si>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</si>
  <si>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</si>
  <si>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</si>
  <si>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</si>
  <si>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</si>
  <si>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</si>
  <si>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</si>
  <si>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</si>
  <si>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</si>
  <si>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</si>
  <si>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</si>
  <si>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</si>
  <si>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</si>
  <si>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</si>
  <si>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</si>
  <si>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</si>
  <si>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</si>
  <si>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</si>
  <si>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</si>
  <si>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</si>
  <si>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</si>
  <si>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</si>
  <si>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</si>
  <si>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</si>
  <si>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</si>
  <si>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</si>
  <si>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</si>
  <si>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</si>
  <si>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</si>
  <si>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</si>
  <si>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</si>
  <si>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</si>
  <si>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</si>
  <si>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</si>
  <si>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</si>
  <si>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</si>
  <si>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</si>
  <si>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</si>
  <si>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</si>
  <si>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</si>
  <si>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</si>
  <si>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</si>
  <si>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</si>
  <si>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</si>
  <si>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</si>
  <si>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</si>
  <si>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</si>
  <si>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</si>
  <si>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</si>
  <si>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</si>
  <si>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</si>
  <si>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</si>
  <si>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</si>
  <si>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</si>
  <si>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</si>
  <si>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</si>
  <si>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</si>
  <si>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</si>
  <si>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</si>
  <si>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</si>
  <si>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</si>
  <si>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</si>
  <si>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</si>
  <si>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</si>
  <si>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</si>
  <si>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</si>
  <si>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</si>
  <si>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</si>
  <si>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</si>
  <si>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</si>
  <si>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</si>
  <si>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</si>
  <si>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</si>
  <si>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</si>
  <si>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</si>
  <si>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</si>
  <si>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</si>
  <si>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</si>
  <si>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</si>
  <si>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</si>
  <si>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</si>
  <si>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</si>
  <si>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</si>
  <si>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</si>
  <si>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</si>
  <si>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</si>
  <si>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</si>
  <si>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</si>
  <si>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</si>
  <si>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</si>
  <si>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</si>
  <si>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</si>
  <si>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</si>
  <si>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</si>
  <si>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</si>
  <si>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</si>
  <si>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</si>
  <si>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</si>
  <si>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</si>
  <si>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</si>
  <si>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</si>
  <si>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</si>
  <si>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</si>
  <si>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</si>
  <si>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</si>
  <si>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</si>
  <si>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</si>
  <si>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</si>
  <si>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</si>
  <si>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</si>
  <si>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</si>
  <si>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</si>
  <si>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</si>
  <si>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</si>
  <si>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</si>
  <si>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</si>
  <si>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</si>
  <si>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</si>
  <si>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</si>
  <si>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</si>
  <si>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</si>
  <si>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</si>
  <si>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</si>
  <si>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</si>
  <si>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</si>
  <si>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</si>
  <si>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</si>
  <si>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</si>
  <si>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</si>
  <si>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</si>
  <si>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</si>
  <si>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</si>
  <si>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</si>
  <si>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</si>
  <si>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</si>
  <si>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</si>
  <si>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</si>
  <si>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</si>
  <si>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</si>
  <si>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</si>
  <si>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</si>
  <si>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</si>
  <si>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</si>
  <si>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</si>
  <si>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</si>
  <si>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</si>
  <si>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</si>
  <si>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</si>
  <si>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</si>
  <si>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</si>
  <si>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</si>
  <si>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</si>
  <si>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</si>
  <si>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</si>
  <si>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</si>
  <si>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</si>
  <si>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</si>
  <si>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</si>
  <si>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</si>
  <si>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</si>
  <si>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</si>
  <si>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</si>
  <si>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</si>
  <si>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</si>
  <si>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</si>
  <si>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</si>
  <si>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</si>
  <si>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</si>
  <si>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</si>
  <si>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</si>
  <si>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</si>
  <si>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</si>
  <si>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</si>
  <si>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</si>
  <si>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</si>
  <si>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</si>
  <si>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</si>
  <si>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</si>
  <si>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</si>
  <si>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</si>
  <si>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</si>
  <si>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</si>
  <si>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</si>
  <si>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</si>
  <si>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</si>
  <si>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</si>
  <si>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</si>
  <si>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</si>
  <si>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</si>
  <si>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</si>
  <si>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</si>
  <si>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</si>
  <si>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</si>
  <si>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</si>
  <si>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</si>
  <si>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</si>
  <si>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</si>
  <si>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</si>
  <si>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</si>
  <si>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</si>
  <si>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</si>
  <si>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</si>
  <si>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</si>
  <si>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</si>
  <si>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</si>
  <si>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</si>
  <si>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</si>
  <si>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</si>
  <si>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</si>
  <si>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</si>
  <si>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</si>
  <si>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</si>
  <si>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</si>
  <si>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</si>
  <si>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</si>
  <si>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</si>
  <si>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</si>
  <si>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</si>
  <si>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</si>
  <si>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</si>
  <si>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</si>
  <si>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</si>
  <si>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</si>
  <si>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</si>
  <si>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</si>
  <si>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</si>
  <si>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</si>
  <si>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</si>
  <si>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</si>
  <si>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</si>
  <si>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</si>
  <si>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</si>
  <si>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</si>
  <si>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</si>
  <si>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</si>
  <si>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</si>
  <si>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</si>
  <si>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</si>
  <si>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</si>
  <si>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</si>
  <si>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</si>
  <si>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</si>
  <si>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</si>
  <si>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</si>
  <si>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</si>
  <si>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</si>
  <si>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</si>
  <si>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</si>
  <si>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</si>
  <si>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</si>
  <si>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</si>
  <si>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</si>
  <si>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</si>
  <si>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</si>
  <si>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</si>
  <si>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</si>
  <si>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</si>
  <si>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</si>
  <si>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</si>
  <si>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</si>
  <si>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</si>
  <si>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</si>
  <si>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</si>
  <si>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</si>
  <si>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</si>
  <si>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</si>
  <si>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</si>
  <si>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</si>
  <si>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</si>
  <si>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</si>
  <si>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</si>
  <si>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</si>
  <si>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</si>
  <si>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</si>
  <si>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</si>
  <si>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</si>
  <si>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</si>
  <si>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</si>
  <si>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</si>
  <si>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</si>
  <si>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</si>
  <si>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</si>
  <si>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</si>
  <si>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</si>
  <si>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</si>
  <si>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</si>
  <si>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</si>
  <si>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</si>
  <si>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</si>
  <si>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</si>
  <si>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</si>
  <si>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</si>
  <si>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</si>
  <si>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</si>
  <si>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</si>
  <si>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</si>
  <si>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</si>
  <si>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</si>
  <si>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</si>
  <si>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</si>
  <si>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</si>
  <si>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</si>
  <si>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</si>
  <si>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</si>
  <si>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</si>
  <si>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</si>
  <si>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</si>
  <si>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</si>
  <si>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</si>
  <si>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</si>
  <si>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</si>
  <si>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</si>
  <si>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</si>
  <si>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</si>
  <si>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</si>
  <si>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</si>
  <si>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</si>
  <si>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</si>
  <si>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</si>
  <si>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</si>
  <si>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</si>
  <si>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</si>
  <si>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</si>
  <si>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</si>
  <si>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</si>
  <si>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</si>
  <si>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</si>
  <si>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</si>
  <si>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</si>
  <si>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</si>
  <si>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</si>
  <si>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</si>
  <si>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</si>
  <si>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</si>
  <si>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</si>
  <si>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</si>
  <si>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</si>
  <si>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</si>
  <si>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</si>
  <si>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</si>
  <si>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</si>
  <si>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</si>
  <si>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</si>
  <si>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</si>
  <si>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</si>
  <si>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</si>
  <si>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</si>
  <si>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</si>
  <si>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</si>
  <si>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</si>
  <si>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</si>
  <si>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</si>
  <si>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</si>
  <si>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</si>
  <si>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</si>
  <si>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</si>
  <si>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</si>
  <si>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</si>
  <si>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</si>
  <si>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</si>
  <si>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</si>
  <si>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</si>
  <si>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</si>
  <si>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</si>
  <si>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</si>
  <si>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</si>
  <si>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</si>
  <si>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</si>
  <si>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</si>
  <si>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</si>
  <si>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</si>
  <si>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</si>
  <si>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</si>
  <si>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</si>
  <si>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</si>
  <si>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</si>
  <si>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</si>
  <si>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</si>
  <si>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</si>
  <si>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</si>
  <si>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</si>
  <si>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</si>
  <si>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</si>
  <si>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</si>
  <si>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</si>
  <si>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</si>
  <si>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</si>
  <si>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</si>
  <si>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</si>
  <si>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</si>
  <si>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</si>
  <si>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</si>
  <si>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</si>
  <si>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</si>
  <si>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</si>
  <si>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</si>
  <si>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</si>
  <si>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</si>
  <si>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</si>
  <si>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</si>
  <si>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</si>
  <si>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</si>
  <si>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</si>
  <si>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</si>
  <si>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</si>
  <si>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</si>
  <si>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</si>
  <si>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</si>
  <si>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</si>
  <si>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</si>
  <si>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</si>
  <si>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</si>
  <si>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</si>
  <si>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</si>
  <si>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</si>
  <si>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</si>
  <si>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</si>
  <si>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</si>
  <si>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</si>
  <si>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</si>
  <si>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</si>
  <si>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</si>
  <si>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</si>
  <si>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</si>
  <si>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</si>
  <si>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</si>
  <si>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</si>
  <si>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</si>
  <si>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</si>
  <si>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</si>
  <si>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</si>
  <si>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</si>
  <si>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</si>
  <si>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</si>
  <si>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</si>
  <si>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</si>
  <si>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</si>
  <si>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</si>
  <si>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</si>
  <si>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</si>
  <si>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</si>
  <si>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</si>
  <si>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</si>
  <si>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</si>
  <si>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</si>
  <si>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</si>
  <si>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</si>
  <si>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</si>
  <si>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</si>
  <si>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</si>
  <si>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</si>
  <si>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</si>
  <si>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</si>
  <si>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</si>
  <si>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</si>
  <si>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</si>
  <si>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</si>
  <si>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</si>
  <si>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</si>
  <si>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</si>
  <si>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</si>
  <si>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</si>
  <si>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</si>
  <si>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</si>
  <si>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</si>
  <si>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</si>
  <si>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</si>
  <si>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</si>
  <si>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</si>
  <si>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</si>
  <si>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</si>
  <si>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</si>
  <si>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</si>
  <si>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</si>
  <si>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</si>
  <si>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</si>
  <si>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</si>
  <si>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</si>
  <si>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</si>
  <si>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</si>
  <si>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</si>
  <si>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</si>
  <si>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</si>
  <si>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</si>
  <si>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</si>
  <si>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</si>
  <si>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</si>
  <si>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</si>
  <si>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</si>
  <si>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</si>
  <si>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</si>
  <si>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</si>
  <si>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</si>
  <si>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</si>
  <si>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</si>
  <si>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</si>
  <si>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</si>
  <si>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</si>
  <si>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</si>
  <si>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</si>
  <si>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</si>
  <si>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</si>
  <si>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</si>
  <si>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</si>
  <si>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</si>
  <si>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</si>
  <si>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</si>
  <si>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</si>
  <si>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</si>
  <si>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</si>
  <si>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</si>
  <si>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</si>
  <si>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</si>
  <si>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</si>
  <si>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</si>
  <si>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</si>
  <si>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</si>
  <si>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</si>
  <si>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</si>
  <si>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</si>
  <si>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</si>
  <si>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</si>
  <si>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</si>
  <si>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</si>
  <si>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</si>
  <si>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</si>
  <si>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</si>
  <si>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</si>
  <si>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</si>
  <si>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</si>
  <si>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</si>
  <si>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</si>
  <si>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</si>
  <si>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</si>
  <si>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</si>
  <si>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</si>
  <si>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</si>
  <si>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</si>
  <si>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</si>
  <si>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</si>
  <si>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</si>
  <si>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</si>
  <si>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</si>
  <si>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</si>
  <si>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</si>
  <si>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</si>
  <si>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</si>
  <si>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</si>
  <si>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</si>
  <si>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</si>
  <si>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</si>
  <si>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</si>
  <si>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</si>
  <si>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</si>
  <si>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</si>
  <si>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</si>
  <si>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</si>
  <si>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</si>
  <si>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</si>
  <si>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</si>
  <si>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</si>
  <si>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</si>
  <si>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</si>
  <si>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</si>
  <si>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</si>
  <si>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</si>
  <si>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</si>
  <si>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</si>
  <si>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</si>
  <si>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</si>
  <si>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</si>
  <si>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</si>
  <si>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</si>
  <si>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</si>
  <si>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</si>
  <si>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</si>
  <si>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</si>
  <si>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</si>
  <si>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</si>
  <si>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</si>
  <si>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</si>
  <si>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</si>
  <si>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</si>
  <si>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</si>
  <si>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</si>
  <si>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</si>
  <si>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</si>
  <si>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</si>
  <si>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</si>
  <si>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</si>
  <si>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</si>
  <si>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</si>
  <si>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</si>
  <si>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</si>
  <si>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</si>
  <si>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</si>
  <si>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</si>
  <si>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</si>
  <si>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</si>
  <si>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</si>
  <si>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</si>
  <si>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</si>
  <si>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</si>
  <si>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</si>
  <si>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</si>
  <si>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</si>
  <si>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</si>
  <si>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</si>
  <si>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</si>
  <si>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</si>
  <si>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</si>
  <si>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</si>
  <si>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</si>
  <si>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</si>
  <si>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</si>
  <si>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</si>
  <si>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</si>
  <si>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</si>
  <si>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</si>
  <si>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</si>
  <si>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</si>
  <si>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</si>
  <si>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</si>
  <si>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</si>
  <si>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</si>
  <si>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</si>
  <si>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</si>
  <si>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</si>
  <si>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</si>
  <si>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</si>
  <si>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</si>
  <si>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</si>
  <si>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</si>
  <si>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</si>
  <si>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</si>
  <si>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</si>
  <si>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</si>
  <si>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</si>
  <si>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</si>
  <si>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</si>
  <si>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</si>
  <si>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</si>
  <si>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</si>
  <si>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</si>
  <si>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</si>
  <si>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</si>
  <si>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</si>
  <si>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</si>
  <si>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</si>
  <si>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</si>
  <si>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</si>
  <si>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</si>
  <si>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</si>
  <si>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</si>
  <si>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</si>
  <si>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</si>
  <si>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</si>
  <si>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</si>
  <si>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</si>
  <si>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</si>
  <si>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</si>
  <si>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</si>
  <si>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</si>
  <si>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</si>
  <si>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</si>
  <si>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</si>
  <si>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</si>
  <si>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</si>
  <si>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</si>
  <si>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</si>
  <si>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</si>
  <si>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</si>
  <si>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</si>
  <si>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</si>
  <si>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</si>
  <si>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</si>
  <si>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</si>
  <si>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</si>
  <si>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</si>
  <si>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</si>
  <si>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</si>
  <si>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</si>
  <si>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</si>
  <si>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</si>
  <si>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</si>
  <si>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</si>
  <si>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</si>
  <si>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</si>
  <si>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</si>
  <si>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</si>
  <si>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</si>
  <si>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</si>
  <si>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</si>
  <si>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</si>
  <si>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</si>
  <si>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</si>
  <si>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</si>
  <si>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</si>
  <si>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</si>
  <si>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</si>
  <si>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</si>
  <si>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</si>
  <si>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</si>
  <si>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</si>
  <si>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</si>
  <si>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</si>
  <si>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</si>
  <si>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</si>
  <si>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</si>
  <si>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</si>
  <si>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</si>
  <si>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</si>
  <si>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</si>
  <si>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</si>
  <si>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</si>
  <si>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</si>
  <si>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</si>
  <si>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</si>
  <si>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</si>
  <si>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</si>
  <si>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</si>
  <si>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</si>
  <si>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</si>
  <si>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</si>
  <si>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</si>
  <si>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</si>
  <si>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</si>
  <si>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</si>
  <si>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</si>
  <si>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</si>
  <si>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</si>
  <si>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</si>
  <si>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</si>
  <si>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</si>
  <si>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</si>
  <si>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</si>
  <si>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</si>
  <si>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</si>
  <si>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</si>
  <si>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</si>
  <si>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</si>
  <si>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</si>
  <si>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</si>
  <si>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</si>
  <si>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</si>
  <si>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</si>
  <si>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</si>
  <si>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</si>
  <si>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</si>
  <si>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</si>
  <si>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</si>
  <si>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</si>
  <si>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</si>
  <si>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</si>
  <si>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</si>
  <si>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</si>
  <si>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</si>
  <si>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</si>
  <si>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</si>
  <si>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</si>
  <si>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</si>
  <si>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</si>
  <si>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</si>
  <si>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</si>
  <si>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</si>
  <si>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</si>
  <si>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</si>
  <si>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</si>
  <si>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</si>
  <si>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</si>
  <si>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</si>
  <si>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</si>
  <si>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</si>
  <si>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</si>
  <si>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</si>
  <si>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</si>
  <si>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</si>
  <si>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</si>
  <si>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</si>
  <si>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</si>
  <si>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</si>
  <si>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</si>
  <si>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</si>
  <si>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</si>
  <si>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</si>
  <si>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</si>
  <si>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</si>
  <si>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</si>
  <si>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</si>
  <si>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</si>
  <si>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</si>
  <si>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</si>
  <si>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</si>
  <si>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</si>
  <si>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</si>
  <si>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</si>
  <si>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</si>
  <si>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</si>
  <si>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</si>
  <si>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</si>
  <si>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</si>
  <si>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</si>
  <si>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</si>
  <si>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</si>
  <si>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</si>
  <si>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</si>
  <si>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</si>
  <si>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</si>
  <si>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</si>
  <si>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</si>
  <si>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</si>
  <si>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</si>
  <si>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</si>
  <si>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</si>
  <si>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</si>
  <si>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</si>
  <si>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</si>
  <si>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</si>
  <si>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</si>
  <si>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</si>
  <si>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</si>
  <si>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</si>
  <si>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</si>
  <si>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</si>
  <si>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</si>
  <si>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</si>
  <si>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</si>
  <si>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</si>
  <si>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</si>
  <si>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</si>
  <si>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</si>
  <si>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</si>
  <si>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</si>
  <si>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</si>
  <si>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</si>
  <si>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</si>
  <si>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</si>
  <si>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</si>
  <si>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</si>
  <si>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</si>
  <si>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</si>
  <si>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</si>
  <si>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</si>
  <si>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</si>
  <si>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</si>
  <si>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</si>
  <si>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</si>
  <si>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</si>
  <si>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</si>
  <si>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</si>
  <si>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</si>
  <si>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</si>
  <si>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</si>
  <si>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</si>
  <si>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</si>
  <si>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</si>
  <si>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</si>
  <si>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</si>
  <si>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</si>
  <si>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</si>
  <si>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</si>
  <si>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</si>
  <si>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</si>
  <si>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</si>
  <si>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</si>
  <si>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</si>
  <si>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</si>
  <si>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</si>
  <si>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</si>
  <si>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</si>
  <si>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</si>
  <si>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</si>
  <si>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</si>
  <si>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</si>
  <si>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</si>
  <si>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</si>
  <si>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</si>
  <si>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</si>
  <si>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</si>
  <si>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</si>
  <si>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</si>
  <si>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</si>
  <si>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</si>
  <si>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</si>
  <si>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</si>
  <si>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</si>
  <si>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</si>
  <si>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</si>
  <si>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</si>
  <si>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</si>
  <si>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</si>
  <si>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</si>
  <si>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</si>
  <si>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</si>
  <si>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</si>
  <si>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</si>
  <si>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</si>
  <si>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</si>
  <si>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</si>
  <si>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</si>
  <si>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</si>
  <si>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</si>
  <si>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</si>
  <si>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</si>
  <si>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</si>
  <si>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</si>
  <si>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</si>
  <si>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</si>
  <si>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</si>
  <si>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</si>
  <si>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</si>
  <si>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</si>
  <si>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</si>
  <si>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</si>
  <si>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</si>
  <si>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</si>
  <si>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</si>
  <si>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</si>
  <si>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</si>
  <si>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</si>
  <si>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</si>
  <si>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</si>
  <si>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</si>
  <si>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</si>
  <si>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</si>
  <si>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</si>
  <si>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</si>
  <si>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</si>
  <si>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</si>
  <si>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</si>
  <si>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</si>
  <si>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</si>
  <si>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</si>
  <si>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</si>
  <si>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</si>
  <si>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</si>
  <si>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</si>
  <si>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</si>
  <si>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</si>
  <si>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</si>
  <si>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</si>
  <si>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</si>
  <si>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</si>
  <si>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</si>
  <si>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</si>
  <si>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</si>
  <si>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</si>
  <si>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</si>
  <si>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</si>
  <si>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</si>
  <si>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</si>
  <si>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</si>
  <si>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</si>
  <si>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</si>
  <si>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</si>
  <si>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</si>
  <si>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</si>
  <si>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</si>
  <si>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</si>
  <si>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</si>
  <si>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</si>
  <si>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</si>
  <si>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</si>
  <si>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</si>
  <si>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</si>
  <si>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</si>
  <si>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</si>
  <si>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</si>
  <si>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</si>
  <si>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</si>
  <si>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</si>
  <si>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</si>
  <si>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</si>
  <si>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</si>
  <si>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</si>
  <si>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</si>
  <si>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</si>
  <si>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</si>
  <si>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</si>
  <si>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</si>
  <si>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</si>
  <si>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</si>
  <si>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</si>
  <si>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</si>
  <si>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</si>
  <si>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</si>
  <si>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</si>
  <si>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</si>
  <si>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</si>
  <si>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</si>
  <si>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</si>
  <si>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</si>
  <si>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</si>
  <si>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</si>
  <si>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</si>
  <si>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</si>
  <si>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</si>
  <si>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</si>
  <si>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</si>
  <si>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</si>
  <si>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</si>
  <si>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</si>
  <si>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</si>
  <si>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</si>
  <si>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</si>
  <si>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</si>
  <si>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</si>
  <si>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</si>
  <si>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</si>
  <si>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</si>
  <si>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</si>
  <si>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</si>
  <si>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</si>
  <si>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</si>
  <si>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</si>
  <si>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</si>
  <si>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</si>
  <si>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</si>
  <si>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</si>
  <si>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</si>
  <si>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</si>
  <si>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</si>
  <si>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</si>
  <si>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</si>
  <si>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</si>
  <si>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</si>
  <si>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</si>
  <si>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</si>
  <si>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</si>
  <si>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</si>
  <si>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</si>
  <si>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</si>
  <si>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</si>
  <si>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</si>
  <si>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</si>
  <si>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</si>
  <si>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</si>
  <si>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</si>
  <si>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</si>
  <si>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</si>
  <si>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</si>
  <si>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</si>
  <si>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</si>
  <si>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</si>
  <si>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</si>
  <si>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</si>
  <si>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</si>
  <si>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</si>
  <si>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</si>
  <si>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</si>
  <si>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</si>
  <si>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</si>
  <si>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</si>
  <si>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</si>
  <si>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</si>
  <si>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</si>
  <si>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</si>
  <si>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</si>
  <si>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</si>
  <si>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</si>
  <si>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</si>
  <si>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</si>
  <si>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</si>
  <si>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</si>
  <si>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</si>
  <si>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</si>
  <si>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</si>
  <si>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</si>
  <si>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</si>
  <si>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</si>
  <si>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</si>
  <si>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</si>
  <si>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</si>
  <si>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</si>
  <si>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</si>
  <si>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</si>
  <si>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</si>
  <si>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</si>
  <si>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</si>
  <si>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</si>
  <si>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</si>
  <si>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</si>
  <si>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</si>
  <si>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</si>
  <si>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</si>
  <si>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</si>
  <si>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</si>
  <si>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</si>
  <si>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</si>
  <si>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</si>
  <si>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</si>
  <si>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</si>
  <si>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</si>
  <si>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</si>
  <si>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</si>
  <si>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</si>
  <si>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</si>
  <si>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</si>
  <si>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</si>
  <si>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</si>
  <si>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</si>
  <si>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</si>
  <si>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</si>
  <si>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</si>
  <si>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</si>
  <si>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</si>
  <si>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</si>
  <si>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</si>
  <si>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</si>
  <si>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</si>
  <si>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</si>
  <si>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</si>
  <si>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</si>
  <si>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</si>
  <si>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</si>
  <si>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</si>
  <si>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</si>
  <si>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</si>
  <si>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</si>
  <si>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</si>
  <si>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</si>
  <si>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</si>
  <si>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</si>
  <si>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</si>
  <si>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</si>
  <si>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</si>
  <si>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</si>
  <si>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</si>
  <si>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</si>
  <si>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</si>
  <si>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</si>
  <si>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</si>
  <si>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</si>
  <si>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</si>
  <si>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</si>
  <si>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</si>
  <si>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</si>
  <si>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</si>
  <si>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</si>
  <si>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</si>
  <si>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</si>
  <si>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</si>
  <si>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</si>
  <si>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</si>
  <si>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</si>
  <si>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</si>
  <si>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</si>
  <si>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</si>
  <si>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</si>
  <si>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</si>
  <si>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</si>
  <si>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</si>
  <si>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</si>
  <si>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</si>
  <si>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</si>
  <si>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</si>
  <si>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</si>
  <si>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</si>
  <si>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</si>
  <si>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</si>
  <si>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</si>
  <si>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</si>
  <si>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</si>
  <si>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</si>
  <si>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</si>
  <si>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</si>
  <si>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</si>
  <si>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</si>
  <si>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</si>
  <si>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</si>
  <si>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</si>
  <si>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</si>
  <si>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</si>
  <si>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</si>
  <si>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</si>
  <si>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</si>
  <si>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</si>
  <si>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</si>
  <si>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</si>
  <si>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</si>
  <si>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</si>
  <si>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</si>
  <si>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</si>
  <si>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</si>
  <si>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</si>
  <si>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</si>
  <si>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</si>
  <si>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</si>
  <si>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</si>
  <si>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</si>
  <si>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</si>
  <si>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</si>
  <si>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</si>
  <si>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</si>
  <si>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</si>
  <si>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</si>
  <si>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</si>
  <si>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</si>
  <si>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</si>
  <si>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</si>
  <si>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</si>
  <si>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</si>
  <si>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</si>
  <si>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</si>
  <si>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</si>
  <si>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</si>
  <si>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</si>
  <si>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</si>
  <si>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</si>
  <si>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</si>
  <si>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</si>
  <si>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</si>
  <si>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</si>
  <si>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</si>
  <si>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</si>
  <si>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</si>
  <si>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</si>
  <si>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</si>
  <si>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</si>
  <si>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</si>
  <si>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</si>
  <si>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</si>
  <si>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</si>
  <si>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</si>
  <si>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</si>
  <si>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</si>
  <si>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</si>
  <si>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</si>
  <si>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</si>
  <si>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</si>
  <si>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</si>
  <si>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</si>
  <si>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</si>
  <si>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</si>
  <si>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</si>
  <si>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</si>
  <si>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</si>
  <si>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</si>
  <si>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</si>
  <si>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</si>
  <si>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</si>
  <si>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</si>
  <si>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</si>
  <si>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</si>
  <si>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</si>
  <si>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</si>
  <si>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</si>
  <si>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</si>
  <si>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</si>
  <si>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</si>
  <si>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</si>
  <si>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</si>
  <si>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</si>
  <si>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</si>
  <si>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</si>
  <si>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</si>
  <si>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</si>
  <si>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</si>
  <si>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</si>
  <si>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</si>
  <si>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</si>
  <si>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</si>
  <si>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</si>
  <si>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</si>
  <si>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</si>
  <si>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</si>
  <si>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</si>
  <si>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</si>
  <si>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</si>
  <si>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</si>
  <si>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</si>
  <si>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</si>
  <si>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</si>
  <si>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</si>
  <si>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</si>
  <si>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</si>
  <si>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</si>
  <si>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</si>
  <si>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</si>
  <si>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</si>
  <si>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</si>
  <si>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</si>
  <si>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</si>
  <si>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</si>
  <si>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</si>
  <si>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</si>
  <si>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</si>
  <si>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</si>
  <si>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</si>
  <si>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</si>
  <si>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</si>
  <si>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</si>
  <si>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</si>
  <si>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</si>
  <si>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</si>
  <si>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</si>
  <si>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</si>
  <si>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</si>
  <si>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</si>
  <si>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</si>
  <si>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</si>
  <si>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</si>
  <si>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</si>
  <si>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</si>
  <si>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</si>
  <si>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</si>
  <si>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</si>
  <si>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</si>
  <si>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</si>
  <si>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</si>
  <si>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</si>
  <si>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</si>
  <si>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</si>
  <si>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</si>
  <si>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</si>
  <si>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</si>
  <si>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</si>
  <si>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</si>
  <si>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</si>
  <si>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</si>
  <si>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</si>
  <si>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</si>
  <si>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</si>
  <si>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</si>
  <si>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</si>
  <si>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</si>
  <si>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</si>
  <si>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</si>
  <si>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</si>
  <si>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</si>
  <si>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</si>
  <si>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</si>
  <si>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</si>
  <si>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</si>
  <si>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</si>
  <si>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</si>
  <si>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</si>
  <si>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</si>
  <si>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</si>
  <si>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</si>
  <si>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</si>
  <si>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</si>
  <si>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</si>
  <si>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</si>
  <si>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</si>
  <si>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</si>
  <si>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</si>
  <si>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</si>
  <si>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</si>
  <si>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</si>
  <si>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</si>
  <si>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</si>
  <si>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</si>
  <si>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</si>
  <si>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</si>
  <si>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</si>
  <si>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</si>
  <si>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</si>
  <si>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</si>
  <si>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</si>
  <si>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</si>
  <si>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</si>
  <si>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</si>
  <si>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</si>
  <si>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</si>
  <si>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</si>
  <si>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</si>
  <si>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</si>
  <si>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</si>
  <si>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</si>
  <si>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</si>
  <si>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</si>
  <si>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</si>
  <si>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</si>
  <si>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</si>
  <si>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</si>
  <si>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</si>
  <si>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</si>
  <si>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</si>
  <si>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</si>
  <si>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</si>
  <si>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</si>
  <si>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</si>
  <si>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</si>
  <si>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</si>
  <si>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</si>
  <si>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</si>
  <si>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</si>
  <si>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</si>
  <si>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</si>
  <si>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</si>
  <si>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</si>
  <si>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</si>
  <si>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</si>
  <si>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</si>
  <si>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</si>
  <si>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</si>
  <si>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</si>
  <si>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</si>
  <si>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</si>
  <si>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</si>
  <si>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</si>
  <si>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</si>
  <si>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</si>
  <si>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</si>
  <si>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</si>
  <si>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</si>
  <si>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</si>
  <si>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</si>
  <si>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</si>
  <si>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</si>
  <si>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</si>
  <si>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</si>
  <si>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</si>
  <si>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</si>
  <si>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</si>
  <si>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</si>
  <si>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</si>
  <si>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</si>
  <si>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</si>
  <si>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</si>
  <si>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</si>
  <si>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</si>
  <si>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</si>
  <si>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</si>
  <si>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</si>
  <si>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</si>
  <si>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</si>
  <si>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</si>
  <si>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</si>
  <si>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</si>
  <si>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</si>
  <si>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</si>
  <si>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</si>
  <si>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</si>
  <si>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</si>
  <si>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</si>
  <si>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</si>
  <si>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</si>
  <si>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</si>
  <si>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</si>
  <si>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</si>
  <si>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</si>
  <si>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</si>
  <si>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</si>
  <si>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</si>
  <si>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</si>
  <si>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</si>
  <si>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</si>
  <si>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</si>
  <si>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</si>
  <si>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</si>
  <si>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</si>
  <si>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</si>
  <si>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</si>
  <si>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</si>
  <si>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</si>
  <si>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</si>
  <si>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</si>
  <si>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</si>
  <si>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</si>
  <si>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</si>
  <si>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</si>
  <si>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</si>
  <si>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</si>
  <si>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</si>
  <si>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</si>
  <si>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</si>
  <si>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</si>
  <si>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</si>
  <si>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</si>
  <si>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</si>
  <si>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</si>
  <si>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</si>
  <si>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</si>
  <si>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</si>
  <si>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</si>
  <si>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</si>
  <si>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</si>
  <si>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</si>
  <si>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</si>
  <si>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</si>
  <si>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</si>
  <si>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</si>
  <si>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</si>
  <si>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</si>
  <si>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</si>
  <si>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</si>
  <si>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</si>
  <si>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</si>
  <si>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</si>
  <si>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</si>
  <si>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</si>
  <si>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</si>
  <si>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</si>
  <si>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</si>
  <si>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</si>
  <si>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</si>
  <si>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</si>
  <si>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</si>
  <si>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</si>
  <si>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</si>
  <si>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</si>
  <si>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</si>
  <si>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</si>
  <si>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</si>
  <si>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</si>
  <si>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</si>
  <si>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</si>
  <si>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</si>
  <si>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</si>
  <si>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</si>
  <si>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</si>
  <si>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</si>
  <si>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</si>
  <si>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</si>
  <si>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</si>
  <si>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</si>
  <si>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</si>
  <si>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</si>
  <si>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</si>
  <si>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</si>
  <si>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</si>
  <si>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</si>
  <si>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</si>
  <si>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</si>
  <si>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</si>
  <si>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</si>
  <si>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</si>
  <si>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</si>
  <si>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</si>
  <si>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</si>
  <si>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</si>
  <si>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</si>
  <si>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</si>
  <si>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</si>
  <si>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</si>
  <si>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</si>
  <si>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</si>
  <si>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</si>
  <si>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</si>
  <si>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</si>
  <si>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</si>
  <si>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</si>
  <si>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</si>
  <si>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</si>
  <si>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</si>
  <si>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</si>
  <si>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</si>
  <si>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</si>
  <si>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</si>
  <si>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</si>
  <si>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</si>
  <si>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</si>
  <si>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</si>
  <si>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</si>
  <si>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</si>
  <si>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</si>
  <si>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</si>
  <si>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</si>
  <si>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</si>
  <si>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</si>
  <si>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</si>
  <si>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</si>
  <si>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</si>
  <si>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</si>
  <si>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</si>
  <si>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</si>
  <si>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</si>
  <si>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</si>
  <si>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</si>
  <si>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</si>
  <si>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</si>
  <si>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</si>
  <si>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</si>
  <si>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</si>
  <si>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</si>
  <si>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</si>
  <si>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</si>
  <si>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</si>
  <si>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</si>
  <si>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</si>
  <si>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</si>
  <si>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</si>
  <si>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</si>
  <si>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</si>
  <si>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</si>
  <si>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</si>
  <si>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</si>
  <si>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</si>
  <si>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</si>
  <si>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</si>
  <si>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</si>
  <si>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</si>
  <si>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</si>
  <si>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</si>
  <si>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</si>
  <si>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</si>
  <si>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</si>
  <si>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</si>
  <si>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</si>
  <si>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</si>
  <si>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</si>
  <si>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</si>
  <si>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</si>
  <si>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</si>
  <si>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</si>
  <si>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</si>
  <si>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</si>
  <si>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</si>
  <si>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</si>
  <si>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</si>
  <si>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</si>
  <si>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</si>
  <si>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</si>
  <si>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</si>
  <si>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</si>
  <si>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</si>
  <si>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</si>
  <si>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</si>
  <si>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</si>
  <si>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</si>
  <si>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</si>
  <si>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</si>
  <si>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</si>
  <si>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</si>
  <si>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</si>
  <si>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</si>
  <si>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</si>
  <si>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</si>
  <si>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</si>
  <si>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</si>
  <si>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</si>
  <si>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</si>
  <si>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</si>
  <si>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</si>
  <si>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</si>
  <si>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</si>
  <si>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</si>
  <si>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</si>
  <si>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</si>
  <si>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</si>
  <si>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</si>
  <si>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</si>
  <si>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</si>
  <si>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</si>
  <si>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</si>
  <si>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</si>
  <si>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</si>
  <si>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</si>
  <si>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</si>
  <si>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</si>
  <si>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</si>
  <si>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</si>
  <si>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</si>
  <si>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</si>
  <si>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</si>
  <si>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</si>
  <si>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</si>
  <si>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</si>
  <si>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</si>
  <si>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</si>
  <si>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</si>
  <si>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</si>
  <si>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</si>
  <si>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</si>
  <si>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</si>
  <si>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</si>
  <si>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</si>
  <si>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</si>
  <si>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</si>
  <si>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</si>
  <si>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</si>
  <si>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</si>
  <si>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</si>
  <si>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</si>
  <si>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</si>
  <si>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</si>
  <si>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</si>
  <si>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</si>
  <si>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</si>
  <si>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</si>
  <si>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</si>
  <si>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</si>
  <si>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</si>
  <si>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</si>
  <si>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</si>
  <si>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</si>
  <si>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</si>
  <si>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</si>
  <si>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</si>
  <si>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</si>
  <si>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</si>
  <si>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</si>
  <si>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</si>
  <si>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</si>
  <si>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</si>
  <si>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</si>
  <si>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</si>
  <si>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</si>
  <si>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</si>
  <si>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</si>
  <si>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</si>
  <si>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</si>
  <si>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</si>
  <si>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</si>
  <si>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</si>
  <si>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</si>
  <si>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</si>
  <si>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</si>
  <si>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</si>
  <si>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</si>
  <si>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</si>
  <si>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</si>
  <si>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</si>
  <si>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</si>
  <si>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</si>
  <si>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</si>
  <si>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</si>
  <si>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</si>
  <si>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</si>
  <si>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</si>
  <si>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</si>
  <si>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</si>
  <si>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</si>
  <si>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</si>
  <si>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</si>
  <si>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</si>
  <si>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</si>
  <si>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</si>
  <si>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</si>
  <si>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</si>
  <si>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</si>
  <si>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</si>
  <si>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</si>
  <si>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</si>
  <si>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</si>
  <si>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</si>
  <si>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</si>
  <si>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</si>
  <si>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</si>
  <si>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</si>
  <si>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</si>
  <si>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</si>
  <si>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</si>
  <si>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</si>
  <si>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</si>
  <si>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</si>
  <si>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</si>
  <si>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</si>
  <si>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</si>
  <si>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</si>
  <si>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</si>
  <si>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</si>
  <si>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</si>
  <si>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</si>
  <si>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</si>
  <si>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</si>
  <si>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</si>
  <si>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</si>
  <si>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</si>
  <si>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</si>
  <si>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</si>
  <si>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</si>
  <si>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</si>
  <si>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</si>
  <si>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</si>
  <si>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</si>
  <si>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</si>
  <si>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</si>
  <si>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</si>
  <si>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</si>
  <si>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</si>
  <si>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</si>
  <si>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</si>
  <si>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</si>
  <si>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</si>
  <si>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</si>
  <si>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</si>
  <si>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</si>
  <si>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</si>
  <si>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</si>
  <si>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</si>
  <si>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</si>
  <si>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</si>
  <si>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</si>
  <si>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</si>
  <si>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</si>
  <si>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</si>
  <si>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</si>
  <si>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</si>
  <si>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</si>
  <si>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</si>
  <si>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</si>
  <si>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</si>
  <si>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</si>
  <si>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</si>
  <si>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</si>
  <si>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</si>
  <si>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</si>
  <si>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</si>
  <si>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</si>
  <si>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</si>
  <si>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</si>
  <si>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</si>
  <si>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</si>
  <si>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</si>
  <si>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</si>
  <si>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</si>
  <si>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</si>
  <si>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</si>
  <si>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</si>
  <si>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</si>
  <si>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</si>
  <si>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</si>
  <si>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</si>
  <si>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</si>
  <si>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</si>
  <si>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</si>
  <si>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</si>
  <si>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</si>
  <si>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</si>
  <si>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</si>
  <si>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</si>
  <si>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</si>
  <si>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</si>
  <si>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</si>
  <si>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</si>
  <si>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</si>
  <si>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</si>
  <si>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</si>
  <si>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</si>
  <si>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</si>
  <si>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</si>
  <si>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</si>
  <si>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</si>
  <si>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</si>
  <si>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</si>
  <si>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</si>
  <si>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</si>
  <si>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</si>
  <si>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</si>
  <si>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</si>
  <si>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</si>
  <si>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</si>
  <si>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</si>
  <si>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</si>
  <si>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</si>
  <si>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</si>
  <si>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</si>
  <si>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</si>
  <si>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</si>
  <si>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</si>
  <si>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</si>
  <si>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</si>
  <si>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</si>
  <si>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</si>
  <si>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</si>
  <si>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</si>
  <si>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</si>
  <si>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</si>
  <si>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</si>
  <si>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</si>
  <si>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</si>
  <si>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</si>
  <si>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</si>
  <si>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</si>
  <si>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</si>
  <si>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</si>
  <si>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</si>
  <si>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</si>
  <si>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</si>
  <si>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</si>
  <si>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</si>
  <si>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</si>
  <si>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</si>
  <si>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</si>
  <si>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</si>
  <si>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</si>
  <si>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</si>
  <si>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</si>
  <si>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</si>
  <si>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</si>
  <si>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</si>
  <si>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</si>
  <si>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</si>
  <si>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</si>
  <si>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</si>
  <si>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</si>
  <si>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</si>
  <si>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</si>
  <si>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</si>
  <si>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</si>
  <si>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</si>
  <si>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</si>
  <si>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</si>
  <si>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</si>
  <si>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</si>
  <si>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</si>
  <si>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</si>
  <si>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</si>
  <si>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</si>
  <si>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</si>
  <si>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</si>
  <si>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</si>
  <si>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</si>
  <si>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</si>
  <si>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</si>
  <si>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</si>
  <si>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</si>
  <si>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</si>
  <si>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</si>
  <si>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</si>
  <si>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</si>
  <si>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</si>
  <si>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</si>
  <si>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</si>
  <si>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</si>
  <si>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</si>
  <si>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</si>
  <si>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</si>
  <si>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</si>
  <si>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</si>
  <si>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</si>
  <si>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</si>
  <si>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</si>
  <si>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</si>
  <si>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</si>
  <si>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</si>
  <si>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</si>
  <si>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</si>
  <si>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</si>
  <si>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</si>
  <si>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</si>
  <si>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</si>
  <si>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</si>
  <si>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</si>
  <si>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</si>
  <si>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</si>
  <si>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</si>
  <si>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</si>
  <si>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</si>
  <si>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</si>
  <si>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</si>
  <si>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</si>
  <si>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</si>
  <si>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</si>
  <si>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</si>
  <si>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</si>
  <si>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</si>
  <si>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</si>
  <si>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</si>
  <si>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</si>
  <si>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</si>
  <si>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</si>
  <si>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</si>
  <si>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</si>
  <si>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</si>
  <si>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</si>
  <si>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</si>
  <si>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</si>
  <si>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</si>
  <si>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</si>
  <si>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</si>
  <si>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</si>
  <si>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</si>
  <si>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</si>
  <si>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</si>
  <si>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</si>
  <si>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</si>
  <si>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</si>
  <si>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</si>
  <si>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</si>
  <si>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</si>
  <si>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</si>
  <si>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</si>
  <si>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</si>
  <si>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</si>
  <si>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</si>
  <si>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</si>
  <si>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</si>
  <si>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</si>
  <si>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</si>
  <si>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</si>
  <si>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</si>
  <si>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</si>
  <si>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</si>
  <si>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</si>
  <si>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</si>
  <si>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</si>
  <si>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</si>
  <si>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</si>
  <si>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</si>
  <si>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</si>
  <si>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</si>
  <si>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</si>
  <si>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</si>
  <si>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</si>
  <si>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</si>
  <si>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</si>
  <si>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</si>
  <si>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</si>
  <si>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</si>
  <si>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</si>
  <si>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</si>
  <si>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</si>
  <si>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</si>
  <si>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</si>
  <si>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</si>
  <si>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</si>
  <si>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</si>
  <si>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</si>
  <si>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</si>
  <si>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</si>
  <si>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</si>
  <si>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</si>
  <si>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</si>
  <si>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</si>
  <si>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</si>
  <si>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</si>
  <si>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</si>
  <si>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</si>
  <si>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</si>
  <si>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</si>
  <si>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</si>
  <si>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</si>
  <si>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</si>
  <si>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估价对象周边商业氛围成熟度较差，人流量较少，住宅底商为主，商业繁华度较差</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</si>
  <si>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</si>
  <si>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</si>
  <si>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</si>
  <si>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</si>
  <si>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</si>
  <si>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</si>
  <si>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</si>
  <si>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</si>
  <si>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</si>
  <si>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</si>
  <si>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</si>
  <si>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</si>
  <si>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</si>
  <si>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</si>
  <si>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</si>
  <si>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</si>
  <si>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</si>
  <si>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</si>
  <si>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</si>
  <si>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</si>
  <si>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</si>
  <si>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</si>
  <si>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</si>
  <si>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</si>
  <si>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</si>
  <si>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</si>
  <si>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</si>
  <si>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</si>
  <si>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</si>
  <si>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</si>
  <si>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</si>
  <si>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</si>
  <si>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</si>
  <si>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</si>
  <si>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</si>
  <si>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</si>
  <si>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</si>
  <si>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</si>
  <si>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</si>
  <si>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</si>
  <si>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</si>
  <si>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</si>
  <si>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</si>
  <si>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</si>
  <si>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</si>
  <si>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</si>
  <si>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</si>
  <si>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</si>
  <si>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</si>
  <si>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</si>
  <si>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</si>
  <si>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</si>
  <si>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</si>
  <si>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</si>
  <si>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</si>
  <si>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</si>
  <si>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</si>
  <si>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</si>
  <si>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</si>
  <si>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</si>
  <si>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</si>
  <si>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估价对象周边道路状况一般、公共交通通达情况较差，有331路经过、停车便捷程度，综合评价交通便捷度一般</t>
    <phoneticPr fontId="3" type="noConversion"/>
  </si>
  <si>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</si>
  <si>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</si>
  <si>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</si>
  <si>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</si>
  <si>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</si>
  <si>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</si>
  <si>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</si>
  <si>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</si>
  <si>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</si>
  <si>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</si>
  <si>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</si>
  <si>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</si>
  <si>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</si>
  <si>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</si>
  <si>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</si>
  <si>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</si>
  <si>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</si>
  <si>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</si>
  <si>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</si>
  <si>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</si>
  <si>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</si>
  <si>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</si>
  <si>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</si>
  <si>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</si>
  <si>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</si>
  <si>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</si>
  <si>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</si>
  <si>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</si>
  <si>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</si>
  <si>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</si>
  <si>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</si>
  <si>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</si>
  <si>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</si>
  <si>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</si>
  <si>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</si>
  <si>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</si>
  <si>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</si>
  <si>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</si>
  <si>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</si>
  <si>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</si>
  <si>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</si>
  <si>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</si>
  <si>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</si>
  <si>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</si>
  <si>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</si>
  <si>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</si>
  <si>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</si>
  <si>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</si>
  <si>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</si>
  <si>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</si>
  <si>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</si>
  <si>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</si>
  <si>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</si>
  <si>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</si>
  <si>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</si>
  <si>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</si>
  <si>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</si>
  <si>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</si>
  <si>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</si>
  <si>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</si>
  <si>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</si>
  <si>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</si>
  <si>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</si>
  <si>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</si>
  <si>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</si>
  <si>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</si>
  <si>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</si>
  <si>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</si>
  <si>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</si>
  <si>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</si>
  <si>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</si>
  <si>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</si>
  <si>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</si>
  <si>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</si>
  <si>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</si>
  <si>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</si>
  <si>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</si>
  <si>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</si>
  <si>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</si>
  <si>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</si>
  <si>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</si>
  <si>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</si>
  <si>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</si>
  <si>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</si>
  <si>
    <t>三通</t>
  </si>
  <si>
    <t>项目全部</t>
  </si>
  <si>
    <t>土地</t>
  </si>
  <si>
    <t>王鹏</t>
  </si>
  <si>
    <t>郑燚</t>
  </si>
  <si>
    <t>海州区郁洲南路东、梧桐路南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</si>
</sst>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12</xdr:row>
      <xdr:rowOff>114300</xdr:rowOff>
    </xdr:from>
    <xdr:to>
      <xdr:col>13</xdr:col>
      <xdr:colOff>314325</xdr:colOff>
      <xdr:row>44</xdr:row>
      <xdr:rowOff>47625</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171700"/>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2021年2月7日（评估专业人员勘察现场之日）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根据《国有土地使用证》[]，估价对象（分摊）出让国有建设用地使用权面积为86493.04平方米。根据《建设工程规划许可证》[]、《出让合同》[]，估价对象规划建筑面积为302725.5平方米。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估价期日：2021年2月7日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302725.5</v>
      </c>
    </row>
    <row r="46" spans="1:2">
      <c r="A46" s="2594" t="s">
        <v>2704</v>
      </c>
      <c r="B46" s="2595">
        <f ca="1">'预评函-2'!P5</f>
        <v>5831</v>
      </c>
    </row>
    <row r="47" spans="1:2">
      <c r="A47" s="2594" t="s">
        <v>2705</v>
      </c>
      <c r="B47" s="2595">
        <f ca="1">'预评函-2'!Q5</f>
        <v>1666</v>
      </c>
    </row>
    <row r="48" spans="1:2">
      <c r="A48" s="2594" t="s">
        <v>2706</v>
      </c>
      <c r="B48" s="2595">
        <f ca="1">'预评函-2'!R5</f>
        <v>50437</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8" t="str">
        <f>IF(B10="北京市","北京市",C10)&amp;F10&amp;B16&amp;"国有建设用地使用权"&amp;B9&amp;"预评估"</f>
        <v>江苏省连云港海州区锦屏山东南侧5号地出让国有建设用地使用权预评估</v>
      </c>
      <c r="C1" s="3339"/>
      <c r="D1" s="3339"/>
      <c r="E1" s="3339"/>
      <c r="F1" s="3339"/>
      <c r="G1" s="3339"/>
      <c r="H1" s="3339"/>
      <c r="I1" s="3340"/>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44234</v>
      </c>
      <c r="C3" s="2996" t="s">
        <v>1984</v>
      </c>
      <c r="D3" s="1588">
        <f>B3</f>
        <v>44234</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3161</v>
      </c>
      <c r="C4" s="1758">
        <f ca="1">SUMIF(土地估价师,B4,估价师及机构信息!E3:E16)</f>
        <v>2002110030</v>
      </c>
      <c r="D4" s="1755" t="s">
        <v>3162</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44"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45"/>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3079</v>
      </c>
      <c r="D10" s="1593"/>
      <c r="E10" s="1602" t="s">
        <v>1935</v>
      </c>
      <c r="F10" s="1603" t="s">
        <v>3157</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1"/>
      <c r="C12" s="3342"/>
      <c r="D12" s="3343"/>
      <c r="E12" s="1619" t="s">
        <v>2050</v>
      </c>
      <c r="F12" s="3359" t="s">
        <v>2868</v>
      </c>
      <c r="G12" s="3360"/>
      <c r="H12" s="3360"/>
      <c r="I12" s="3361"/>
      <c r="J12" s="3073"/>
      <c r="K12" s="3056"/>
      <c r="L12" s="3052"/>
      <c r="M12" s="3052"/>
      <c r="N12" s="3053"/>
      <c r="O12" s="3054"/>
      <c r="P12" s="3053"/>
      <c r="Q12" s="3053"/>
      <c r="R12" s="3053"/>
      <c r="S12" s="3053"/>
      <c r="T12" s="3053"/>
      <c r="U12" s="3053"/>
    </row>
    <row r="13" spans="1:21">
      <c r="A13" s="1610" t="s">
        <v>2048</v>
      </c>
      <c r="B13" s="3341"/>
      <c r="C13" s="3342"/>
      <c r="D13" s="3343"/>
      <c r="E13" s="1619" t="s">
        <v>2050</v>
      </c>
      <c r="F13" s="3359" t="s">
        <v>2869</v>
      </c>
      <c r="G13" s="3360"/>
      <c r="H13" s="3360"/>
      <c r="I13" s="3361"/>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32.83</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6"/>
      <c r="E20" s="3357"/>
      <c r="F20" s="3357"/>
      <c r="G20" s="3357"/>
      <c r="H20" s="3357"/>
      <c r="I20" s="3358"/>
      <c r="J20" s="3073"/>
      <c r="K20" s="3056"/>
      <c r="L20" s="3052"/>
      <c r="M20" s="3052"/>
      <c r="N20" s="3053"/>
      <c r="O20" s="3054"/>
      <c r="P20" s="3053"/>
      <c r="Q20" s="3053"/>
      <c r="R20" s="3053"/>
      <c r="S20" s="3053"/>
      <c r="T20" s="3053"/>
      <c r="U20" s="3053"/>
    </row>
    <row r="21" spans="1:21">
      <c r="A21" s="1679" t="s">
        <v>1947</v>
      </c>
      <c r="B21" s="1680" t="s">
        <v>1948</v>
      </c>
      <c r="C21" s="1675">
        <f>'数据-汇总表'!E3</f>
        <v>302725.5</v>
      </c>
      <c r="D21" s="1676" t="s">
        <v>1949</v>
      </c>
      <c r="E21" s="3346" t="s">
        <v>1987</v>
      </c>
      <c r="F21" s="3347"/>
      <c r="G21" s="3347"/>
      <c r="H21" s="3347"/>
      <c r="I21" s="3348"/>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46" t="s">
        <v>2870</v>
      </c>
      <c r="F22" s="3347"/>
      <c r="G22" s="3347"/>
      <c r="H22" s="3347"/>
      <c r="I22" s="334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9" t="s">
        <v>1955</v>
      </c>
      <c r="C24" s="3350"/>
      <c r="D24" s="3351" t="s">
        <v>1956</v>
      </c>
      <c r="E24" s="3352"/>
      <c r="F24" s="1628" t="s">
        <v>1957</v>
      </c>
      <c r="G24" s="3073"/>
      <c r="H24" s="3073"/>
      <c r="I24" s="3077"/>
      <c r="J24" s="3073"/>
      <c r="K24" s="333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362"/>
      <c r="D31" s="3363"/>
      <c r="E31" s="3073"/>
      <c r="F31" s="3073"/>
      <c r="G31" s="3073"/>
      <c r="H31" s="3073"/>
      <c r="I31" s="3077"/>
      <c r="J31" s="3073"/>
      <c r="K31" s="3059"/>
      <c r="L31" s="3053"/>
      <c r="M31" s="3053"/>
      <c r="N31" s="3053"/>
      <c r="O31" s="3053"/>
      <c r="P31" s="3053"/>
      <c r="Q31" s="3053"/>
      <c r="R31" s="3053"/>
      <c r="S31" s="3053"/>
      <c r="T31" s="3053"/>
      <c r="U31" s="3053"/>
    </row>
    <row r="32" spans="1:21">
      <c r="A32" s="3364"/>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7"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0"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5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54"/>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55"/>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6" t="s">
        <v>1974</v>
      </c>
      <c r="T40" s="1651" t="str">
        <f>NUMBERSTRING(7-K40,1)&amp;"通"</f>
        <v>七通</v>
      </c>
      <c r="U40" s="3053"/>
    </row>
    <row r="41" spans="1:28">
      <c r="A41" s="1589"/>
      <c r="B41" s="3369" t="s">
        <v>1712</v>
      </c>
      <c r="C41" s="3369"/>
      <c r="D41" s="3369"/>
      <c r="E41" s="3369"/>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6"/>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302725.5</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302725.5</v>
      </c>
      <c r="H5" s="27">
        <f t="shared" ref="H5:AT5" si="0">SUM(H13:H641)</f>
        <v>302725.5</v>
      </c>
      <c r="I5" s="27">
        <f t="shared" si="0"/>
        <v>0</v>
      </c>
      <c r="J5" s="27">
        <f t="shared" si="0"/>
        <v>0</v>
      </c>
      <c r="K5" s="27">
        <f t="shared" si="0"/>
        <v>302725.5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302725.5</v>
      </c>
      <c r="BA5" s="29">
        <f t="shared" si="1"/>
        <v>302725.5</v>
      </c>
      <c r="BB5" s="29">
        <f t="shared" si="1"/>
        <v>0</v>
      </c>
      <c r="BC5" s="29">
        <f t="shared" si="1"/>
        <v>302725.5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3080</v>
      </c>
      <c r="B13" s="2726">
        <v>3.5</v>
      </c>
      <c r="C13" s="2726"/>
      <c r="D13" s="2727" t="s">
        <v>1669</v>
      </c>
      <c r="E13" s="27">
        <f t="shared" ref="E13:E20" si="6">IF($C$3="是",ROUND($A$3*G13/$B$3,2),ROUND($A$3*(G13-AT13)/$B$3,2))</f>
        <v>86493.04</v>
      </c>
      <c r="F13" s="81"/>
      <c r="G13" s="82">
        <f t="shared" ref="G13:G20" si="7">H13+AC13+AT13</f>
        <v>302725.5</v>
      </c>
      <c r="H13" s="33">
        <f t="shared" ref="H13:H20" si="8">SUMIF(I$12:AB$12,"总值",I13:AB13)</f>
        <v>302725.5</v>
      </c>
      <c r="I13" s="2730"/>
      <c r="J13" s="2730"/>
      <c r="K13" s="2730">
        <v>302725.5</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302725.5</v>
      </c>
      <c r="BA13" s="27">
        <f t="shared" ref="BA13:BA20" si="13">SUM(BB13:BK13)</f>
        <v>302725.5</v>
      </c>
      <c r="BB13" s="27">
        <f t="shared" ref="BB13:BB20" si="14">IF($D13="是",I13-J13,0)</f>
        <v>0</v>
      </c>
      <c r="BC13" s="27">
        <f t="shared" ref="BC13:BC20" si="15">IF($D13="是",K13-L13,0)</f>
        <v>302725.5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3082</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3083</v>
      </c>
      <c r="B17" s="2726">
        <f>K13/(B14*A3)</f>
        <v>8.7499959534316289</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8.7499959534316289</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3.4999983813726518</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3.4999983813726518</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C23" sqref="C23"/>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86493.04</v>
      </c>
      <c r="E3" s="107">
        <f>'数据-基础表'!AZ5</f>
        <v>302725.5</v>
      </c>
      <c r="F3" s="3082"/>
      <c r="G3" s="278" t="s">
        <v>850</v>
      </c>
      <c r="H3" s="273" t="s">
        <v>851</v>
      </c>
      <c r="I3" s="1889">
        <f>ROUND('数据-基础表'!B3/'数据-基础表'!A3,2)</f>
        <v>3.5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3" t="s">
        <v>208</v>
      </c>
      <c r="C6" s="3393"/>
      <c r="D6" s="111">
        <f>ROUND($D$3*E6/$E$3,2)</f>
        <v>86493.04</v>
      </c>
      <c r="E6" s="112">
        <f>E3-E5</f>
        <v>302725.5</v>
      </c>
      <c r="F6" s="3082"/>
      <c r="G6" s="1183"/>
      <c r="H6" s="273" t="s">
        <v>852</v>
      </c>
      <c r="I6" s="1889">
        <f>ROUND(F31/D31,2)</f>
        <v>3.5</v>
      </c>
      <c r="J6" s="3082"/>
      <c r="K6" s="3082"/>
      <c r="L6" s="3082"/>
      <c r="M6" s="3082"/>
      <c r="N6" s="3082"/>
      <c r="O6" s="3082"/>
      <c r="P6" s="3082"/>
    </row>
    <row r="7" spans="1:16" ht="15">
      <c r="A7" s="3385"/>
      <c r="B7" s="3386"/>
      <c r="C7" s="3387"/>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302725.5</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86493.04</v>
      </c>
      <c r="E20" s="134">
        <f t="shared" si="2"/>
        <v>302725.5</v>
      </c>
      <c r="F20" s="3084">
        <f>'数据-基础表'!K13</f>
        <v>302725.5</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302725.5</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302725.5</v>
      </c>
      <c r="F27" s="134">
        <f>IF(SUM(F19:F26)=E8,SUM(F19:F26),"地上面积有误")</f>
        <v>302725.5</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86493.04</v>
      </c>
      <c r="S27" s="273">
        <f>IF(SUM(S19:S26)=$E$3,SUM(S19:S26),SUM(S19:S26)&amp;"误差"&amp;ROUND(SUM(S19:S26)-E3,2))</f>
        <v>302725.5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302725.5</v>
      </c>
      <c r="F31" s="1323">
        <f>F27+F30</f>
        <v>302725.5</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18" activePane="bottomRight" state="frozen"/>
      <selection pane="topRight" activeCell="D1" sqref="D1"/>
      <selection pane="bottomLeft" activeCell="A4" sqref="A4"/>
      <selection pane="bottomRight" activeCell="H46" sqref="H46"/>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44234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56220</v>
      </c>
      <c r="F7" s="172">
        <f>SUMIF(项目基本情况!D$15:I$15,C7,项目基本情况!D$19:I$19)</f>
        <v>32.83</v>
      </c>
      <c r="G7" s="173">
        <f t="shared" ref="G7:G11" si="2">IF(ISERROR(ROUND(POWER(1+H7,D7-F7)*(POWER(1+H7,F7)-1)/(POWER(1+H7,D7)-1),3)),0,ROUND(POWER(1+H7,D7-F7)*(POWER(1+H7,F7)-1)/(POWER(1+H7,D7)-1),3))</f>
        <v>0.93100000000000005</v>
      </c>
      <c r="H7" s="2738">
        <v>0.05</v>
      </c>
      <c r="I7" s="2738">
        <v>5.5E-2</v>
      </c>
      <c r="J7" s="174">
        <v>0.08</v>
      </c>
      <c r="K7" s="177">
        <f>SUMIF('数据-汇总表'!C$19:C$33,'数据-取费表'!A7,'数据-汇总表'!E$19:E$33)</f>
        <v>302725.5</v>
      </c>
      <c r="L7" s="2739">
        <v>2300</v>
      </c>
      <c r="M7" s="175">
        <f t="shared" si="0"/>
        <v>69627</v>
      </c>
      <c r="N7" s="2740">
        <v>0</v>
      </c>
      <c r="O7" s="175">
        <f t="shared" ref="O7:O14" si="3">IF($N$5="成新度","——",ROUND(M7*N7,0))</f>
        <v>0</v>
      </c>
      <c r="P7" s="176">
        <f t="shared" ref="P7:P14" si="4">IF($N$5="成新度","——",M7-O7)</f>
        <v>69627</v>
      </c>
      <c r="Q7" s="2741">
        <v>0.1</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29.83</v>
      </c>
      <c r="AF7" s="139"/>
      <c r="AG7" s="1195">
        <f t="shared" ref="AG7:AG13" si="7">IF(AF7="",0,AE7-AF7)</f>
        <v>0</v>
      </c>
      <c r="AH7" s="3298">
        <f>K7</f>
        <v>302725.5</v>
      </c>
      <c r="AI7" s="185">
        <v>365</v>
      </c>
      <c r="AJ7" s="186"/>
      <c r="AK7" s="187">
        <v>0.01</v>
      </c>
      <c r="AL7" s="188">
        <v>1.5E-3</v>
      </c>
      <c r="AM7" s="2244">
        <v>0.01</v>
      </c>
      <c r="AN7" s="2246" t="s">
        <v>3074</v>
      </c>
      <c r="AO7" s="3092"/>
      <c r="AP7" s="1186">
        <f t="shared" ref="AP7:AP13" si="8">ROUND(1-1/(1+H7)^F7,3)</f>
        <v>0.79800000000000004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0.93100000000000005</v>
      </c>
      <c r="H16" s="201">
        <f>ROUND(SUMPRODUCT(H6:H13,K6:K13)/SUMPRODUCT((H6:H13&gt;0)*(K6:K13)),3)</f>
        <v>0.05</v>
      </c>
      <c r="I16" s="202"/>
      <c r="J16" s="202"/>
      <c r="K16" s="203">
        <f>SUM(K6:K15)</f>
        <v>302725.5</v>
      </c>
      <c r="L16" s="204">
        <f>ROUND(M16*10000/SUM(K6:K14),0)</f>
        <v>2300</v>
      </c>
      <c r="M16" s="204">
        <f>SUM(M6:M14)</f>
        <v>69627</v>
      </c>
      <c r="N16" s="205">
        <f>ROUND(SUMPRODUCT(M6:M14,N6:N14)/M16,3)</f>
        <v>0</v>
      </c>
      <c r="O16" s="204">
        <f>SUM(O6:O14)</f>
        <v>0</v>
      </c>
      <c r="P16" s="204">
        <f>SUM(P6:P14)</f>
        <v>69627</v>
      </c>
      <c r="Q16" s="206">
        <f>ROUND(SUMPRODUCT(Q6:Q13,K6:K13)/SUMPRODUCT((Q6:Q13&gt;0)*(K6:K13)),2)</f>
        <v>0.1</v>
      </c>
      <c r="R16" s="2190">
        <f>SUM(R6:R13)</f>
        <v>86493.04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0.79800000000000004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3011</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3073</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3012</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3013</v>
      </c>
      <c r="D8" s="3135"/>
      <c r="E8" s="3135"/>
      <c r="F8" s="3139"/>
      <c r="G8" s="3139"/>
      <c r="H8" s="3123"/>
      <c r="I8" s="3123"/>
      <c r="J8" s="3123"/>
      <c r="K8" s="3123"/>
      <c r="L8" s="3123"/>
      <c r="M8" s="3123"/>
      <c r="N8" s="3123"/>
      <c r="O8" s="3123"/>
      <c r="P8" s="3123"/>
      <c r="Q8" s="3123"/>
      <c r="R8" s="3123"/>
    </row>
    <row r="9" spans="1:18" ht="27">
      <c r="A9" s="3127"/>
      <c r="B9" s="3130" t="s">
        <v>1647</v>
      </c>
      <c r="C9" s="3284" t="s">
        <v>3014</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3015</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估价对象周边商业氛围成熟度较差，人流量较少，住宅底商为主，商业繁华度较差</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估价对象周边道路状况一般、公共交通通达情况较差，有331路经过、停车便捷程度，综合评价交通便捷度一般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302725.5</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44234</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50437</v>
      </c>
      <c r="C5" s="3184">
        <f ca="1">ROUND(B5*10000/$B$1,0)</f>
        <v>1666</v>
      </c>
      <c r="D5" s="3184">
        <f ca="1">ROUND(B5*10000/$B$2,0)</f>
        <v>5831</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302725.5</v>
      </c>
      <c r="C14" s="3190">
        <f>结果表!K38</f>
        <v>86493.04</v>
      </c>
      <c r="D14" s="3190">
        <f ca="1">结果表!C42</f>
        <v>50437</v>
      </c>
      <c r="E14" s="3190">
        <f ca="1">ROUND(D14*10000/B14,0)</f>
        <v>1666</v>
      </c>
      <c r="F14" s="3190">
        <f ca="1">ROUND(D14*10000/C14,0)</f>
        <v>5831</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29" sqref="D2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3159</v>
      </c>
      <c r="E1" s="1719" t="s">
        <v>2046</v>
      </c>
      <c r="F1" s="1721" t="s">
        <v>3160</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江苏省连云港海州区锦屏山东南侧5号地出让国有建设用地使用权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51" t="s">
        <v>298</v>
      </c>
      <c r="B3" s="3452"/>
      <c r="C3" s="3452"/>
      <c r="D3" s="3452"/>
      <c r="E3" s="3452"/>
      <c r="F3" s="3452"/>
      <c r="G3" s="3452"/>
      <c r="H3" s="3452"/>
      <c r="I3" s="3452"/>
      <c r="J3" s="1912"/>
      <c r="K3" s="1911"/>
      <c r="L3" s="1911"/>
      <c r="M3" s="1911"/>
      <c r="N3" s="1911"/>
      <c r="O3" s="1911"/>
      <c r="P3" s="1911"/>
      <c r="Q3" s="1911"/>
      <c r="R3" s="1911"/>
      <c r="S3" s="1911"/>
      <c r="T3" s="1911"/>
      <c r="U3" s="1911"/>
      <c r="V3" s="1911"/>
    </row>
    <row r="4" spans="1:22" ht="14.25">
      <c r="A4" s="256" t="s">
        <v>299</v>
      </c>
      <c r="B4" s="257" t="s">
        <v>300</v>
      </c>
      <c r="C4" s="258" t="s">
        <v>3155</v>
      </c>
      <c r="D4" s="258" t="s">
        <v>3156</v>
      </c>
      <c r="E4" s="3415" t="s">
        <v>301</v>
      </c>
      <c r="F4" s="3457"/>
      <c r="G4" s="3457"/>
      <c r="H4" s="3457"/>
      <c r="I4" s="3416"/>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4" t="s">
        <v>302</v>
      </c>
      <c r="B5" s="3445">
        <v>25</v>
      </c>
      <c r="C5" s="3453"/>
      <c r="D5" s="3456"/>
      <c r="E5" s="259" t="s">
        <v>303</v>
      </c>
      <c r="F5" s="260"/>
      <c r="G5" s="260"/>
      <c r="H5" s="260"/>
      <c r="I5" s="261"/>
      <c r="J5" s="1912"/>
      <c r="K5" s="1911"/>
      <c r="L5" s="1911"/>
      <c r="M5" s="1911"/>
      <c r="N5" s="1911"/>
      <c r="O5" s="1911"/>
      <c r="P5" s="1911"/>
      <c r="Q5" s="1911"/>
      <c r="R5" s="1911"/>
      <c r="S5" s="1911"/>
      <c r="T5" s="1911"/>
      <c r="U5" s="1911"/>
      <c r="V5" s="1911"/>
    </row>
    <row r="6" spans="1:22" ht="14.25">
      <c r="A6" s="3444"/>
      <c r="B6" s="3445"/>
      <c r="C6" s="3454"/>
      <c r="D6" s="3456"/>
      <c r="E6" s="259" t="s">
        <v>304</v>
      </c>
      <c r="F6" s="260"/>
      <c r="G6" s="260"/>
      <c r="H6" s="260"/>
      <c r="I6" s="261"/>
      <c r="J6" s="1912"/>
      <c r="K6" s="1911"/>
      <c r="L6" s="1911"/>
      <c r="M6" s="1911"/>
      <c r="N6" s="1911"/>
      <c r="O6" s="1911"/>
      <c r="P6" s="1911"/>
      <c r="Q6" s="1911"/>
      <c r="R6" s="1911"/>
      <c r="S6" s="1911"/>
      <c r="T6" s="1911"/>
      <c r="U6" s="1911"/>
      <c r="V6" s="1911"/>
    </row>
    <row r="7" spans="1:22" ht="14.25">
      <c r="A7" s="3444"/>
      <c r="B7" s="3445"/>
      <c r="C7" s="3455"/>
      <c r="D7" s="3456"/>
      <c r="E7" s="259" t="s">
        <v>305</v>
      </c>
      <c r="F7" s="260"/>
      <c r="G7" s="260"/>
      <c r="H7" s="260"/>
      <c r="I7" s="261"/>
      <c r="J7" s="1912"/>
      <c r="K7" s="1911"/>
      <c r="L7" s="1911"/>
      <c r="M7" s="1911"/>
      <c r="N7" s="1911"/>
      <c r="O7" s="1911"/>
      <c r="P7" s="1911"/>
      <c r="Q7" s="1911"/>
      <c r="R7" s="1911"/>
      <c r="S7" s="1911"/>
      <c r="T7" s="1911"/>
      <c r="U7" s="1911"/>
      <c r="V7" s="1911"/>
    </row>
    <row r="8" spans="1:22" ht="14.25">
      <c r="A8" s="3444" t="s">
        <v>306</v>
      </c>
      <c r="B8" s="3445">
        <v>15</v>
      </c>
      <c r="C8" s="3453"/>
      <c r="D8" s="3456"/>
      <c r="E8" s="259" t="s">
        <v>307</v>
      </c>
      <c r="F8" s="260"/>
      <c r="G8" s="260"/>
      <c r="H8" s="260"/>
      <c r="I8" s="261"/>
      <c r="J8" s="1912"/>
      <c r="K8" s="1911"/>
      <c r="L8" s="1911"/>
      <c r="M8" s="1911"/>
      <c r="N8" s="1911"/>
      <c r="O8" s="1911"/>
      <c r="P8" s="1911"/>
      <c r="Q8" s="1911"/>
      <c r="R8" s="1911"/>
      <c r="S8" s="1911"/>
      <c r="T8" s="1911"/>
      <c r="U8" s="1911"/>
      <c r="V8" s="1911"/>
    </row>
    <row r="9" spans="1:22" ht="14.25">
      <c r="A9" s="3444"/>
      <c r="B9" s="3445"/>
      <c r="C9" s="3455"/>
      <c r="D9" s="3456"/>
      <c r="E9" s="259" t="s">
        <v>308</v>
      </c>
      <c r="F9" s="260"/>
      <c r="G9" s="260"/>
      <c r="H9" s="260"/>
      <c r="I9" s="261"/>
      <c r="J9" s="1912"/>
      <c r="K9" s="1911"/>
      <c r="L9" s="1911"/>
      <c r="M9" s="1911"/>
      <c r="N9" s="1911"/>
      <c r="O9" s="1911"/>
      <c r="P9" s="1911"/>
      <c r="Q9" s="1911"/>
      <c r="R9" s="1911"/>
      <c r="S9" s="1911"/>
      <c r="T9" s="1911"/>
      <c r="U9" s="1911"/>
      <c r="V9" s="1911"/>
    </row>
    <row r="10" spans="1:22" ht="14.25">
      <c r="A10" s="3444" t="s">
        <v>309</v>
      </c>
      <c r="B10" s="3445">
        <v>15</v>
      </c>
      <c r="C10" s="3453"/>
      <c r="D10" s="3456"/>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4"/>
      <c r="B11" s="3445"/>
      <c r="C11" s="3455"/>
      <c r="D11" s="345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4" t="s">
        <v>312</v>
      </c>
      <c r="B12" s="3445">
        <v>15</v>
      </c>
      <c r="C12" s="3453"/>
      <c r="D12" s="3456"/>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4"/>
      <c r="B13" s="3445"/>
      <c r="C13" s="3455"/>
      <c r="D13" s="345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4" t="s">
        <v>315</v>
      </c>
      <c r="B14" s="3445">
        <v>30</v>
      </c>
      <c r="C14" s="3453">
        <v>4</v>
      </c>
      <c r="D14" s="3456">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4"/>
      <c r="B15" s="3445"/>
      <c r="C15" s="3454"/>
      <c r="D15" s="345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4"/>
      <c r="B16" s="3445"/>
      <c r="C16" s="3455"/>
      <c r="D16" s="345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8" t="s">
        <v>2960</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25701</v>
      </c>
      <c r="D19" s="269">
        <f ca="1">SUMIF(INDIRECT("'"&amp;D4&amp;"'"&amp;"!A:A"),结果表!B19,INDIRECT("'"&amp;D4&amp;"'"&amp;"!B:B"))</f>
        <v>66928</v>
      </c>
      <c r="E19" s="266" t="s">
        <v>323</v>
      </c>
      <c r="F19" s="267" t="s">
        <v>322</v>
      </c>
      <c r="G19" s="270">
        <f ca="1">ROUND(C19*$C$18+D19*$D$18,0)</f>
        <v>50437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849</v>
      </c>
      <c r="D20" s="275">
        <f ca="1">SUMIF(INDIRECT("'"&amp;D4&amp;"'"&amp;"!A:A"),结果表!B20,INDIRECT("'"&amp;D4&amp;"'"&amp;"!B:B"))</f>
        <v>2211</v>
      </c>
      <c r="E20" s="272"/>
      <c r="F20" s="273" t="s">
        <v>325</v>
      </c>
      <c r="G20" s="276">
        <f ca="1">ROUND(C20*$C$18+D20*$D$18,0)</f>
        <v>1666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2971</v>
      </c>
      <c r="D21" s="149">
        <f ca="1">SUMIF(INDIRECT("'"&amp;D4&amp;"'"&amp;"!A:A"),结果表!B21,INDIRECT("'"&amp;D4&amp;"'"&amp;"!B:B"))</f>
        <v>7738</v>
      </c>
      <c r="E21" s="272"/>
      <c r="F21" s="278" t="s">
        <v>327</v>
      </c>
      <c r="G21" s="280">
        <f ca="1">ROUND(C21*$C$18+D21*$D$18,0)</f>
        <v>5831</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1.6041010077428894</v>
      </c>
      <c r="E22" s="282"/>
      <c r="F22" s="283"/>
      <c r="G22" s="284">
        <f ca="1">ROUND(G19/('数据-汇总表'!D3/666.67),0)</f>
        <v>389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4"/>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出让国有建设用地使用权价格：50437万元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大写金额：人民币伍亿零肆佰叁拾柒万元整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单位面积地价：5831元/平方米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楼面地价：1666元/平方米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60" t="s">
        <v>2962</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50437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1666</v>
      </c>
      <c r="D33" s="1333" t="s">
        <v>1682</v>
      </c>
      <c r="E33" s="3417"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5831</v>
      </c>
      <c r="D34" s="1335" t="s">
        <v>1682</v>
      </c>
      <c r="E34" s="341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389</v>
      </c>
      <c r="D35" s="1338" t="s">
        <v>1684</v>
      </c>
      <c r="E35" s="3419"/>
      <c r="F35" s="299" t="s">
        <v>342</v>
      </c>
      <c r="G35" s="969"/>
      <c r="H35" s="968" t="s">
        <v>343</v>
      </c>
      <c r="I35" s="309"/>
      <c r="J35" s="1911"/>
      <c r="K35" s="3423" t="s">
        <v>350</v>
      </c>
      <c r="L35" s="3423" t="s">
        <v>351</v>
      </c>
      <c r="M35" s="1217" t="s">
        <v>352</v>
      </c>
      <c r="N35" s="3423" t="s">
        <v>353</v>
      </c>
      <c r="O35" s="3423" t="s">
        <v>354</v>
      </c>
      <c r="P35" s="1911"/>
      <c r="V35" s="1911"/>
    </row>
    <row r="36" spans="1:26" ht="16.5" customHeight="1">
      <c r="A36" s="301" t="s">
        <v>344</v>
      </c>
      <c r="B36" s="302" t="s">
        <v>333</v>
      </c>
      <c r="C36" s="303" t="s">
        <v>345</v>
      </c>
      <c r="D36" s="303" t="s">
        <v>346</v>
      </c>
      <c r="E36" s="304" t="s">
        <v>347</v>
      </c>
      <c r="F36" s="309"/>
      <c r="G36" s="309"/>
      <c r="H36" s="309"/>
      <c r="I36" s="309"/>
      <c r="J36" s="1913"/>
      <c r="K36" s="3424"/>
      <c r="L36" s="3424"/>
      <c r="M36" s="1219" t="s">
        <v>355</v>
      </c>
      <c r="N36" s="3424"/>
      <c r="O36" s="3424"/>
      <c r="P36" s="1911"/>
      <c r="V36" s="1911"/>
    </row>
    <row r="37" spans="1:26" ht="16.5" customHeight="1" thickBot="1">
      <c r="A37" s="1213" t="s">
        <v>348</v>
      </c>
      <c r="B37" s="305"/>
      <c r="C37" s="292"/>
      <c r="D37" s="292"/>
      <c r="E37" s="293"/>
      <c r="F37" s="309"/>
      <c r="G37" s="309"/>
      <c r="H37" s="309"/>
      <c r="I37" s="309"/>
      <c r="J37" s="1913"/>
      <c r="K37" s="3425"/>
      <c r="L37" s="3425"/>
      <c r="M37" s="1220"/>
      <c r="N37" s="3425"/>
      <c r="O37" s="3425"/>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302725.5</v>
      </c>
      <c r="M38" s="1222">
        <f ca="1">C34</f>
        <v>5831</v>
      </c>
      <c r="N38" s="1222">
        <f ca="1">C33</f>
        <v>1666</v>
      </c>
      <c r="O38" s="1223">
        <f ca="1">C32</f>
        <v>50437</v>
      </c>
      <c r="P38" s="1911"/>
      <c r="V38" s="1911"/>
    </row>
    <row r="39" spans="1:26" ht="16.5" customHeight="1" thickBot="1">
      <c r="A39" s="1218"/>
      <c r="B39" s="306"/>
      <c r="C39" s="307"/>
      <c r="D39" s="307"/>
      <c r="E39" s="308"/>
      <c r="F39" s="309"/>
      <c r="G39" s="309"/>
      <c r="H39" s="309"/>
      <c r="I39" s="309"/>
      <c r="J39" s="1913"/>
      <c r="K39" s="3436" t="str">
        <f>MID(A44,3,LEN(A44)-2)</f>
        <v/>
      </c>
      <c r="L39" s="3437"/>
      <c r="M39" s="3437"/>
      <c r="N39" s="3438"/>
      <c r="O39" s="1340" t="str">
        <f>C44</f>
        <v>——</v>
      </c>
      <c r="P39" s="1911"/>
      <c r="V39" s="1911"/>
    </row>
    <row r="40" spans="1:26" ht="19.5" thickBot="1">
      <c r="A40" s="104" t="s">
        <v>864</v>
      </c>
      <c r="B40" s="309"/>
      <c r="C40" s="309"/>
      <c r="D40" s="309"/>
      <c r="E40" s="309"/>
      <c r="F40" s="309"/>
      <c r="G40" s="309"/>
      <c r="H40" s="309"/>
      <c r="I40" s="309"/>
      <c r="J40" s="1913"/>
      <c r="K40" s="3436" t="str">
        <f t="shared" ref="K40:K41" si="0">MID(A45,3,LEN(A45)-2)</f>
        <v/>
      </c>
      <c r="L40" s="3437"/>
      <c r="M40" s="3437"/>
      <c r="N40" s="3438"/>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6" t="str">
        <f t="shared" si="0"/>
        <v/>
      </c>
      <c r="L41" s="3437"/>
      <c r="M41" s="3437"/>
      <c r="N41" s="3438"/>
      <c r="O41" s="1340" t="str">
        <f>C46</f>
        <v>——</v>
      </c>
      <c r="P41" s="1911"/>
      <c r="V41" s="1911"/>
    </row>
    <row r="42" spans="1:26" ht="29.25">
      <c r="A42" s="3465" t="s">
        <v>2056</v>
      </c>
      <c r="B42" s="3466"/>
      <c r="C42" s="262">
        <f ca="1">C32</f>
        <v>50437</v>
      </c>
      <c r="D42" s="315">
        <f ca="1">C33</f>
        <v>1666</v>
      </c>
      <c r="E42" s="315">
        <f ca="1">C34</f>
        <v>5831</v>
      </c>
      <c r="F42" s="316">
        <f ca="1">C35</f>
        <v>389</v>
      </c>
      <c r="G42" s="309"/>
      <c r="H42" s="309"/>
      <c r="I42" s="317"/>
      <c r="J42" s="1913"/>
      <c r="K42" s="1224" t="s">
        <v>361</v>
      </c>
      <c r="L42" s="1930" t="s">
        <v>362</v>
      </c>
      <c r="M42" s="1225" t="s">
        <v>363</v>
      </c>
      <c r="N42" s="1931" t="s">
        <v>364</v>
      </c>
      <c r="O42" s="1932" t="s">
        <v>365</v>
      </c>
      <c r="P42" s="1911"/>
      <c r="V42" s="1911"/>
    </row>
    <row r="43" spans="1:26" ht="30">
      <c r="A43" s="3475" t="s">
        <v>2711</v>
      </c>
      <c r="B43" s="3476"/>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25701</v>
      </c>
      <c r="M43" s="1228">
        <f>C18</f>
        <v>0.4</v>
      </c>
      <c r="N43" s="1229">
        <f ca="1">IF(N42="测算结果/万元",G19,G20)</f>
        <v>50437</v>
      </c>
      <c r="O43" s="1230">
        <f ca="1">IF(O42="最终结果/万元",C32,C33)</f>
        <v>50437</v>
      </c>
      <c r="P43" s="1911"/>
      <c r="V43" s="1911"/>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66928</v>
      </c>
      <c r="M44" s="1233">
        <f>D18</f>
        <v>0.6</v>
      </c>
      <c r="N44" s="1234"/>
      <c r="O44" s="1235"/>
      <c r="P44" s="1911"/>
      <c r="V44" s="1911"/>
    </row>
    <row r="45" spans="1:26" ht="15">
      <c r="A45" s="3470" t="str">
        <f>IF(项目基本情况!E8="已注销及未注销","4.抵押担保权已注销时的抵押价格",IF(项目基本情况!E8="已注销","3.抵押担保权已注销时的抵押价格","——"))</f>
        <v>——</v>
      </c>
      <c r="B45" s="347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8" t="s">
        <v>374</v>
      </c>
      <c r="B63" s="3429"/>
      <c r="C63" s="3430"/>
      <c r="D63" s="339">
        <f ca="1">ROUND(C42*F63,0)</f>
        <v>50437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2" t="s">
        <v>378</v>
      </c>
      <c r="B64" s="3473"/>
      <c r="C64" s="3473"/>
      <c r="D64" s="3473"/>
      <c r="E64" s="3473"/>
      <c r="F64" s="3473"/>
      <c r="G64" s="347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9" t="s">
        <v>386</v>
      </c>
      <c r="B66" s="3435"/>
      <c r="C66" s="3435"/>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6" t="s">
        <v>385</v>
      </c>
      <c r="M66" s="3397"/>
      <c r="N66" s="2312"/>
      <c r="O66" s="2313"/>
      <c r="P66" s="2314"/>
      <c r="Q66" s="1911"/>
      <c r="R66" s="1911"/>
      <c r="S66" s="1911"/>
      <c r="T66" s="1911"/>
      <c r="U66" s="1911"/>
      <c r="V66" s="1911"/>
    </row>
    <row r="67" spans="1:22" ht="25.5" customHeight="1">
      <c r="A67" s="350" t="s">
        <v>389</v>
      </c>
      <c r="B67" s="3447" t="s">
        <v>390</v>
      </c>
      <c r="C67" s="3447"/>
      <c r="D67" s="351">
        <v>0</v>
      </c>
      <c r="E67" s="41" t="s">
        <v>391</v>
      </c>
      <c r="F67" s="62" t="s">
        <v>21</v>
      </c>
      <c r="G67" s="3431"/>
      <c r="H67" s="3006" t="s">
        <v>2963</v>
      </c>
      <c r="I67" s="3008"/>
      <c r="J67" s="1918"/>
      <c r="K67" s="1890">
        <v>2</v>
      </c>
      <c r="L67" s="3401" t="s">
        <v>388</v>
      </c>
      <c r="M67" s="3401"/>
      <c r="N67" s="1278">
        <f>'数据-取费表'!B2</f>
        <v>44234</v>
      </c>
      <c r="O67" s="1278"/>
      <c r="P67" s="1278"/>
      <c r="Q67" s="1911"/>
      <c r="R67" s="1911"/>
      <c r="S67" s="1911"/>
      <c r="T67" s="1911"/>
      <c r="U67" s="1911"/>
      <c r="V67" s="1911"/>
    </row>
    <row r="68" spans="1:22" ht="25.5" customHeight="1">
      <c r="A68" s="352"/>
      <c r="B68" s="3447" t="s">
        <v>393</v>
      </c>
      <c r="C68" s="3447"/>
      <c r="D68" s="353"/>
      <c r="E68" s="77"/>
      <c r="F68" s="354"/>
      <c r="G68" s="3432"/>
      <c r="H68" s="3007" t="s">
        <v>2964</v>
      </c>
      <c r="I68" s="3008"/>
      <c r="J68" s="1918"/>
      <c r="K68" s="1890">
        <v>3</v>
      </c>
      <c r="L68" s="3401" t="s">
        <v>392</v>
      </c>
      <c r="M68" s="3401"/>
      <c r="N68" s="1246">
        <f ca="1">C42</f>
        <v>50437</v>
      </c>
      <c r="O68" s="1246"/>
      <c r="P68" s="1246"/>
      <c r="Q68" s="1911"/>
      <c r="R68" s="1911"/>
      <c r="S68" s="1911"/>
      <c r="T68" s="1911"/>
      <c r="U68" s="1911"/>
      <c r="V68" s="1911"/>
    </row>
    <row r="69" spans="1:22" ht="23.45" customHeight="1">
      <c r="A69" s="355"/>
      <c r="B69" s="3447" t="s">
        <v>394</v>
      </c>
      <c r="C69" s="3447"/>
      <c r="D69" s="356"/>
      <c r="E69" s="73"/>
      <c r="F69" s="354"/>
      <c r="G69" s="3433"/>
      <c r="H69" s="3007" t="s">
        <v>2965</v>
      </c>
      <c r="I69" s="3008"/>
      <c r="J69" s="1918"/>
      <c r="K69" s="1247">
        <v>4</v>
      </c>
      <c r="L69" s="3402" t="s">
        <v>2863</v>
      </c>
      <c r="M69" s="3403"/>
      <c r="N69" s="1248" t="str">
        <f>C44</f>
        <v>——</v>
      </c>
      <c r="O69" s="1248"/>
      <c r="P69" s="1248"/>
      <c r="Q69" s="1911"/>
      <c r="R69" s="1911"/>
      <c r="S69" s="1911"/>
      <c r="T69" s="1911"/>
      <c r="U69" s="1911"/>
      <c r="V69" s="1911"/>
    </row>
    <row r="70" spans="1:22" ht="24" customHeight="1">
      <c r="A70" s="357" t="s">
        <v>395</v>
      </c>
      <c r="B70" s="3447" t="s">
        <v>396</v>
      </c>
      <c r="C70" s="3447"/>
      <c r="D70" s="356">
        <f ca="1">ROUND(D63*'数据-取费表'!B41/(1+'数据-取费表'!C42),0)</f>
        <v>2690</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46" t="s">
        <v>2995</v>
      </c>
      <c r="C71" s="3463"/>
      <c r="D71" s="356">
        <f ca="1">ROUND(D63*'数据-取费表'!B41/(1+'数据-取费表'!C42),0)</f>
        <v>2690</v>
      </c>
      <c r="E71" s="17" t="s">
        <v>397</v>
      </c>
      <c r="F71" s="358">
        <f>'数据-取费表'!B41</f>
        <v>5.6000000000000001E-2</v>
      </c>
      <c r="G71" s="359"/>
      <c r="H71" s="309"/>
      <c r="I71" s="1245"/>
      <c r="J71" s="1918"/>
      <c r="K71" s="2764" t="s">
        <v>398</v>
      </c>
      <c r="L71" s="3404" t="s">
        <v>399</v>
      </c>
      <c r="M71" s="3404"/>
      <c r="N71" s="2764" t="s">
        <v>400</v>
      </c>
      <c r="O71" s="2764" t="s">
        <v>401</v>
      </c>
      <c r="P71" s="2764" t="s">
        <v>402</v>
      </c>
      <c r="Q71" s="1911"/>
      <c r="R71" s="1911"/>
      <c r="S71" s="1911"/>
      <c r="T71" s="1911"/>
      <c r="U71" s="1911"/>
      <c r="V71" s="1911"/>
    </row>
    <row r="72" spans="1:22" ht="12" customHeight="1">
      <c r="A72" s="357" t="s">
        <v>405</v>
      </c>
      <c r="B72" s="3446" t="s">
        <v>2996</v>
      </c>
      <c r="C72" s="3463"/>
      <c r="D72" s="356">
        <f ca="1">C86</f>
        <v>2690</v>
      </c>
      <c r="E72" s="73" t="s">
        <v>406</v>
      </c>
      <c r="F72" s="358">
        <f>'数据-取费表'!B41</f>
        <v>5.6000000000000001E-2</v>
      </c>
      <c r="G72" s="359"/>
      <c r="H72" s="1251"/>
      <c r="I72" s="1245"/>
      <c r="J72" s="1918"/>
      <c r="K72" s="1890">
        <v>1</v>
      </c>
      <c r="L72" s="3400" t="s">
        <v>404</v>
      </c>
      <c r="M72" s="3400"/>
      <c r="N72" s="1249" t="b">
        <f>D66</f>
        <v>0</v>
      </c>
      <c r="O72" s="1773" t="str">
        <f>E66</f>
        <v>销售额×税（费）率</v>
      </c>
      <c r="P72" s="1250">
        <f>F66</f>
        <v>5.6000000000000001E-2</v>
      </c>
      <c r="Q72" s="1911"/>
      <c r="R72" s="1911"/>
      <c r="S72" s="1911"/>
      <c r="T72" s="1911"/>
      <c r="U72" s="1911"/>
      <c r="V72" s="1911"/>
    </row>
    <row r="73" spans="1:22" ht="24" customHeight="1">
      <c r="A73" s="3434" t="s">
        <v>408</v>
      </c>
      <c r="B73" s="3435"/>
      <c r="C73" s="3435"/>
      <c r="D73" s="360">
        <f ca="1">IF(H73="个人住宅",0,ROUND(D63*I73,0))</f>
        <v>25</v>
      </c>
      <c r="E73" s="17" t="s">
        <v>409</v>
      </c>
      <c r="F73" s="358" t="str">
        <f>IF(H73="正常",I73,"免征")</f>
        <v>免征</v>
      </c>
      <c r="G73" s="359"/>
      <c r="H73" s="189"/>
      <c r="I73" s="358">
        <f>'数据-取费表'!B49</f>
        <v>5.0000000000000001E-4</v>
      </c>
      <c r="J73" s="1918"/>
      <c r="K73" s="1890">
        <v>2</v>
      </c>
      <c r="L73" s="3400" t="s">
        <v>407</v>
      </c>
      <c r="M73" s="3400"/>
      <c r="N73" s="1249">
        <f t="shared" ref="N73:P74" ca="1" si="1">D73</f>
        <v>25</v>
      </c>
      <c r="O73" s="1773" t="str">
        <f t="shared" si="1"/>
        <v>销售额×税（费）率</v>
      </c>
      <c r="P73" s="1250" t="str">
        <f t="shared" si="1"/>
        <v>免征</v>
      </c>
      <c r="Q73" s="1911"/>
      <c r="R73" s="1911"/>
      <c r="S73" s="1911"/>
      <c r="T73" s="1911"/>
      <c r="U73" s="1911"/>
      <c r="V73" s="1911"/>
    </row>
    <row r="74" spans="1:22" ht="24.75">
      <c r="A74" s="3434" t="s">
        <v>411</v>
      </c>
      <c r="B74" s="3435"/>
      <c r="C74" s="3435"/>
      <c r="D74" s="360">
        <f ca="1">IF(H74="个人住宅",D75,D76)</f>
        <v>28547</v>
      </c>
      <c r="E74" s="17" t="s">
        <v>412</v>
      </c>
      <c r="F74" s="358" t="str">
        <f>IF(H74="正常",F76,"免征")</f>
        <v>免征</v>
      </c>
      <c r="G74" s="970" t="s">
        <v>413</v>
      </c>
      <c r="H74" s="361"/>
      <c r="I74" s="42"/>
      <c r="J74" s="1918"/>
      <c r="K74" s="1890">
        <v>3</v>
      </c>
      <c r="L74" s="3400" t="s">
        <v>410</v>
      </c>
      <c r="M74" s="3400"/>
      <c r="N74" s="1249">
        <f t="shared" ca="1" si="1"/>
        <v>28547</v>
      </c>
      <c r="O74" s="1773" t="str">
        <f t="shared" si="1"/>
        <v>增值额×税（费）率</v>
      </c>
      <c r="P74" s="1252" t="str">
        <f t="shared" si="1"/>
        <v>免征</v>
      </c>
      <c r="Q74" s="1911"/>
      <c r="R74" s="1911"/>
      <c r="S74" s="1911"/>
      <c r="T74" s="1911"/>
      <c r="U74" s="1911"/>
      <c r="V74" s="1911"/>
    </row>
    <row r="75" spans="1:22" ht="12.75">
      <c r="A75" s="357" t="s">
        <v>414</v>
      </c>
      <c r="B75" s="3415" t="s">
        <v>415</v>
      </c>
      <c r="C75" s="3416"/>
      <c r="D75" s="362">
        <v>0</v>
      </c>
      <c r="E75" s="41" t="s">
        <v>416</v>
      </c>
      <c r="F75" s="363"/>
      <c r="G75" s="359"/>
      <c r="H75" s="42"/>
      <c r="I75" s="42"/>
      <c r="J75" s="1918"/>
      <c r="K75" s="2758">
        <f>IF(H77="非个人房产","",4)</f>
        <v>4</v>
      </c>
      <c r="L75" s="3400" t="str">
        <f>IF(H77="非个人房产","——","个人所得税")</f>
        <v>个人所得税</v>
      </c>
      <c r="M75" s="3400"/>
      <c r="N75" s="1253">
        <f>D77</f>
        <v>0</v>
      </c>
      <c r="O75" s="1786" t="str">
        <f>E77</f>
        <v>差额计税</v>
      </c>
      <c r="P75" s="1254">
        <f>F77</f>
        <v>0.01</v>
      </c>
      <c r="Q75" s="1911"/>
      <c r="R75" s="1911"/>
      <c r="S75" s="1911"/>
      <c r="T75" s="1911"/>
      <c r="U75" s="1911"/>
      <c r="V75" s="1911"/>
    </row>
    <row r="76" spans="1:22" ht="24.75">
      <c r="A76" s="357" t="s">
        <v>395</v>
      </c>
      <c r="B76" s="3415" t="s">
        <v>418</v>
      </c>
      <c r="C76" s="3457"/>
      <c r="D76" s="360">
        <f ca="1">IF(H76="转让取得",C99,C115)</f>
        <v>28547</v>
      </c>
      <c r="E76" s="17" t="s">
        <v>419</v>
      </c>
      <c r="F76" s="53" t="s">
        <v>21</v>
      </c>
      <c r="G76" s="359"/>
      <c r="H76" s="361"/>
      <c r="I76" s="42"/>
      <c r="J76" s="1918"/>
      <c r="K76" s="2758" t="str">
        <f>IF(项目基本情况!K6="上海银行",IF(K75="",4,K75+1),"")</f>
        <v/>
      </c>
      <c r="L76" s="3411" t="str">
        <f>IF(项目基本情况!K6="上海银行","其他处置费用","")</f>
        <v/>
      </c>
      <c r="M76" s="3412"/>
      <c r="N76" s="1249" t="str">
        <f>IF(项目基本情况!K6="上海银行",N89,"")</f>
        <v/>
      </c>
      <c r="O76" s="3413" t="str">
        <f>IF(项目基本情况!K6="上海银行","包含处置中涉及的律师、诉讼、拍卖、评估等费用","")</f>
        <v/>
      </c>
      <c r="P76" s="3414"/>
      <c r="Q76" s="1911"/>
      <c r="R76" s="1911"/>
      <c r="S76" s="1911"/>
      <c r="T76" s="1911"/>
      <c r="U76" s="1911"/>
      <c r="V76" s="1911"/>
    </row>
    <row r="77" spans="1:22" ht="24.75" thickBot="1">
      <c r="A77" s="3426" t="s">
        <v>421</v>
      </c>
      <c r="B77" s="3427"/>
      <c r="C77" s="342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22">
        <f>IF(AND(K75="",K76=""),4,IF(项目基本情况!K6="上海银行",K76+1,K75+1))</f>
        <v>5</v>
      </c>
      <c r="L77" s="3400" t="s">
        <v>2864</v>
      </c>
      <c r="M77" s="2763" t="s">
        <v>417</v>
      </c>
      <c r="N77" s="1255"/>
      <c r="O77" s="1256">
        <f ca="1">SUMIF(N72:N76,"&lt;9e307")</f>
        <v>28572</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22"/>
      <c r="L78" s="3400"/>
      <c r="M78" s="2763" t="s">
        <v>420</v>
      </c>
      <c r="N78" s="1255"/>
      <c r="O78" s="1256" t="str">
        <f ca="1">NUMBERSTRING(INT(O77*10000),2)&amp;"元整"</f>
        <v>贰亿捌仟伍佰柒拾贰万元整</v>
      </c>
      <c r="P78" s="1257"/>
      <c r="Q78" s="1911"/>
      <c r="R78" s="1911"/>
      <c r="S78" s="1911"/>
      <c r="T78" s="1911"/>
      <c r="U78" s="1911"/>
      <c r="V78" s="1911"/>
    </row>
    <row r="79" spans="1:22" ht="13.5" thickBot="1">
      <c r="A79" s="3477" t="s">
        <v>422</v>
      </c>
      <c r="B79" s="3477"/>
      <c r="C79" s="3477"/>
      <c r="D79" s="3477"/>
      <c r="E79" s="3477"/>
      <c r="F79" s="42"/>
      <c r="G79" s="42"/>
      <c r="H79" s="990"/>
      <c r="I79" s="309"/>
      <c r="J79" s="1918"/>
      <c r="K79" s="3398">
        <f>K77+1</f>
        <v>6</v>
      </c>
      <c r="L79" s="3400" t="s">
        <v>2865</v>
      </c>
      <c r="M79" s="2763" t="s">
        <v>417</v>
      </c>
      <c r="N79" s="1255"/>
      <c r="O79" s="1256" t="e">
        <f ca="1">N69-O77</f>
        <v>#VALUE!</v>
      </c>
      <c r="P79" s="1257"/>
      <c r="Q79" s="1911"/>
      <c r="R79" s="1911"/>
      <c r="S79" s="1911"/>
      <c r="T79" s="1911"/>
      <c r="U79" s="1911"/>
      <c r="V79" s="1911"/>
    </row>
    <row r="80" spans="1:22" ht="12.75">
      <c r="A80" s="3408" t="s">
        <v>423</v>
      </c>
      <c r="B80" s="3409"/>
      <c r="C80" s="981"/>
      <c r="D80" s="981" t="s">
        <v>424</v>
      </c>
      <c r="E80" s="364" t="s">
        <v>425</v>
      </c>
      <c r="F80" s="42"/>
      <c r="G80" s="42"/>
      <c r="H80" s="990"/>
      <c r="I80" s="309"/>
      <c r="J80" s="1911"/>
      <c r="K80" s="3399"/>
      <c r="L80" s="3400"/>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48035</v>
      </c>
      <c r="D81" s="367"/>
      <c r="E81" s="368"/>
      <c r="F81" s="42"/>
      <c r="G81" s="42"/>
      <c r="H81" s="990"/>
      <c r="I81" s="309"/>
      <c r="J81" s="1911"/>
      <c r="K81" s="2758">
        <f>K79+1</f>
        <v>7</v>
      </c>
      <c r="L81" s="3420" t="s">
        <v>2866</v>
      </c>
      <c r="M81" s="3421"/>
      <c r="N81" s="1259"/>
      <c r="O81" s="1260" t="e">
        <f ca="1">ROUND(O79*10000/'数据-汇总表'!E3,0)</f>
        <v>#VALUE!</v>
      </c>
      <c r="P81" s="1261"/>
      <c r="Q81" s="1911"/>
      <c r="R81" s="1911"/>
      <c r="S81" s="1911"/>
      <c r="T81" s="1911"/>
      <c r="U81" s="1911"/>
      <c r="V81" s="1911"/>
    </row>
    <row r="82" spans="1:26" ht="13.5" thickTop="1">
      <c r="A82" s="369" t="s">
        <v>1815</v>
      </c>
      <c r="B82" s="370" t="s">
        <v>427</v>
      </c>
      <c r="C82" s="371">
        <f ca="1">D63</f>
        <v>50437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1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1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48035</v>
      </c>
      <c r="D85" s="372" t="s">
        <v>19</v>
      </c>
      <c r="E85" s="373"/>
      <c r="F85" s="42"/>
      <c r="G85" s="42"/>
      <c r="H85" s="990"/>
      <c r="I85" s="309"/>
      <c r="J85" s="1911"/>
      <c r="K85" s="341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2690</v>
      </c>
      <c r="D86" s="383">
        <f>'数据-取费表'!B41</f>
        <v>5.6000000000000001E-2</v>
      </c>
      <c r="E86" s="384"/>
      <c r="F86" s="42"/>
      <c r="G86" s="42"/>
      <c r="H86" s="990"/>
      <c r="I86" s="309"/>
      <c r="J86" s="1911"/>
      <c r="K86" s="3410"/>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1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9" t="s">
        <v>432</v>
      </c>
      <c r="B88" s="3450"/>
      <c r="C88" s="3450"/>
      <c r="D88" s="3450"/>
      <c r="E88" s="3450"/>
      <c r="F88" s="3450"/>
      <c r="G88" s="3450"/>
      <c r="H88" s="3450"/>
      <c r="I88" s="1268"/>
      <c r="J88" s="1919"/>
      <c r="K88" s="341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08" t="s">
        <v>423</v>
      </c>
      <c r="B89" s="3409"/>
      <c r="C89" s="981"/>
      <c r="D89" s="981" t="s">
        <v>424</v>
      </c>
      <c r="E89" s="385" t="s">
        <v>433</v>
      </c>
      <c r="F89" s="386"/>
      <c r="G89" s="386"/>
      <c r="H89" s="387"/>
      <c r="I89" s="1269"/>
      <c r="J89" s="1921"/>
      <c r="K89" s="341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48035</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6" t="s">
        <v>441</v>
      </c>
      <c r="F94" s="3447"/>
      <c r="G94" s="3447"/>
      <c r="H94" s="344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288</v>
      </c>
      <c r="D96" s="400">
        <f>'数据-取费表'!B43</f>
        <v>6.000000000000001E-3</v>
      </c>
      <c r="E96" s="3405" t="s">
        <v>2413</v>
      </c>
      <c r="F96" s="3406"/>
      <c r="G96" s="3406"/>
      <c r="H96" s="340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47747</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165.78819444444446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28547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9" t="s">
        <v>448</v>
      </c>
      <c r="B101" s="3450"/>
      <c r="C101" s="3450"/>
      <c r="D101" s="3450"/>
      <c r="E101" s="3450"/>
      <c r="F101" s="3450"/>
      <c r="G101" s="3450"/>
      <c r="H101" s="345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8" t="s">
        <v>423</v>
      </c>
      <c r="B102" s="340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48035</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61" t="s">
        <v>2958</v>
      </c>
      <c r="H108" s="3462"/>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06"/>
      <c r="G109" s="340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06"/>
      <c r="G110" s="3406"/>
      <c r="H110" s="3407"/>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288</v>
      </c>
      <c r="D111" s="400">
        <f>'数据-取费表'!B43</f>
        <v>6.000000000000001E-3</v>
      </c>
      <c r="E111" s="3405" t="s">
        <v>2413</v>
      </c>
      <c r="F111" s="3406"/>
      <c r="G111" s="3406"/>
      <c r="H111" s="340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06"/>
      <c r="G112" s="3406"/>
      <c r="H112" s="340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47747</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165.78819444444446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28547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69627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2089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302725.5</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1044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77301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1160</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5837</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5837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7846</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7846</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99809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C19" zoomScale="85" zoomScaleNormal="95" zoomScaleSheetLayoutView="85" workbookViewId="0">
      <selection activeCell="M4" sqref="M4"/>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25701</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2971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198</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0" t="s">
        <v>516</v>
      </c>
      <c r="D6" s="3501"/>
      <c r="E6" s="3500" t="s">
        <v>517</v>
      </c>
      <c r="F6" s="3501"/>
      <c r="G6" s="3500" t="s">
        <v>518</v>
      </c>
      <c r="H6" s="3501"/>
      <c r="I6" s="3500" t="s">
        <v>519</v>
      </c>
      <c r="J6" s="3501"/>
      <c r="K6" s="508" t="s">
        <v>520</v>
      </c>
      <c r="L6" s="2015"/>
      <c r="M6" s="2014"/>
      <c r="N6" s="2014"/>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30" ht="36.75" customHeight="1">
      <c r="A7" s="509"/>
      <c r="B7" s="510"/>
      <c r="C7" s="3511" t="s">
        <v>2893</v>
      </c>
      <c r="D7" s="3512"/>
      <c r="E7" s="3511" t="str">
        <f>Sheet1!A2</f>
        <v>海州区香海湖路北、为民路东</v>
      </c>
      <c r="F7" s="3512"/>
      <c r="G7" s="3511" t="str">
        <f>Sheet1!A3</f>
        <v>海州区郁洲南路东、梧桐路南</v>
      </c>
      <c r="H7" s="3512"/>
      <c r="I7" s="3511" t="str">
        <f>Sheet1!A4</f>
        <v>海州区郁洲南路西、支三路南、香海湖北</v>
      </c>
      <c r="J7" s="3512"/>
      <c r="K7" s="508"/>
      <c r="L7" s="2015"/>
      <c r="M7" s="2014"/>
      <c r="N7" s="2014"/>
      <c r="O7" s="2016"/>
      <c r="P7" s="3504"/>
      <c r="Q7" s="3505"/>
      <c r="R7" s="3490"/>
      <c r="S7" s="3491"/>
      <c r="T7" s="3490"/>
      <c r="U7" s="3491"/>
      <c r="V7" s="3508"/>
      <c r="W7" s="3508"/>
      <c r="X7" s="1501"/>
      <c r="Y7" s="3490"/>
      <c r="Z7" s="3491"/>
      <c r="AA7" s="3484"/>
      <c r="AB7" s="3484"/>
      <c r="AC7" s="3484"/>
    </row>
    <row r="8" spans="1:30" ht="21" thickBot="1">
      <c r="A8" s="509"/>
      <c r="B8" s="510"/>
      <c r="C8" s="3513" t="s">
        <v>2897</v>
      </c>
      <c r="D8" s="3514"/>
      <c r="E8" s="3513" t="s">
        <v>2897</v>
      </c>
      <c r="F8" s="3514"/>
      <c r="G8" s="3509" t="s">
        <v>2897</v>
      </c>
      <c r="H8" s="3510"/>
      <c r="I8" s="3509" t="s">
        <v>2897</v>
      </c>
      <c r="J8" s="3510"/>
      <c r="K8" s="508" t="s">
        <v>522</v>
      </c>
      <c r="L8" s="2015"/>
      <c r="M8" s="2014"/>
      <c r="N8" s="2014"/>
      <c r="O8" s="2016"/>
      <c r="P8" s="3506"/>
      <c r="Q8" s="3507"/>
      <c r="R8" s="3490"/>
      <c r="S8" s="3491"/>
      <c r="T8" s="3492"/>
      <c r="U8" s="3493"/>
      <c r="V8" s="3508"/>
      <c r="W8" s="3508"/>
      <c r="X8" s="1501"/>
      <c r="Y8" s="3492"/>
      <c r="Z8" s="3493"/>
      <c r="AA8" s="3485"/>
      <c r="AB8" s="3485"/>
      <c r="AC8" s="3485"/>
    </row>
    <row r="9" spans="1:30" s="1202" customFormat="1" ht="21" thickBot="1">
      <c r="A9" s="2629"/>
      <c r="B9" s="2636" t="s">
        <v>523</v>
      </c>
      <c r="C9" s="2628">
        <f>'数据-取费表'!B2</f>
        <v>44234</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486" t="s">
        <v>524</v>
      </c>
      <c r="Q9" s="3495"/>
      <c r="R9" s="1502" t="s">
        <v>8</v>
      </c>
      <c r="S9" s="1503">
        <f t="shared" ref="S9:S17" si="0">F9</f>
        <v>99.800000000000011</v>
      </c>
      <c r="T9" s="1502" t="s">
        <v>8</v>
      </c>
      <c r="U9" s="1503">
        <f t="shared" ref="U9:U17" si="1">H9</f>
        <v>98.800000000000068</v>
      </c>
      <c r="V9" s="1502" t="s">
        <v>8</v>
      </c>
      <c r="W9" s="1503">
        <f t="shared" ref="W9:W17" si="2">J9</f>
        <v>98.800000000000068</v>
      </c>
      <c r="X9" s="1504"/>
      <c r="Y9" s="3486" t="s">
        <v>524</v>
      </c>
      <c r="Z9" s="3487"/>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6" t="s">
        <v>527</v>
      </c>
      <c r="Q10" s="3487"/>
      <c r="R10" s="1502" t="s">
        <v>8</v>
      </c>
      <c r="S10" s="1503">
        <f t="shared" si="0"/>
        <v>100</v>
      </c>
      <c r="T10" s="1502" t="s">
        <v>8</v>
      </c>
      <c r="U10" s="1503">
        <f t="shared" si="1"/>
        <v>100</v>
      </c>
      <c r="V10" s="1502" t="s">
        <v>8</v>
      </c>
      <c r="W10" s="1503">
        <f t="shared" si="2"/>
        <v>100</v>
      </c>
      <c r="X10" s="1504"/>
      <c r="Y10" s="3486" t="s">
        <v>527</v>
      </c>
      <c r="Z10" s="3487"/>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94"/>
      <c r="Q13" s="1133" t="str">
        <f t="shared" si="6"/>
        <v>容积率</v>
      </c>
      <c r="R13" s="1502" t="s">
        <v>8</v>
      </c>
      <c r="S13" s="1503">
        <f t="shared" si="0"/>
        <v>104</v>
      </c>
      <c r="T13" s="1502" t="s">
        <v>8</v>
      </c>
      <c r="U13" s="1503">
        <f t="shared" si="1"/>
        <v>104</v>
      </c>
      <c r="V13" s="1502" t="s">
        <v>8</v>
      </c>
      <c r="W13" s="1503">
        <f t="shared" si="2"/>
        <v>104</v>
      </c>
      <c r="X13" s="1504"/>
      <c r="Y13" s="3445"/>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4"/>
      <c r="Q14" s="1133" t="str">
        <f t="shared" si="6"/>
        <v>配建</v>
      </c>
      <c r="R14" s="1502" t="s">
        <v>8</v>
      </c>
      <c r="S14" s="1503">
        <f t="shared" si="0"/>
        <v>100</v>
      </c>
      <c r="T14" s="1502" t="s">
        <v>8</v>
      </c>
      <c r="U14" s="1503">
        <f t="shared" si="1"/>
        <v>100</v>
      </c>
      <c r="V14" s="1502" t="s">
        <v>8</v>
      </c>
      <c r="W14" s="1503">
        <f t="shared" si="2"/>
        <v>100</v>
      </c>
      <c r="X14" s="1504"/>
      <c r="Y14" s="3445"/>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6" t="s">
        <v>534</v>
      </c>
      <c r="Q17" s="1506" t="str">
        <f t="shared" si="6"/>
        <v>居住社区成熟度</v>
      </c>
      <c r="R17" s="1507" t="s">
        <v>8</v>
      </c>
      <c r="S17" s="1508">
        <f t="shared" si="0"/>
        <v>100</v>
      </c>
      <c r="T17" s="1507" t="s">
        <v>8</v>
      </c>
      <c r="U17" s="1508">
        <f t="shared" si="1"/>
        <v>100</v>
      </c>
      <c r="V17" s="1507" t="s">
        <v>8</v>
      </c>
      <c r="W17" s="1508">
        <f t="shared" si="2"/>
        <v>100</v>
      </c>
      <c r="X17" s="1501"/>
      <c r="Y17" s="3496"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7"/>
      <c r="Q18" s="1506"/>
      <c r="R18" s="1507"/>
      <c r="S18" s="1508"/>
      <c r="T18" s="1507"/>
      <c r="U18" s="1508"/>
      <c r="V18" s="1507"/>
      <c r="W18" s="1508"/>
      <c r="X18" s="1501"/>
      <c r="Y18" s="3497"/>
      <c r="Z18" s="1509"/>
      <c r="AA18" s="1510">
        <v>1</v>
      </c>
      <c r="AB18" s="1510">
        <v>1</v>
      </c>
      <c r="AC18" s="1510">
        <v>1</v>
      </c>
    </row>
    <row r="19" spans="1:29" ht="85.5">
      <c r="A19" s="526"/>
      <c r="B19" s="554" t="s">
        <v>535</v>
      </c>
      <c r="C19" s="555" t="str">
        <f>估价对象房地状况!C16</f>
        <v>估价对象周边商业氛围成熟度较差，人流量较少，住宅底商为主，商业繁华度较差</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497"/>
      <c r="Q19" s="1506" t="str">
        <f>B19</f>
        <v>商业繁华度</v>
      </c>
      <c r="R19" s="1507" t="s">
        <v>8</v>
      </c>
      <c r="S19" s="1508">
        <f>F19</f>
        <v>100</v>
      </c>
      <c r="T19" s="1507" t="s">
        <v>8</v>
      </c>
      <c r="U19" s="1508">
        <f>H19</f>
        <v>100</v>
      </c>
      <c r="V19" s="1507" t="s">
        <v>8</v>
      </c>
      <c r="W19" s="1508">
        <f>J19</f>
        <v>100</v>
      </c>
      <c r="X19" s="1501"/>
      <c r="Y19" s="3497"/>
      <c r="Z19" s="1509" t="str">
        <f>Q19</f>
        <v>商业繁华度</v>
      </c>
      <c r="AA19" s="1510">
        <f t="shared" si="3"/>
        <v>1</v>
      </c>
      <c r="AB19" s="1510">
        <f t="shared" si="4"/>
        <v>1</v>
      </c>
      <c r="AC19" s="1510">
        <f t="shared" si="5"/>
        <v>1</v>
      </c>
    </row>
    <row r="20" spans="1:29" ht="20.25">
      <c r="A20" s="526"/>
      <c r="B20" s="560"/>
      <c r="C20" s="561" t="s">
        <v>3023</v>
      </c>
      <c r="D20" s="557"/>
      <c r="E20" s="561" t="s">
        <v>3023</v>
      </c>
      <c r="F20" s="553"/>
      <c r="G20" s="561" t="s">
        <v>3023</v>
      </c>
      <c r="H20" s="549"/>
      <c r="I20" s="561" t="s">
        <v>3023</v>
      </c>
      <c r="J20" s="549"/>
      <c r="K20" s="525"/>
      <c r="L20" s="2024"/>
      <c r="M20" s="2014"/>
      <c r="N20" s="2014"/>
      <c r="O20" s="2023"/>
      <c r="P20" s="3497"/>
      <c r="Q20" s="1506"/>
      <c r="R20" s="1507"/>
      <c r="S20" s="1508"/>
      <c r="T20" s="1507"/>
      <c r="U20" s="1508"/>
      <c r="V20" s="1507"/>
      <c r="W20" s="1508"/>
      <c r="X20" s="1501"/>
      <c r="Y20" s="3497"/>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7"/>
      <c r="Q21" s="1506" t="str">
        <f>B21</f>
        <v>办公集聚程度</v>
      </c>
      <c r="R21" s="1507" t="s">
        <v>8</v>
      </c>
      <c r="S21" s="1508">
        <f>F21</f>
        <v>100</v>
      </c>
      <c r="T21" s="1507" t="s">
        <v>8</v>
      </c>
      <c r="U21" s="1508">
        <f>H21</f>
        <v>100</v>
      </c>
      <c r="V21" s="1507" t="s">
        <v>8</v>
      </c>
      <c r="W21" s="1508">
        <f>J21</f>
        <v>100</v>
      </c>
      <c r="X21" s="1501"/>
      <c r="Y21" s="349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7"/>
      <c r="Q22" s="1506"/>
      <c r="R22" s="1507"/>
      <c r="S22" s="1508"/>
      <c r="T22" s="1507"/>
      <c r="U22" s="1508"/>
      <c r="V22" s="1507"/>
      <c r="W22" s="1508"/>
      <c r="X22" s="1501"/>
      <c r="Y22" s="3497"/>
      <c r="Z22" s="1509"/>
      <c r="AA22" s="1510">
        <v>1</v>
      </c>
      <c r="AB22" s="1510">
        <v>1</v>
      </c>
      <c r="AC22" s="1510">
        <v>1</v>
      </c>
    </row>
    <row r="23" spans="1:29" ht="99.75">
      <c r="A23" s="526"/>
      <c r="B23" s="554" t="s">
        <v>537</v>
      </c>
      <c r="C23" s="567" t="str">
        <f>估价对象房地状况!C18</f>
        <v>估价对象周边道路状况一般、公共交通通达情况较差，有331路经过、停车便捷程度，综合评价交通便捷度一般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497"/>
      <c r="Q23" s="1506" t="str">
        <f>B23</f>
        <v>交通便捷度</v>
      </c>
      <c r="R23" s="1507" t="s">
        <v>8</v>
      </c>
      <c r="S23" s="1508">
        <f>F23</f>
        <v>100</v>
      </c>
      <c r="T23" s="1507" t="s">
        <v>8</v>
      </c>
      <c r="U23" s="1508">
        <f>H23</f>
        <v>100</v>
      </c>
      <c r="V23" s="1507" t="s">
        <v>8</v>
      </c>
      <c r="W23" s="1508">
        <f>J23</f>
        <v>100</v>
      </c>
      <c r="X23" s="1501"/>
      <c r="Y23" s="3497"/>
      <c r="Z23" s="1509" t="str">
        <f>Q23</f>
        <v>交通便捷度</v>
      </c>
      <c r="AA23" s="1510">
        <f t="shared" si="3"/>
        <v>1</v>
      </c>
      <c r="AB23" s="1510">
        <f t="shared" si="4"/>
        <v>1</v>
      </c>
      <c r="AC23" s="1510">
        <f t="shared" si="5"/>
        <v>1</v>
      </c>
    </row>
    <row r="24" spans="1:29" ht="20.25">
      <c r="A24" s="526"/>
      <c r="B24" s="572"/>
      <c r="C24" s="548" t="s">
        <v>3025</v>
      </c>
      <c r="D24" s="551"/>
      <c r="E24" s="548" t="s">
        <v>3025</v>
      </c>
      <c r="F24" s="549"/>
      <c r="G24" s="548" t="s">
        <v>3025</v>
      </c>
      <c r="H24" s="549"/>
      <c r="I24" s="548" t="s">
        <v>3025</v>
      </c>
      <c r="J24" s="549"/>
      <c r="K24" s="525"/>
      <c r="L24" s="2024"/>
      <c r="M24" s="2014"/>
      <c r="N24" s="2014"/>
      <c r="O24" s="2023"/>
      <c r="P24" s="3497"/>
      <c r="Q24" s="1506"/>
      <c r="R24" s="1507"/>
      <c r="S24" s="1508"/>
      <c r="T24" s="1507"/>
      <c r="U24" s="1508"/>
      <c r="V24" s="1507"/>
      <c r="W24" s="1508"/>
      <c r="X24" s="1501"/>
      <c r="Y24" s="349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7"/>
      <c r="Q25" s="1506" t="str">
        <f t="shared" ref="Q25:Q39" si="8">B25</f>
        <v>区域土地利用方向</v>
      </c>
      <c r="R25" s="1507" t="s">
        <v>8</v>
      </c>
      <c r="S25" s="1508">
        <f>F25</f>
        <v>100</v>
      </c>
      <c r="T25" s="1507" t="s">
        <v>8</v>
      </c>
      <c r="U25" s="1508">
        <f>H25</f>
        <v>100</v>
      </c>
      <c r="V25" s="1507" t="s">
        <v>8</v>
      </c>
      <c r="W25" s="1508">
        <f>J25</f>
        <v>100</v>
      </c>
      <c r="X25" s="1501"/>
      <c r="Y25" s="3497"/>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497"/>
      <c r="Q26" s="1506"/>
      <c r="R26" s="1507"/>
      <c r="S26" s="1508"/>
      <c r="T26" s="1507"/>
      <c r="U26" s="1508"/>
      <c r="V26" s="1507"/>
      <c r="W26" s="1508"/>
      <c r="X26" s="1501"/>
      <c r="Y26" s="3497"/>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497"/>
      <c r="Q27" s="1506" t="str">
        <f t="shared" si="8"/>
        <v>自然及人文环境状况</v>
      </c>
      <c r="R27" s="1507" t="s">
        <v>8</v>
      </c>
      <c r="S27" s="1508">
        <f>F27</f>
        <v>95</v>
      </c>
      <c r="T27" s="1507" t="s">
        <v>8</v>
      </c>
      <c r="U27" s="1508">
        <f>H27</f>
        <v>95</v>
      </c>
      <c r="V27" s="1507" t="s">
        <v>8</v>
      </c>
      <c r="W27" s="1508">
        <f>J27</f>
        <v>95</v>
      </c>
      <c r="X27" s="1501"/>
      <c r="Y27" s="3497"/>
      <c r="Z27" s="1509" t="str">
        <f>Q27</f>
        <v>自然及人文环境状况</v>
      </c>
      <c r="AA27" s="1510">
        <f t="shared" si="3"/>
        <v>1.0526315789473684</v>
      </c>
      <c r="AB27" s="1510">
        <f t="shared" si="4"/>
        <v>1.0526315789473684</v>
      </c>
      <c r="AC27" s="1510">
        <f t="shared" si="5"/>
        <v>1.0526315789473684</v>
      </c>
    </row>
    <row r="28" spans="1:29" ht="20.25">
      <c r="A28" s="509"/>
      <c r="B28" s="560"/>
      <c r="C28" s="548" t="s">
        <v>3024</v>
      </c>
      <c r="D28" s="551"/>
      <c r="E28" s="570" t="s">
        <v>3023</v>
      </c>
      <c r="F28" s="549"/>
      <c r="G28" s="570" t="s">
        <v>3023</v>
      </c>
      <c r="H28" s="549"/>
      <c r="I28" s="570" t="s">
        <v>3023</v>
      </c>
      <c r="J28" s="549"/>
      <c r="K28" s="525"/>
      <c r="L28" s="2024"/>
      <c r="M28" s="2014"/>
      <c r="N28" s="2014"/>
      <c r="O28" s="2023"/>
      <c r="P28" s="3497"/>
      <c r="Q28" s="1506"/>
      <c r="R28" s="1507"/>
      <c r="S28" s="1508"/>
      <c r="T28" s="1507"/>
      <c r="U28" s="1508"/>
      <c r="V28" s="1507"/>
      <c r="W28" s="1508"/>
      <c r="X28" s="1501"/>
      <c r="Y28" s="3497"/>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7"/>
      <c r="Q29" s="1133" t="str">
        <f t="shared" si="8"/>
        <v>公共配套设施</v>
      </c>
      <c r="R29" s="1502" t="s">
        <v>8</v>
      </c>
      <c r="S29" s="1503">
        <f>F29</f>
        <v>100</v>
      </c>
      <c r="T29" s="1502" t="s">
        <v>8</v>
      </c>
      <c r="U29" s="1503">
        <f>H29</f>
        <v>100</v>
      </c>
      <c r="V29" s="1502" t="s">
        <v>8</v>
      </c>
      <c r="W29" s="1503">
        <f>J29</f>
        <v>100</v>
      </c>
      <c r="X29" s="1504"/>
      <c r="Y29" s="3497"/>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497"/>
      <c r="Q30" s="1133"/>
      <c r="R30" s="1502"/>
      <c r="S30" s="1503"/>
      <c r="T30" s="1502"/>
      <c r="U30" s="1503"/>
      <c r="V30" s="1502"/>
      <c r="W30" s="1503"/>
      <c r="X30" s="1504"/>
      <c r="Y30" s="3497"/>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7"/>
      <c r="Q31" s="2428" t="str">
        <f t="shared" ref="Q31" si="9">B31</f>
        <v>基础设施水平</v>
      </c>
      <c r="R31" s="1502" t="s">
        <v>8</v>
      </c>
      <c r="S31" s="1503">
        <f>F31</f>
        <v>100</v>
      </c>
      <c r="T31" s="1502" t="s">
        <v>8</v>
      </c>
      <c r="U31" s="1503">
        <f>H31</f>
        <v>100</v>
      </c>
      <c r="V31" s="1502" t="s">
        <v>8</v>
      </c>
      <c r="W31" s="1503">
        <f>J31</f>
        <v>100</v>
      </c>
      <c r="X31" s="1504"/>
      <c r="Y31" s="3497"/>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497"/>
      <c r="Q32" s="2428"/>
      <c r="R32" s="1502"/>
      <c r="S32" s="1503"/>
      <c r="T32" s="1502"/>
      <c r="U32" s="1503"/>
      <c r="V32" s="1502"/>
      <c r="W32" s="1503"/>
      <c r="X32" s="1504"/>
      <c r="Y32" s="3497"/>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7"/>
      <c r="Q34" s="1506" t="str">
        <f t="shared" si="8"/>
        <v>毗邻道路的类型与等级</v>
      </c>
      <c r="R34" s="1507" t="s">
        <v>8</v>
      </c>
      <c r="S34" s="1508">
        <f t="shared" si="10"/>
        <v>100</v>
      </c>
      <c r="T34" s="1507" t="s">
        <v>8</v>
      </c>
      <c r="U34" s="1508">
        <f t="shared" si="11"/>
        <v>100</v>
      </c>
      <c r="V34" s="1507" t="s">
        <v>8</v>
      </c>
      <c r="W34" s="1508">
        <f t="shared" si="12"/>
        <v>100</v>
      </c>
      <c r="X34" s="1501"/>
      <c r="Y34" s="349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7"/>
      <c r="Q35" s="1506"/>
      <c r="R35" s="1507"/>
      <c r="S35" s="1508"/>
      <c r="T35" s="1507"/>
      <c r="U35" s="1508"/>
      <c r="V35" s="1507"/>
      <c r="W35" s="1508"/>
      <c r="X35" s="1501"/>
      <c r="Y35" s="349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7"/>
      <c r="Q36" s="1506" t="str">
        <f t="shared" si="8"/>
        <v>土地级别</v>
      </c>
      <c r="R36" s="1507" t="s">
        <v>8</v>
      </c>
      <c r="S36" s="1508">
        <f t="shared" si="10"/>
        <v>100</v>
      </c>
      <c r="T36" s="1507" t="s">
        <v>8</v>
      </c>
      <c r="U36" s="1508">
        <f t="shared" si="11"/>
        <v>100</v>
      </c>
      <c r="V36" s="1507" t="s">
        <v>8</v>
      </c>
      <c r="W36" s="1508">
        <f t="shared" si="12"/>
        <v>100</v>
      </c>
      <c r="X36" s="1501"/>
      <c r="Y36" s="349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7"/>
      <c r="Q37" s="1506">
        <f t="shared" si="8"/>
        <v>111</v>
      </c>
      <c r="R37" s="1507" t="s">
        <v>8</v>
      </c>
      <c r="S37" s="1508">
        <f t="shared" si="10"/>
        <v>100</v>
      </c>
      <c r="T37" s="1507" t="s">
        <v>8</v>
      </c>
      <c r="U37" s="1508">
        <f t="shared" si="11"/>
        <v>100</v>
      </c>
      <c r="V37" s="1507" t="s">
        <v>8</v>
      </c>
      <c r="W37" s="1508">
        <f t="shared" si="12"/>
        <v>100</v>
      </c>
      <c r="X37" s="1501"/>
      <c r="Y37" s="349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8" t="s">
        <v>544</v>
      </c>
      <c r="Q38" s="1506">
        <f t="shared" si="8"/>
        <v>111</v>
      </c>
      <c r="R38" s="1507" t="s">
        <v>8</v>
      </c>
      <c r="S38" s="1508">
        <f t="shared" si="10"/>
        <v>100</v>
      </c>
      <c r="T38" s="1507" t="s">
        <v>8</v>
      </c>
      <c r="U38" s="1508">
        <f t="shared" si="11"/>
        <v>100</v>
      </c>
      <c r="V38" s="1507" t="s">
        <v>8</v>
      </c>
      <c r="W38" s="1508">
        <f t="shared" si="12"/>
        <v>100</v>
      </c>
      <c r="X38" s="1501"/>
      <c r="Y38" s="3499"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9"/>
      <c r="Q39" s="1506">
        <f t="shared" si="8"/>
        <v>111</v>
      </c>
      <c r="R39" s="1511" t="s">
        <v>8</v>
      </c>
      <c r="S39" s="1512">
        <f t="shared" si="10"/>
        <v>100</v>
      </c>
      <c r="T39" s="1511" t="s">
        <v>8</v>
      </c>
      <c r="U39" s="1512">
        <f t="shared" si="11"/>
        <v>100</v>
      </c>
      <c r="V39" s="1511" t="s">
        <v>8</v>
      </c>
      <c r="W39" s="1512">
        <f t="shared" si="12"/>
        <v>100</v>
      </c>
      <c r="X39" s="1513"/>
      <c r="Y39" s="3499"/>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499"/>
      <c r="Q40" s="1506" t="str">
        <f>B40</f>
        <v>宗地面积</v>
      </c>
      <c r="R40" s="1507" t="s">
        <v>8</v>
      </c>
      <c r="S40" s="1508">
        <f t="shared" si="10"/>
        <v>97</v>
      </c>
      <c r="T40" s="1507" t="s">
        <v>8</v>
      </c>
      <c r="U40" s="1508">
        <f t="shared" si="11"/>
        <v>94</v>
      </c>
      <c r="V40" s="1507" t="s">
        <v>8</v>
      </c>
      <c r="W40" s="1508">
        <f t="shared" si="12"/>
        <v>94</v>
      </c>
      <c r="X40" s="1501"/>
      <c r="Y40" s="3499"/>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9"/>
      <c r="Q41" s="1506" t="str">
        <f t="shared" ref="Q41:Q47" si="14">B41</f>
        <v>宗地形状</v>
      </c>
      <c r="R41" s="1507" t="s">
        <v>8</v>
      </c>
      <c r="S41" s="1508">
        <f t="shared" si="10"/>
        <v>100</v>
      </c>
      <c r="T41" s="1507" t="s">
        <v>8</v>
      </c>
      <c r="U41" s="1508">
        <f t="shared" si="11"/>
        <v>100</v>
      </c>
      <c r="V41" s="1507" t="s">
        <v>8</v>
      </c>
      <c r="W41" s="1508">
        <f t="shared" si="12"/>
        <v>100</v>
      </c>
      <c r="X41" s="1501"/>
      <c r="Y41" s="349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9"/>
      <c r="Q42" s="1506" t="str">
        <f t="shared" si="14"/>
        <v>临街宽度及深度</v>
      </c>
      <c r="R42" s="1507" t="s">
        <v>8</v>
      </c>
      <c r="S42" s="1508">
        <f t="shared" si="10"/>
        <v>100</v>
      </c>
      <c r="T42" s="1507" t="s">
        <v>8</v>
      </c>
      <c r="U42" s="1508">
        <f t="shared" si="11"/>
        <v>100</v>
      </c>
      <c r="V42" s="1507" t="s">
        <v>8</v>
      </c>
      <c r="W42" s="1508">
        <f t="shared" si="12"/>
        <v>100</v>
      </c>
      <c r="X42" s="1501"/>
      <c r="Y42" s="3499"/>
      <c r="Z42" s="1509" t="str">
        <f t="shared" si="13"/>
        <v>临街宽度及深度</v>
      </c>
      <c r="AA42" s="1510">
        <f t="shared" si="3"/>
        <v>1</v>
      </c>
      <c r="AB42" s="1510">
        <f t="shared" si="4"/>
        <v>1</v>
      </c>
      <c r="AC42" s="1510">
        <f t="shared" si="5"/>
        <v>1</v>
      </c>
    </row>
    <row r="43" spans="1:29" s="1202" customFormat="1" ht="20.25">
      <c r="A43" s="594"/>
      <c r="B43" s="1809" t="s">
        <v>2409</v>
      </c>
      <c r="C43" s="595" t="s">
        <v>3158</v>
      </c>
      <c r="D43" s="253">
        <v>100</v>
      </c>
      <c r="E43" s="595" t="s">
        <v>3158</v>
      </c>
      <c r="F43" s="534">
        <f>SUMIF(125:125,E43,126:126)-SUMIF(125:125,C43,126:126)+100</f>
        <v>100</v>
      </c>
      <c r="G43" s="595" t="s">
        <v>3158</v>
      </c>
      <c r="H43" s="534">
        <f>SUMIF(125:125,G43,126:126)-SUMIF(125:125,C43,126:126)+100</f>
        <v>100</v>
      </c>
      <c r="I43" s="595" t="s">
        <v>3158</v>
      </c>
      <c r="J43" s="534">
        <f>SUMIF(125:125,I43,126:126)-SUMIF(125:125,C43,126:126)+100</f>
        <v>100</v>
      </c>
      <c r="K43" s="578">
        <v>1</v>
      </c>
      <c r="L43" s="2017"/>
      <c r="M43" s="2014"/>
      <c r="N43" s="2014"/>
      <c r="O43" s="2019"/>
      <c r="P43" s="3499"/>
      <c r="Q43" s="1506" t="str">
        <f t="shared" si="14"/>
        <v>宗地开发程度</v>
      </c>
      <c r="R43" s="1502" t="s">
        <v>8</v>
      </c>
      <c r="S43" s="1503">
        <f t="shared" si="10"/>
        <v>100</v>
      </c>
      <c r="T43" s="1502" t="s">
        <v>8</v>
      </c>
      <c r="U43" s="1503">
        <f t="shared" si="11"/>
        <v>100</v>
      </c>
      <c r="V43" s="1502" t="s">
        <v>8</v>
      </c>
      <c r="W43" s="1503">
        <f t="shared" si="12"/>
        <v>100</v>
      </c>
      <c r="X43" s="1504"/>
      <c r="Y43" s="3499"/>
      <c r="Z43" s="1132" t="str">
        <f t="shared" si="13"/>
        <v>宗地开发程度</v>
      </c>
      <c r="AA43" s="1505">
        <f t="shared" si="3"/>
        <v>1</v>
      </c>
      <c r="AB43" s="1505">
        <f t="shared" si="4"/>
        <v>1</v>
      </c>
      <c r="AC43" s="1505">
        <f t="shared" si="5"/>
        <v>1</v>
      </c>
    </row>
    <row r="44" spans="1:29" ht="20.25">
      <c r="A44" s="588"/>
      <c r="B44" s="521" t="s">
        <v>549</v>
      </c>
      <c r="C44" s="593" t="s">
        <v>3024</v>
      </c>
      <c r="D44" s="534">
        <v>100</v>
      </c>
      <c r="E44" s="593" t="s">
        <v>3024</v>
      </c>
      <c r="F44" s="534">
        <f>SUMIF(127:127,E44,128:128)-SUMIF(127:127,C44,128:128)+100</f>
        <v>100</v>
      </c>
      <c r="G44" s="593" t="s">
        <v>3024</v>
      </c>
      <c r="H44" s="534">
        <f>SUMIF(127:127,G44,128:128)-SUMIF(127:127,C44,128:128)+100</f>
        <v>100</v>
      </c>
      <c r="I44" s="593" t="s">
        <v>3024</v>
      </c>
      <c r="J44" s="534">
        <f>SUMIF(127:127,I44,128:128)-SUMIF(127:127,C44,128:128)+100</f>
        <v>100</v>
      </c>
      <c r="K44" s="578">
        <v>2</v>
      </c>
      <c r="L44" s="2024"/>
      <c r="M44" s="2014"/>
      <c r="N44" s="2014"/>
      <c r="O44" s="2023"/>
      <c r="P44" s="3499" t="s">
        <v>544</v>
      </c>
      <c r="Q44" s="1506" t="str">
        <f t="shared" si="14"/>
        <v>工程地质条件</v>
      </c>
      <c r="R44" s="1507" t="s">
        <v>8</v>
      </c>
      <c r="S44" s="1508">
        <f t="shared" si="10"/>
        <v>100</v>
      </c>
      <c r="T44" s="1507" t="s">
        <v>8</v>
      </c>
      <c r="U44" s="1508">
        <f t="shared" si="11"/>
        <v>100</v>
      </c>
      <c r="V44" s="1507" t="s">
        <v>8</v>
      </c>
      <c r="W44" s="1508">
        <f t="shared" si="12"/>
        <v>100</v>
      </c>
      <c r="X44" s="1501"/>
      <c r="Y44" s="349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9"/>
      <c r="Q45" s="1506">
        <f t="shared" si="14"/>
        <v>111</v>
      </c>
      <c r="R45" s="1507" t="s">
        <v>8</v>
      </c>
      <c r="S45" s="1508">
        <f t="shared" si="10"/>
        <v>100</v>
      </c>
      <c r="T45" s="1507" t="s">
        <v>8</v>
      </c>
      <c r="U45" s="1508">
        <f t="shared" si="11"/>
        <v>100</v>
      </c>
      <c r="V45" s="1507" t="s">
        <v>8</v>
      </c>
      <c r="W45" s="1508">
        <f t="shared" si="12"/>
        <v>100</v>
      </c>
      <c r="X45" s="1501"/>
      <c r="Y45" s="349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9"/>
      <c r="Q46" s="1506">
        <f t="shared" si="14"/>
        <v>111</v>
      </c>
      <c r="R46" s="1507" t="s">
        <v>8</v>
      </c>
      <c r="S46" s="1508">
        <f t="shared" si="10"/>
        <v>100</v>
      </c>
      <c r="T46" s="1507" t="s">
        <v>8</v>
      </c>
      <c r="U46" s="1508">
        <f t="shared" si="11"/>
        <v>100</v>
      </c>
      <c r="V46" s="1507" t="s">
        <v>8</v>
      </c>
      <c r="W46" s="1508">
        <f t="shared" si="12"/>
        <v>100</v>
      </c>
      <c r="X46" s="1501"/>
      <c r="Y46" s="349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9"/>
      <c r="Q47" s="1506">
        <f t="shared" si="14"/>
        <v>111</v>
      </c>
      <c r="R47" s="1511" t="s">
        <v>8</v>
      </c>
      <c r="S47" s="1512">
        <f t="shared" si="10"/>
        <v>100</v>
      </c>
      <c r="T47" s="1511" t="s">
        <v>8</v>
      </c>
      <c r="U47" s="1512">
        <f t="shared" si="11"/>
        <v>100</v>
      </c>
      <c r="V47" s="1511" t="s">
        <v>8</v>
      </c>
      <c r="W47" s="1512">
        <f t="shared" si="12"/>
        <v>100</v>
      </c>
      <c r="X47" s="1513"/>
      <c r="Y47" s="3499"/>
      <c r="Z47" s="1514">
        <f t="shared" si="13"/>
        <v>111</v>
      </c>
      <c r="AA47" s="1510">
        <f t="shared" si="3"/>
        <v>1</v>
      </c>
      <c r="AB47" s="1510">
        <f t="shared" si="4"/>
        <v>1</v>
      </c>
      <c r="AC47" s="1510">
        <f t="shared" si="5"/>
        <v>1</v>
      </c>
    </row>
    <row r="48" spans="1:29" ht="20.25">
      <c r="A48" s="601" t="s">
        <v>550</v>
      </c>
      <c r="B48" s="602" t="s">
        <v>3154</v>
      </c>
      <c r="C48" s="603" t="s">
        <v>1</v>
      </c>
      <c r="D48" s="604"/>
      <c r="E48" s="605">
        <f>ROUND(Sheet1!AC2,0)</f>
        <v>851</v>
      </c>
      <c r="F48" s="606"/>
      <c r="G48" s="607">
        <f>ROUND(Sheet1!AC3,0)</f>
        <v>841</v>
      </c>
      <c r="H48" s="608"/>
      <c r="I48" s="605">
        <f>ROUND(Sheet1!AC4,0)</f>
        <v>843</v>
      </c>
      <c r="J48" s="608"/>
      <c r="K48" s="1293"/>
      <c r="L48" s="2026"/>
      <c r="M48" s="2014"/>
      <c r="N48" s="2014"/>
      <c r="O48" s="2027"/>
      <c r="P48" s="3494" t="str">
        <f>A48</f>
        <v>成交单价</v>
      </c>
      <c r="Q48" s="3494"/>
      <c r="R48" s="3508">
        <f>E48</f>
        <v>851</v>
      </c>
      <c r="S48" s="3508"/>
      <c r="T48" s="3508">
        <f>G48</f>
        <v>841</v>
      </c>
      <c r="U48" s="3508"/>
      <c r="V48" s="3508">
        <f>I48</f>
        <v>843</v>
      </c>
      <c r="W48" s="3508"/>
      <c r="X48" s="1496"/>
      <c r="Y48" s="1515"/>
      <c r="Z48" s="1496"/>
      <c r="AA48" s="1496"/>
      <c r="AB48" s="1496"/>
      <c r="AC48" s="1496"/>
    </row>
    <row r="49" spans="1:29" ht="21" thickBot="1">
      <c r="A49" s="609" t="s">
        <v>2674</v>
      </c>
      <c r="B49" s="610"/>
      <c r="C49" s="611">
        <f>R50</f>
        <v>849</v>
      </c>
      <c r="D49" s="3014" t="s">
        <v>2967</v>
      </c>
      <c r="E49" s="611">
        <f>R49</f>
        <v>832</v>
      </c>
      <c r="F49" s="3015"/>
      <c r="G49" s="612">
        <f>T49</f>
        <v>857</v>
      </c>
      <c r="H49" s="3015"/>
      <c r="I49" s="611">
        <f>V49</f>
        <v>859</v>
      </c>
      <c r="J49" s="3015"/>
      <c r="K49" s="3016">
        <f>F49+H49+J49</f>
        <v>0</v>
      </c>
      <c r="L49" s="2026"/>
      <c r="M49" s="2014"/>
      <c r="N49" s="2014"/>
      <c r="O49" s="2027"/>
      <c r="P49" s="3494" t="str">
        <f>A49</f>
        <v>比较价格（元/平方米）</v>
      </c>
      <c r="Q49" s="3494"/>
      <c r="R49" s="3518">
        <f>ROUND(PRODUCT(R48,AA9:AA47),0)</f>
        <v>832</v>
      </c>
      <c r="S49" s="3518"/>
      <c r="T49" s="3518">
        <f>ROUND(PRODUCT(T48,AB9:AB47),0)</f>
        <v>857</v>
      </c>
      <c r="U49" s="3518"/>
      <c r="V49" s="3518">
        <f>ROUND(PRODUCT(V48,AC9:AC47),0)</f>
        <v>859</v>
      </c>
      <c r="W49" s="3518"/>
      <c r="X49" s="1496"/>
      <c r="Y49" s="1496"/>
      <c r="Z49" s="1496"/>
      <c r="AA49" s="1496"/>
      <c r="AB49" s="1496"/>
      <c r="AC49" s="1496"/>
    </row>
    <row r="50" spans="1:29" ht="21" thickBot="1">
      <c r="A50" s="613" t="s">
        <v>2899</v>
      </c>
      <c r="B50" s="614"/>
      <c r="C50" s="615">
        <f>R50</f>
        <v>849</v>
      </c>
      <c r="D50" s="615"/>
      <c r="E50" s="615"/>
      <c r="F50" s="615"/>
      <c r="G50" s="615"/>
      <c r="H50" s="615"/>
      <c r="I50" s="615"/>
      <c r="J50" s="615"/>
      <c r="K50" s="1294"/>
      <c r="L50" s="2026"/>
      <c r="M50" s="2014"/>
      <c r="N50" s="2014"/>
      <c r="O50" s="2027"/>
      <c r="P50" s="3515" t="str">
        <f>A50</f>
        <v>估价对象XX用房的比较价格（楼面单价，元/平方米）</v>
      </c>
      <c r="Q50" s="3516"/>
      <c r="R50" s="3517">
        <f>ROUND(IF(D49="简单平均",AVERAGE(R49:W49),R49*F49+T49*H49+V49*J49),0)</f>
        <v>849</v>
      </c>
      <c r="S50" s="3517"/>
      <c r="T50" s="3517"/>
      <c r="U50" s="3517"/>
      <c r="V50" s="3517"/>
      <c r="W50" s="351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2.2836538461538547E-2</v>
      </c>
      <c r="F53" s="619" t="str">
        <f>IF(OR(E53&gt;=0.3,E53&lt;=-0.3),"超过30%","")</f>
        <v/>
      </c>
      <c r="G53" s="618">
        <f>IF(G48&lt;G49,G49/G48-1,G48/G49-1)</f>
        <v>1.9024970273483932E-2</v>
      </c>
      <c r="H53" s="619" t="str">
        <f>IF(OR(G53&gt;=0.3,G53&lt;=-0.3),"超过30%","")</f>
        <v/>
      </c>
      <c r="I53" s="618">
        <f>IF(I48&lt;I49,I49/I48-1,I48/I49-1)</f>
        <v>1.8979833926453082E-2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3.0048076923076872E-2</v>
      </c>
      <c r="F54" s="619" t="str">
        <f>IF(OR(E54&gt;=0.2,E54&lt;=-0.2),"超过20%","")</f>
        <v/>
      </c>
      <c r="G54" s="618">
        <f>IF(G49&lt;I49,I49/G49-1,G49/I49-1)</f>
        <v>2.333722287047868E-3</v>
      </c>
      <c r="H54" s="619" t="str">
        <f>IF(OR(G54&gt;=0.2,G54&lt;=-0.2),"超过20%","")</f>
        <v/>
      </c>
      <c r="I54" s="618">
        <f>IF(I49&lt;E49,E49/I49-1,I49/E49-1)</f>
        <v>3.2451923076923128E-2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8" t="s">
        <v>2269</v>
      </c>
      <c r="H57" s="3479"/>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849</v>
      </c>
      <c r="C58" s="627">
        <v>1</v>
      </c>
      <c r="D58" s="2108">
        <v>1</v>
      </c>
      <c r="E58" s="627">
        <f>'数据-汇总表'!E8+'数据-汇总表'!E9</f>
        <v>302725.5</v>
      </c>
      <c r="F58" s="628">
        <f t="shared" ref="F58:F67" si="15">ROUND(B58*E58/10000,0)</f>
        <v>25701</v>
      </c>
      <c r="G58" s="3480"/>
      <c r="H58" s="348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2"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2"/>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2"/>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2"/>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302725.5</v>
      </c>
      <c r="F68" s="636">
        <f>IF(B48="楼面地价",SUM(F58:F67),ROUND(C50*E68/10000,0))</f>
        <v>25701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O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9">
        <f t="shared" si="18"/>
        <v>43132</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3027</v>
      </c>
      <c r="D108" s="3293" t="s">
        <v>3028</v>
      </c>
      <c r="E108" s="3293" t="s">
        <v>3029</v>
      </c>
      <c r="F108" s="3293" t="s">
        <v>3030</v>
      </c>
      <c r="G108" s="3293" t="s">
        <v>3031</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3047</v>
      </c>
      <c r="D121" s="3294" t="s">
        <v>3048</v>
      </c>
      <c r="E121" s="3294" t="s">
        <v>3049</v>
      </c>
      <c r="F121" s="3294" t="s">
        <v>3050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3051</v>
      </c>
      <c r="D123" s="3293" t="s">
        <v>3052</v>
      </c>
      <c r="E123" s="3293" t="s">
        <v>3053</v>
      </c>
      <c r="F123" s="3294" t="s">
        <v>3054</v>
      </c>
      <c r="G123" s="3294" t="s">
        <v>3055</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3042</v>
      </c>
      <c r="D125" s="1326" t="s">
        <v>3043</v>
      </c>
      <c r="E125" s="1326" t="s">
        <v>3044</v>
      </c>
      <c r="F125" s="1326" t="s">
        <v>3045</v>
      </c>
      <c r="G125" s="1326" t="s">
        <v>3056</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3057</v>
      </c>
      <c r="D127" s="3293" t="s">
        <v>3058</v>
      </c>
      <c r="E127" s="3294" t="s">
        <v>3059</v>
      </c>
      <c r="F127" s="3294" t="s">
        <v>3060</v>
      </c>
      <c r="G127" s="3294" t="s">
        <v>3061</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江苏省连云港海州区锦屏山东南侧5号地出让国有建设用地使用权预评估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00" t="s">
        <v>516</v>
      </c>
      <c r="D6" s="3501"/>
      <c r="E6" s="3525" t="s">
        <v>517</v>
      </c>
      <c r="F6" s="3526"/>
      <c r="G6" s="3500" t="s">
        <v>518</v>
      </c>
      <c r="H6" s="3501"/>
      <c r="I6" s="3500" t="s">
        <v>519</v>
      </c>
      <c r="J6" s="3501"/>
      <c r="K6" s="508" t="s">
        <v>520</v>
      </c>
      <c r="L6" s="2015"/>
      <c r="M6" s="2016"/>
      <c r="N6" s="2016"/>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29" ht="15">
      <c r="A7" s="509"/>
      <c r="B7" s="510"/>
      <c r="C7" s="3511" t="s">
        <v>2893</v>
      </c>
      <c r="D7" s="3512"/>
      <c r="E7" s="3527" t="s">
        <v>2894</v>
      </c>
      <c r="F7" s="3528"/>
      <c r="G7" s="3511" t="s">
        <v>2895</v>
      </c>
      <c r="H7" s="3512"/>
      <c r="I7" s="3511" t="s">
        <v>2896</v>
      </c>
      <c r="J7" s="3512"/>
      <c r="K7" s="508"/>
      <c r="L7" s="2015"/>
      <c r="M7" s="2016"/>
      <c r="N7" s="2016"/>
      <c r="O7" s="2016"/>
      <c r="P7" s="3504"/>
      <c r="Q7" s="3505"/>
      <c r="R7" s="3490"/>
      <c r="S7" s="3491"/>
      <c r="T7" s="3490"/>
      <c r="U7" s="3491"/>
      <c r="V7" s="3508"/>
      <c r="W7" s="3508"/>
      <c r="X7" s="1501"/>
      <c r="Y7" s="3490"/>
      <c r="Z7" s="3491"/>
      <c r="AA7" s="3484"/>
      <c r="AB7" s="3484"/>
      <c r="AC7" s="3484"/>
    </row>
    <row r="8" spans="1:29" ht="15.75" thickBot="1">
      <c r="A8" s="511"/>
      <c r="B8" s="512"/>
      <c r="C8" s="3509" t="s">
        <v>2897</v>
      </c>
      <c r="D8" s="3510"/>
      <c r="E8" s="3529" t="s">
        <v>2897</v>
      </c>
      <c r="F8" s="3530"/>
      <c r="G8" s="3509" t="s">
        <v>2897</v>
      </c>
      <c r="H8" s="3510"/>
      <c r="I8" s="3509" t="s">
        <v>2897</v>
      </c>
      <c r="J8" s="3510"/>
      <c r="K8" s="508" t="s">
        <v>522</v>
      </c>
      <c r="L8" s="2015"/>
      <c r="M8" s="2016"/>
      <c r="N8" s="2016"/>
      <c r="O8" s="2016"/>
      <c r="P8" s="3506"/>
      <c r="Q8" s="3507"/>
      <c r="R8" s="3490"/>
      <c r="S8" s="3491"/>
      <c r="T8" s="3492"/>
      <c r="U8" s="3493"/>
      <c r="V8" s="3508"/>
      <c r="W8" s="3508"/>
      <c r="X8" s="1501"/>
      <c r="Y8" s="3492"/>
      <c r="Z8" s="3493"/>
      <c r="AA8" s="3485"/>
      <c r="AB8" s="3485"/>
      <c r="AC8" s="3485"/>
    </row>
    <row r="9" spans="1:29" s="1202" customFormat="1" ht="15.75" thickBot="1">
      <c r="A9" s="2629"/>
      <c r="B9" s="2636" t="s">
        <v>523</v>
      </c>
      <c r="C9" s="513">
        <f>'数据-取费表'!B2</f>
        <v>44234</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6" t="s">
        <v>524</v>
      </c>
      <c r="Q9" s="3495"/>
      <c r="R9" s="1502" t="s">
        <v>8</v>
      </c>
      <c r="S9" s="1503">
        <f t="shared" ref="S9:S17" si="0">F9</f>
        <v>0</v>
      </c>
      <c r="T9" s="1502" t="s">
        <v>8</v>
      </c>
      <c r="U9" s="1503">
        <f t="shared" ref="U9:U17" si="1">H9</f>
        <v>0</v>
      </c>
      <c r="V9" s="1502" t="s">
        <v>8</v>
      </c>
      <c r="W9" s="1503">
        <f t="shared" ref="W9:W17" si="2">J9</f>
        <v>0</v>
      </c>
      <c r="X9" s="1504"/>
      <c r="Y9" s="3486" t="s">
        <v>524</v>
      </c>
      <c r="Z9" s="348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6" t="s">
        <v>527</v>
      </c>
      <c r="Q10" s="3487"/>
      <c r="R10" s="1502" t="s">
        <v>8</v>
      </c>
      <c r="S10" s="1503">
        <f t="shared" si="0"/>
        <v>0</v>
      </c>
      <c r="T10" s="1502" t="s">
        <v>8</v>
      </c>
      <c r="U10" s="1503">
        <f t="shared" si="1"/>
        <v>0</v>
      </c>
      <c r="V10" s="1502" t="s">
        <v>8</v>
      </c>
      <c r="W10" s="1503">
        <f t="shared" si="2"/>
        <v>0</v>
      </c>
      <c r="X10" s="1504"/>
      <c r="Y10" s="3486" t="s">
        <v>527</v>
      </c>
      <c r="Z10" s="3487"/>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4"/>
      <c r="Q13" s="1133" t="str">
        <f t="shared" si="6"/>
        <v>容积率</v>
      </c>
      <c r="R13" s="1502" t="s">
        <v>8</v>
      </c>
      <c r="S13" s="1503" t="e">
        <f t="shared" si="0"/>
        <v>#N/A</v>
      </c>
      <c r="T13" s="1502" t="s">
        <v>8</v>
      </c>
      <c r="U13" s="1503" t="e">
        <f t="shared" si="1"/>
        <v>#N/A</v>
      </c>
      <c r="V13" s="1502" t="s">
        <v>8</v>
      </c>
      <c r="W13" s="1503" t="e">
        <f t="shared" si="2"/>
        <v>#N/A</v>
      </c>
      <c r="X13" s="1504"/>
      <c r="Y13" s="344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6" t="s">
        <v>534</v>
      </c>
      <c r="Q17" s="1506" t="str">
        <f t="shared" si="6"/>
        <v>产业集聚程度</v>
      </c>
      <c r="R17" s="1507" t="s">
        <v>8</v>
      </c>
      <c r="S17" s="1508">
        <f t="shared" si="0"/>
        <v>100</v>
      </c>
      <c r="T17" s="1507" t="s">
        <v>8</v>
      </c>
      <c r="U17" s="1508">
        <f t="shared" si="1"/>
        <v>100</v>
      </c>
      <c r="V17" s="1507" t="s">
        <v>8</v>
      </c>
      <c r="W17" s="1508">
        <f t="shared" si="2"/>
        <v>100</v>
      </c>
      <c r="X17" s="1501"/>
      <c r="Y17" s="349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7"/>
      <c r="Q18" s="1506"/>
      <c r="R18" s="1507"/>
      <c r="S18" s="1508"/>
      <c r="T18" s="1507"/>
      <c r="U18" s="1508"/>
      <c r="V18" s="1507"/>
      <c r="W18" s="1508"/>
      <c r="X18" s="1501"/>
      <c r="Y18" s="349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7"/>
      <c r="Q19" s="1506" t="str">
        <f>B19</f>
        <v>交通便捷度</v>
      </c>
      <c r="R19" s="1507" t="s">
        <v>8</v>
      </c>
      <c r="S19" s="1508">
        <f>F19</f>
        <v>100</v>
      </c>
      <c r="T19" s="1507" t="s">
        <v>8</v>
      </c>
      <c r="U19" s="1508">
        <f>H19</f>
        <v>100</v>
      </c>
      <c r="V19" s="1507" t="s">
        <v>8</v>
      </c>
      <c r="W19" s="1508">
        <f>J19</f>
        <v>100</v>
      </c>
      <c r="X19" s="1501"/>
      <c r="Y19" s="349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7"/>
      <c r="Q21" s="1506" t="str">
        <f t="shared" ref="Q21:Q35" si="8">B21</f>
        <v>区域土地利用方向</v>
      </c>
      <c r="R21" s="1507" t="s">
        <v>8</v>
      </c>
      <c r="S21" s="1508">
        <f>F21</f>
        <v>100</v>
      </c>
      <c r="T21" s="1507" t="s">
        <v>8</v>
      </c>
      <c r="U21" s="1508">
        <f>H21</f>
        <v>100</v>
      </c>
      <c r="V21" s="1507" t="s">
        <v>8</v>
      </c>
      <c r="W21" s="1508">
        <f>J21</f>
        <v>100</v>
      </c>
      <c r="X21" s="1501"/>
      <c r="Y21" s="349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7"/>
      <c r="Q22" s="1506"/>
      <c r="R22" s="1507"/>
      <c r="S22" s="1508"/>
      <c r="T22" s="1507"/>
      <c r="U22" s="1508"/>
      <c r="V22" s="1507"/>
      <c r="W22" s="1508"/>
      <c r="X22" s="1501"/>
      <c r="Y22" s="349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7"/>
      <c r="Q23" s="1506" t="str">
        <f t="shared" si="8"/>
        <v>环境状况</v>
      </c>
      <c r="R23" s="1507" t="s">
        <v>8</v>
      </c>
      <c r="S23" s="1508">
        <f>F23</f>
        <v>100</v>
      </c>
      <c r="T23" s="1507" t="s">
        <v>8</v>
      </c>
      <c r="U23" s="1508">
        <f>H23</f>
        <v>100</v>
      </c>
      <c r="V23" s="1507" t="s">
        <v>8</v>
      </c>
      <c r="W23" s="1508">
        <f>J23</f>
        <v>100</v>
      </c>
      <c r="X23" s="1501"/>
      <c r="Y23" s="349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7"/>
      <c r="Q24" s="1506"/>
      <c r="R24" s="1507"/>
      <c r="S24" s="1508"/>
      <c r="T24" s="1507"/>
      <c r="U24" s="1508"/>
      <c r="V24" s="1507"/>
      <c r="W24" s="1508"/>
      <c r="X24" s="1501"/>
      <c r="Y24" s="3497"/>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7"/>
      <c r="Q25" s="1133" t="str">
        <f t="shared" si="8"/>
        <v>公共配套设施</v>
      </c>
      <c r="R25" s="1502" t="s">
        <v>8</v>
      </c>
      <c r="S25" s="1503">
        <f>F25</f>
        <v>100</v>
      </c>
      <c r="T25" s="1502" t="s">
        <v>8</v>
      </c>
      <c r="U25" s="1503">
        <f>H25</f>
        <v>100</v>
      </c>
      <c r="V25" s="1502" t="s">
        <v>8</v>
      </c>
      <c r="W25" s="1503">
        <f>J25</f>
        <v>100</v>
      </c>
      <c r="X25" s="1504"/>
      <c r="Y25" s="349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7"/>
      <c r="Q26" s="1133"/>
      <c r="R26" s="1502"/>
      <c r="S26" s="1503"/>
      <c r="T26" s="1502"/>
      <c r="U26" s="1503"/>
      <c r="V26" s="1502"/>
      <c r="W26" s="1503"/>
      <c r="X26" s="1504"/>
      <c r="Y26" s="3497"/>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7"/>
      <c r="Q27" s="2428" t="str">
        <f t="shared" ref="Q27" si="9">B27</f>
        <v>基础设施水平</v>
      </c>
      <c r="R27" s="1502" t="s">
        <v>8</v>
      </c>
      <c r="S27" s="1503">
        <f>F27</f>
        <v>100</v>
      </c>
      <c r="T27" s="1502" t="s">
        <v>8</v>
      </c>
      <c r="U27" s="1503">
        <f>H27</f>
        <v>100</v>
      </c>
      <c r="V27" s="1502" t="s">
        <v>8</v>
      </c>
      <c r="W27" s="1503">
        <f>J27</f>
        <v>100</v>
      </c>
      <c r="X27" s="1504"/>
      <c r="Y27" s="349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7"/>
      <c r="Q28" s="2428"/>
      <c r="R28" s="1502"/>
      <c r="S28" s="1503"/>
      <c r="T28" s="1502"/>
      <c r="U28" s="1503"/>
      <c r="V28" s="1502"/>
      <c r="W28" s="1503"/>
      <c r="X28" s="1504"/>
      <c r="Y28" s="349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7"/>
      <c r="Q30" s="1506" t="str">
        <f t="shared" si="8"/>
        <v>毗邻道路的类型与等级</v>
      </c>
      <c r="R30" s="1507" t="s">
        <v>8</v>
      </c>
      <c r="S30" s="1508">
        <f t="shared" si="10"/>
        <v>100</v>
      </c>
      <c r="T30" s="1507" t="s">
        <v>8</v>
      </c>
      <c r="U30" s="1508">
        <f t="shared" si="11"/>
        <v>100</v>
      </c>
      <c r="V30" s="1507" t="s">
        <v>8</v>
      </c>
      <c r="W30" s="1508">
        <f t="shared" si="12"/>
        <v>100</v>
      </c>
      <c r="X30" s="1501"/>
      <c r="Y30" s="349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7"/>
      <c r="Q31" s="1506"/>
      <c r="R31" s="1507"/>
      <c r="S31" s="1508"/>
      <c r="T31" s="1507"/>
      <c r="U31" s="1508"/>
      <c r="V31" s="1507"/>
      <c r="W31" s="1508"/>
      <c r="X31" s="1501"/>
      <c r="Y31" s="349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7"/>
      <c r="Q32" s="1506" t="str">
        <f t="shared" si="8"/>
        <v>土地级别</v>
      </c>
      <c r="R32" s="1507" t="s">
        <v>8</v>
      </c>
      <c r="S32" s="1508">
        <f t="shared" si="10"/>
        <v>100</v>
      </c>
      <c r="T32" s="1507" t="s">
        <v>8</v>
      </c>
      <c r="U32" s="1508">
        <f t="shared" si="11"/>
        <v>100</v>
      </c>
      <c r="V32" s="1507" t="s">
        <v>8</v>
      </c>
      <c r="W32" s="1508">
        <f t="shared" si="12"/>
        <v>100</v>
      </c>
      <c r="X32" s="1501"/>
      <c r="Y32" s="349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7"/>
      <c r="Q33" s="1506">
        <f t="shared" si="8"/>
        <v>111</v>
      </c>
      <c r="R33" s="1507" t="s">
        <v>8</v>
      </c>
      <c r="S33" s="1508">
        <f t="shared" si="10"/>
        <v>100</v>
      </c>
      <c r="T33" s="1507" t="s">
        <v>8</v>
      </c>
      <c r="U33" s="1508">
        <f t="shared" si="11"/>
        <v>100</v>
      </c>
      <c r="V33" s="1507" t="s">
        <v>8</v>
      </c>
      <c r="W33" s="1508">
        <f t="shared" si="12"/>
        <v>100</v>
      </c>
      <c r="X33" s="1501"/>
      <c r="Y33" s="349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8" t="s">
        <v>544</v>
      </c>
      <c r="Q34" s="1506">
        <f t="shared" si="8"/>
        <v>111</v>
      </c>
      <c r="R34" s="1507" t="s">
        <v>8</v>
      </c>
      <c r="S34" s="1508">
        <f t="shared" si="10"/>
        <v>100</v>
      </c>
      <c r="T34" s="1507" t="s">
        <v>8</v>
      </c>
      <c r="U34" s="1508">
        <f t="shared" si="11"/>
        <v>100</v>
      </c>
      <c r="V34" s="1507" t="s">
        <v>8</v>
      </c>
      <c r="W34" s="1508">
        <f t="shared" si="12"/>
        <v>100</v>
      </c>
      <c r="X34" s="1501"/>
      <c r="Y34" s="349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9"/>
      <c r="Q35" s="1506">
        <f t="shared" si="8"/>
        <v>111</v>
      </c>
      <c r="R35" s="1511" t="s">
        <v>8</v>
      </c>
      <c r="S35" s="1512">
        <f t="shared" si="10"/>
        <v>100</v>
      </c>
      <c r="T35" s="1511" t="s">
        <v>8</v>
      </c>
      <c r="U35" s="1512">
        <f t="shared" si="11"/>
        <v>100</v>
      </c>
      <c r="V35" s="1511" t="s">
        <v>8</v>
      </c>
      <c r="W35" s="1512">
        <f t="shared" si="12"/>
        <v>100</v>
      </c>
      <c r="X35" s="1513"/>
      <c r="Y35" s="3499"/>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9"/>
      <c r="Q36" s="1506" t="str">
        <f>B36</f>
        <v>宗地面积</v>
      </c>
      <c r="R36" s="1507" t="s">
        <v>8</v>
      </c>
      <c r="S36" s="1508" t="e">
        <f t="shared" si="10"/>
        <v>#N/A</v>
      </c>
      <c r="T36" s="1507" t="s">
        <v>8</v>
      </c>
      <c r="U36" s="1508" t="e">
        <f t="shared" si="11"/>
        <v>#N/A</v>
      </c>
      <c r="V36" s="1507" t="s">
        <v>8</v>
      </c>
      <c r="W36" s="1508" t="e">
        <f t="shared" si="12"/>
        <v>#N/A</v>
      </c>
      <c r="X36" s="1501"/>
      <c r="Y36" s="349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9"/>
      <c r="Q37" s="1506" t="str">
        <f t="shared" ref="Q37:Q42" si="14">B37</f>
        <v>宗地形状</v>
      </c>
      <c r="R37" s="1507" t="s">
        <v>8</v>
      </c>
      <c r="S37" s="1508">
        <f t="shared" si="10"/>
        <v>100</v>
      </c>
      <c r="T37" s="1507" t="s">
        <v>8</v>
      </c>
      <c r="U37" s="1508">
        <f t="shared" si="11"/>
        <v>100</v>
      </c>
      <c r="V37" s="1507" t="s">
        <v>8</v>
      </c>
      <c r="W37" s="1508">
        <f t="shared" si="12"/>
        <v>100</v>
      </c>
      <c r="X37" s="1501"/>
      <c r="Y37" s="3499"/>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9"/>
      <c r="Q38" s="1506" t="str">
        <f t="shared" si="14"/>
        <v>宗地开发程度</v>
      </c>
      <c r="R38" s="1502" t="s">
        <v>8</v>
      </c>
      <c r="S38" s="1503">
        <f t="shared" si="10"/>
        <v>100</v>
      </c>
      <c r="T38" s="1502" t="s">
        <v>8</v>
      </c>
      <c r="U38" s="1503">
        <f t="shared" si="11"/>
        <v>100</v>
      </c>
      <c r="V38" s="1502" t="s">
        <v>8</v>
      </c>
      <c r="W38" s="1503">
        <f t="shared" si="12"/>
        <v>100</v>
      </c>
      <c r="X38" s="1504"/>
      <c r="Y38" s="349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t="s">
        <v>595</v>
      </c>
      <c r="Q39" s="1506" t="str">
        <f t="shared" si="14"/>
        <v>工程地质条件</v>
      </c>
      <c r="R39" s="1507" t="s">
        <v>8</v>
      </c>
      <c r="S39" s="1508">
        <f t="shared" si="10"/>
        <v>100</v>
      </c>
      <c r="T39" s="1507" t="s">
        <v>8</v>
      </c>
      <c r="U39" s="1508">
        <f t="shared" si="11"/>
        <v>100</v>
      </c>
      <c r="V39" s="1507" t="s">
        <v>8</v>
      </c>
      <c r="W39" s="1508">
        <f t="shared" si="12"/>
        <v>100</v>
      </c>
      <c r="X39" s="1501"/>
      <c r="Y39" s="349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9"/>
      <c r="Q40" s="1506">
        <f t="shared" si="14"/>
        <v>111</v>
      </c>
      <c r="R40" s="1507" t="s">
        <v>8</v>
      </c>
      <c r="S40" s="1508">
        <f t="shared" si="10"/>
        <v>100</v>
      </c>
      <c r="T40" s="1507" t="s">
        <v>8</v>
      </c>
      <c r="U40" s="1508">
        <f t="shared" si="11"/>
        <v>100</v>
      </c>
      <c r="V40" s="1507" t="s">
        <v>8</v>
      </c>
      <c r="W40" s="1508">
        <f t="shared" si="12"/>
        <v>100</v>
      </c>
      <c r="X40" s="1501"/>
      <c r="Y40" s="349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9"/>
      <c r="Q41" s="1506">
        <f t="shared" si="14"/>
        <v>111</v>
      </c>
      <c r="R41" s="1507" t="s">
        <v>8</v>
      </c>
      <c r="S41" s="1508">
        <f t="shared" si="10"/>
        <v>100</v>
      </c>
      <c r="T41" s="1507" t="s">
        <v>8</v>
      </c>
      <c r="U41" s="1508">
        <f t="shared" si="11"/>
        <v>100</v>
      </c>
      <c r="V41" s="1507" t="s">
        <v>8</v>
      </c>
      <c r="W41" s="1508">
        <f t="shared" si="12"/>
        <v>100</v>
      </c>
      <c r="X41" s="1501"/>
      <c r="Y41" s="349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9"/>
      <c r="Q42" s="1506">
        <f t="shared" si="14"/>
        <v>111</v>
      </c>
      <c r="R42" s="1511" t="s">
        <v>8</v>
      </c>
      <c r="S42" s="1512">
        <f t="shared" si="10"/>
        <v>100</v>
      </c>
      <c r="T42" s="1511" t="s">
        <v>8</v>
      </c>
      <c r="U42" s="1512">
        <f t="shared" si="11"/>
        <v>100</v>
      </c>
      <c r="V42" s="1511" t="s">
        <v>8</v>
      </c>
      <c r="W42" s="1512">
        <f t="shared" si="12"/>
        <v>100</v>
      </c>
      <c r="X42" s="1513"/>
      <c r="Y42" s="3499"/>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94" t="str">
        <f>A43</f>
        <v>成交单价</v>
      </c>
      <c r="Q43" s="3494"/>
      <c r="R43" s="3508">
        <f>E43</f>
        <v>0</v>
      </c>
      <c r="S43" s="3508"/>
      <c r="T43" s="3508">
        <f>G43</f>
        <v>0</v>
      </c>
      <c r="U43" s="3508"/>
      <c r="V43" s="3508">
        <f>I43</f>
        <v>0</v>
      </c>
      <c r="W43" s="3508"/>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94" t="str">
        <f>A44</f>
        <v>比较价格（元/平方米）</v>
      </c>
      <c r="Q44" s="3494"/>
      <c r="R44" s="3518" t="e">
        <f>ROUND(PRODUCT(R43,AA9:AA42),0)</f>
        <v>#DIV/0!</v>
      </c>
      <c r="S44" s="3518"/>
      <c r="T44" s="3518" t="e">
        <f>ROUND(PRODUCT(T43,AB9:AB42),0)</f>
        <v>#DIV/0!</v>
      </c>
      <c r="U44" s="3518"/>
      <c r="V44" s="3518" t="e">
        <f>ROUND(PRODUCT(V43,AC9:AC42),0)</f>
        <v>#DIV/0!</v>
      </c>
      <c r="W44" s="3518"/>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515" t="str">
        <f>A45</f>
        <v>估价对象XX用房的比较价格（楼面单价，元/平方米）</v>
      </c>
      <c r="Q45" s="3516"/>
      <c r="R45" s="3524" t="e">
        <f>ROUND(IF(D44="简单平均",AVERAGE(R44:W44),R44*F44+T44*H44+V44*J44),0)</f>
        <v>#DIV/0!</v>
      </c>
      <c r="S45" s="3524"/>
      <c r="T45" s="3524"/>
      <c r="U45" s="3524"/>
      <c r="V45" s="3524"/>
      <c r="W45" s="352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9" t="s">
        <v>2272</v>
      </c>
      <c r="H52" s="3520"/>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302725.5</v>
      </c>
      <c r="F53" s="1864" t="e">
        <f t="shared" ref="F53:F62" si="15">ROUND(B53*E53/10000,0)</f>
        <v>#DIV/0!</v>
      </c>
      <c r="G53" s="3521"/>
      <c r="H53" s="352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3"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3"/>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3"/>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3"/>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2"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33"/>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43" t="s">
        <v>2763</v>
      </c>
      <c r="X8" s="354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3"/>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4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3"/>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4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3"/>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42"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32"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4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4"/>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2"/>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34"/>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5"/>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2" t="s">
        <v>1829</v>
      </c>
      <c r="B16" s="1375" t="s">
        <v>941</v>
      </c>
      <c r="C16" s="1038" t="e">
        <f>ROUND(IF(F17="与级别开发程度一致",0,(G17-E17)/C17),0)</f>
        <v>#DIV/0!</v>
      </c>
      <c r="D16" s="3550" t="s">
        <v>945</v>
      </c>
      <c r="E16" s="3551"/>
      <c r="F16" s="3550" t="s">
        <v>942</v>
      </c>
      <c r="G16" s="3551"/>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44234</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估价对象周边商业氛围成熟度较差，人流量较少，住宅底商为主，商业繁华度较差</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估价对象周边道路状况一般、公共交通通达情况较差，有331路经过、停车便捷程度，综合评价交通便捷度一般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估价对象周边道路状况一般、公共交通通达情况较差，有331路经过、停车便捷程度，综合评价交通便捷度一般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估价对象周边道路状况一般、公共交通通达情况较差，有331路经过、停车便捷程度，综合评价交通便捷度一般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7" t="s">
        <v>1624</v>
      </c>
      <c r="B90" s="3537"/>
      <c r="C90" s="3537"/>
      <c r="D90" s="3537"/>
      <c r="E90" s="3537"/>
      <c r="F90" s="3537"/>
      <c r="G90" s="3537"/>
      <c r="H90" s="3537"/>
      <c r="I90" s="3537"/>
      <c r="J90" s="3537"/>
      <c r="K90" s="2305"/>
      <c r="L90" s="2305"/>
      <c r="M90" s="2305"/>
      <c r="N90" s="2305"/>
    </row>
    <row r="91" spans="1:40">
      <c r="A91" s="3538" t="s">
        <v>1434</v>
      </c>
      <c r="B91" s="3538" t="s">
        <v>1625</v>
      </c>
      <c r="C91" s="1122" t="s">
        <v>1626</v>
      </c>
      <c r="D91" s="1123"/>
      <c r="E91" s="1123"/>
      <c r="F91" s="1123"/>
      <c r="G91" s="1123"/>
      <c r="H91" s="1123"/>
      <c r="I91" s="1123"/>
      <c r="J91" s="1124"/>
      <c r="K91" s="1116"/>
      <c r="L91" s="1116"/>
      <c r="M91" s="1116"/>
      <c r="N91" s="1116"/>
    </row>
    <row r="92" spans="1:40">
      <c r="A92" s="3538"/>
      <c r="B92" s="353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5"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5"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46"/>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46"/>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46"/>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46"/>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46"/>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46"/>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46"/>
      <c r="B108" s="354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7"/>
      <c r="B109" s="3549"/>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31" t="s">
        <v>1630</v>
      </c>
      <c r="B110" s="3531"/>
      <c r="C110" s="3531"/>
      <c r="D110" s="3531"/>
      <c r="E110" s="3531"/>
      <c r="F110" s="3531"/>
      <c r="G110" s="3531"/>
      <c r="H110" s="3531"/>
      <c r="I110" s="3531"/>
      <c r="J110" s="3531"/>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8" t="s">
        <v>998</v>
      </c>
      <c r="B18" s="1136" t="s">
        <v>1437</v>
      </c>
      <c r="C18" s="1113" t="s">
        <v>1438</v>
      </c>
      <c r="D18" s="1114"/>
      <c r="E18" s="1136">
        <v>1</v>
      </c>
      <c r="F18" s="1115" t="s">
        <v>1439</v>
      </c>
      <c r="G18" s="1116"/>
      <c r="H18" s="1087"/>
      <c r="I18" s="1087"/>
    </row>
    <row r="19" spans="1:9" s="1529" customFormat="1" ht="19.5" customHeight="1">
      <c r="A19" s="3538"/>
      <c r="B19" s="3538" t="s">
        <v>1440</v>
      </c>
      <c r="C19" s="1113" t="s">
        <v>1441</v>
      </c>
      <c r="D19" s="1114"/>
      <c r="E19" s="1136">
        <v>0.9</v>
      </c>
      <c r="F19" s="1115" t="s">
        <v>1442</v>
      </c>
      <c r="G19" s="1116"/>
      <c r="H19" s="1087"/>
      <c r="I19" s="1087"/>
    </row>
    <row r="20" spans="1:9" s="1529" customFormat="1" ht="19.5" customHeight="1">
      <c r="A20" s="3538"/>
      <c r="B20" s="3538"/>
      <c r="C20" s="1113" t="s">
        <v>1443</v>
      </c>
      <c r="D20" s="1114"/>
      <c r="E20" s="1136">
        <v>1.1000000000000001</v>
      </c>
      <c r="F20" s="1115" t="s">
        <v>1444</v>
      </c>
      <c r="G20" s="1116"/>
      <c r="H20" s="1087"/>
      <c r="I20" s="1087"/>
    </row>
    <row r="21" spans="1:9" s="1529" customFormat="1" ht="19.5" customHeight="1">
      <c r="A21" s="3538"/>
      <c r="B21" s="3538"/>
      <c r="C21" s="1113" t="s">
        <v>1445</v>
      </c>
      <c r="D21" s="1114"/>
      <c r="E21" s="1136">
        <v>0.8</v>
      </c>
      <c r="F21" s="1115" t="s">
        <v>1446</v>
      </c>
      <c r="G21" s="1116"/>
      <c r="H21" s="1087"/>
      <c r="I21" s="1087"/>
    </row>
    <row r="22" spans="1:9" s="1529" customFormat="1" ht="19.5" customHeight="1">
      <c r="A22" s="3538"/>
      <c r="B22" s="3538"/>
      <c r="C22" s="1113" t="s">
        <v>1447</v>
      </c>
      <c r="D22" s="1114"/>
      <c r="E22" s="1136">
        <v>0.5</v>
      </c>
      <c r="F22" s="1115"/>
      <c r="G22" s="1116"/>
      <c r="H22" s="1087"/>
      <c r="I22" s="1087"/>
    </row>
    <row r="23" spans="1:9" s="1529" customFormat="1" ht="19.5" customHeight="1">
      <c r="A23" s="3538" t="s">
        <v>1020</v>
      </c>
      <c r="B23" s="1136" t="s">
        <v>1437</v>
      </c>
      <c r="C23" s="1113" t="s">
        <v>1448</v>
      </c>
      <c r="D23" s="1114"/>
      <c r="E23" s="1136">
        <v>1</v>
      </c>
      <c r="F23" s="1115" t="s">
        <v>1449</v>
      </c>
      <c r="G23" s="1116"/>
      <c r="H23" s="1087"/>
      <c r="I23" s="1087"/>
    </row>
    <row r="24" spans="1:9" s="1529" customFormat="1" ht="19.5" customHeight="1">
      <c r="A24" s="3538"/>
      <c r="B24" s="3538" t="s">
        <v>1440</v>
      </c>
      <c r="C24" s="1113" t="s">
        <v>1450</v>
      </c>
      <c r="D24" s="1114"/>
      <c r="E24" s="1136">
        <v>0.5</v>
      </c>
      <c r="F24" s="1115"/>
      <c r="G24" s="1116"/>
      <c r="H24" s="1087"/>
      <c r="I24" s="1087"/>
    </row>
    <row r="25" spans="1:9" s="1529" customFormat="1" ht="19.5" customHeight="1">
      <c r="A25" s="3538"/>
      <c r="B25" s="3538"/>
      <c r="C25" s="1113" t="s">
        <v>1451</v>
      </c>
      <c r="D25" s="1114"/>
      <c r="E25" s="1136">
        <v>1.1000000000000001</v>
      </c>
      <c r="F25" s="1115"/>
      <c r="G25" s="1116"/>
      <c r="H25" s="1087"/>
      <c r="I25" s="1087"/>
    </row>
    <row r="26" spans="1:9" s="1529" customFormat="1" ht="19.5" customHeight="1">
      <c r="A26" s="3538"/>
      <c r="B26" s="3538"/>
      <c r="C26" s="1113" t="s">
        <v>1452</v>
      </c>
      <c r="D26" s="1114"/>
      <c r="E26" s="1136">
        <v>1.1000000000000001</v>
      </c>
      <c r="F26" s="1115"/>
      <c r="G26" s="1116"/>
      <c r="H26" s="1087"/>
      <c r="I26" s="1087"/>
    </row>
    <row r="27" spans="1:9" s="1529" customFormat="1" ht="19.5" customHeight="1">
      <c r="A27" s="3538"/>
      <c r="B27" s="3538"/>
      <c r="C27" s="1113" t="s">
        <v>1453</v>
      </c>
      <c r="D27" s="1114"/>
      <c r="E27" s="1136">
        <v>0.9</v>
      </c>
      <c r="F27" s="1115" t="s">
        <v>1454</v>
      </c>
      <c r="G27" s="1116"/>
      <c r="H27" s="1087"/>
      <c r="I27" s="1087"/>
    </row>
    <row r="28" spans="1:9" s="1529" customFormat="1" ht="19.5" customHeight="1">
      <c r="A28" s="3538"/>
      <c r="B28" s="3538"/>
      <c r="C28" s="1113" t="s">
        <v>1455</v>
      </c>
      <c r="D28" s="1114"/>
      <c r="E28" s="1136">
        <v>0.9</v>
      </c>
      <c r="F28" s="1115" t="s">
        <v>1456</v>
      </c>
      <c r="G28" s="1116"/>
      <c r="H28" s="1087"/>
      <c r="I28" s="1087"/>
    </row>
    <row r="29" spans="1:9" s="1529" customFormat="1" ht="19.5" customHeight="1">
      <c r="A29" s="3538"/>
      <c r="B29" s="3538"/>
      <c r="C29" s="1113" t="s">
        <v>1457</v>
      </c>
      <c r="D29" s="1114"/>
      <c r="E29" s="1136">
        <v>0.9</v>
      </c>
      <c r="F29" s="1115" t="s">
        <v>1458</v>
      </c>
      <c r="G29" s="1116"/>
      <c r="H29" s="1087"/>
      <c r="I29" s="1087"/>
    </row>
    <row r="30" spans="1:9" s="1529" customFormat="1" ht="19.5" customHeight="1">
      <c r="A30" s="3538"/>
      <c r="B30" s="3538"/>
      <c r="C30" s="1113" t="s">
        <v>1459</v>
      </c>
      <c r="D30" s="1114"/>
      <c r="E30" s="1136">
        <v>0.9</v>
      </c>
      <c r="F30" s="1115" t="s">
        <v>1460</v>
      </c>
      <c r="G30" s="1116"/>
      <c r="H30" s="1087"/>
      <c r="I30" s="1087"/>
    </row>
    <row r="31" spans="1:9" s="1529" customFormat="1" ht="19.5" customHeight="1">
      <c r="A31" s="3538"/>
      <c r="B31" s="3538"/>
      <c r="C31" s="1113" t="s">
        <v>1461</v>
      </c>
      <c r="D31" s="1114"/>
      <c r="E31" s="1136">
        <v>0.8</v>
      </c>
      <c r="F31" s="1115" t="s">
        <v>1462</v>
      </c>
      <c r="G31" s="1116"/>
      <c r="H31" s="1087"/>
      <c r="I31" s="1087"/>
    </row>
    <row r="32" spans="1:9" s="1529" customFormat="1" ht="19.5" customHeight="1">
      <c r="A32" s="3538"/>
      <c r="B32" s="3538"/>
      <c r="C32" s="1113" t="s">
        <v>1463</v>
      </c>
      <c r="D32" s="1114"/>
      <c r="E32" s="1136">
        <v>0.8</v>
      </c>
      <c r="F32" s="1115" t="s">
        <v>1464</v>
      </c>
      <c r="G32" s="1116"/>
      <c r="H32" s="1087"/>
      <c r="I32" s="1087"/>
    </row>
    <row r="33" spans="1:9" s="1529" customFormat="1" ht="19.5" customHeight="1">
      <c r="A33" s="3538" t="s">
        <v>1465</v>
      </c>
      <c r="B33" s="1136" t="s">
        <v>1437</v>
      </c>
      <c r="C33" s="1113" t="s">
        <v>1466</v>
      </c>
      <c r="D33" s="1114"/>
      <c r="E33" s="1136">
        <v>1</v>
      </c>
      <c r="F33" s="1115" t="s">
        <v>1467</v>
      </c>
      <c r="G33" s="1116"/>
      <c r="H33" s="1087"/>
      <c r="I33" s="1087"/>
    </row>
    <row r="34" spans="1:9" s="1529" customFormat="1" ht="19.5" customHeight="1">
      <c r="A34" s="3538"/>
      <c r="B34" s="1136" t="s">
        <v>1440</v>
      </c>
      <c r="C34" s="1113" t="s">
        <v>1468</v>
      </c>
      <c r="D34" s="1114"/>
      <c r="E34" s="1136">
        <v>1.5</v>
      </c>
      <c r="F34" s="1115" t="s">
        <v>1469</v>
      </c>
      <c r="G34" s="1116"/>
      <c r="H34" s="1087"/>
      <c r="I34" s="1087"/>
    </row>
    <row r="35" spans="1:9" s="1529" customFormat="1" ht="19.5" customHeight="1">
      <c r="A35" s="3538" t="s">
        <v>1423</v>
      </c>
      <c r="B35" s="1136" t="s">
        <v>1437</v>
      </c>
      <c r="C35" s="1113" t="s">
        <v>1470</v>
      </c>
      <c r="D35" s="1114"/>
      <c r="E35" s="1136">
        <v>1</v>
      </c>
      <c r="F35" s="1115" t="s">
        <v>1471</v>
      </c>
      <c r="G35" s="1116"/>
      <c r="H35" s="1087"/>
      <c r="I35" s="1087"/>
    </row>
    <row r="36" spans="1:9" s="1529" customFormat="1" ht="19.5" customHeight="1">
      <c r="A36" s="3538"/>
      <c r="B36" s="3538" t="s">
        <v>1440</v>
      </c>
      <c r="C36" s="1113" t="s">
        <v>1472</v>
      </c>
      <c r="D36" s="1114"/>
      <c r="E36" s="1136">
        <v>1</v>
      </c>
      <c r="F36" s="1115" t="s">
        <v>1473</v>
      </c>
      <c r="G36" s="1116"/>
      <c r="H36" s="1087"/>
      <c r="I36" s="1087"/>
    </row>
    <row r="37" spans="1:9" s="1529" customFormat="1" ht="19.5" customHeight="1">
      <c r="A37" s="3538"/>
      <c r="B37" s="3538"/>
      <c r="C37" s="1113" t="s">
        <v>1474</v>
      </c>
      <c r="D37" s="1114"/>
      <c r="E37" s="1136">
        <v>1.5</v>
      </c>
      <c r="F37" s="1115" t="s">
        <v>1475</v>
      </c>
      <c r="G37" s="1116"/>
      <c r="H37" s="1087"/>
      <c r="I37" s="1087"/>
    </row>
    <row r="38" spans="1:9" s="1529" customFormat="1" ht="19.5" customHeight="1">
      <c r="A38" s="3538"/>
      <c r="B38" s="3538"/>
      <c r="C38" s="1113" t="s">
        <v>1476</v>
      </c>
      <c r="D38" s="1114"/>
      <c r="E38" s="1136">
        <v>1</v>
      </c>
      <c r="F38" s="1115" t="s">
        <v>1477</v>
      </c>
      <c r="G38" s="1116"/>
      <c r="H38" s="1087"/>
      <c r="I38" s="1087"/>
    </row>
    <row r="39" spans="1:9" s="1529" customFormat="1" ht="19.5" customHeight="1">
      <c r="A39" s="3538"/>
      <c r="B39" s="353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8" t="s">
        <v>1492</v>
      </c>
      <c r="C61" s="1050" t="s">
        <v>1493</v>
      </c>
      <c r="D61" s="1050" t="s">
        <v>1494</v>
      </c>
      <c r="E61" s="1121">
        <v>0.5</v>
      </c>
      <c r="F61" s="1136">
        <v>80</v>
      </c>
      <c r="H61" s="1087">
        <f>SUMIF(C59:C119,基准地价!C8,E59:E119)</f>
        <v>0</v>
      </c>
    </row>
    <row r="62" spans="1:8" s="1087" customFormat="1" ht="24">
      <c r="A62" s="1136">
        <v>2</v>
      </c>
      <c r="B62" s="3538"/>
      <c r="C62" s="1050" t="s">
        <v>1495</v>
      </c>
      <c r="D62" s="1050" t="s">
        <v>1496</v>
      </c>
      <c r="E62" s="1121">
        <v>0.5</v>
      </c>
      <c r="F62" s="1136">
        <v>80</v>
      </c>
    </row>
    <row r="63" spans="1:8" s="1087" customFormat="1" ht="36">
      <c r="A63" s="1136">
        <v>3</v>
      </c>
      <c r="B63" s="3538"/>
      <c r="C63" s="1050" t="s">
        <v>1497</v>
      </c>
      <c r="D63" s="1050" t="s">
        <v>1498</v>
      </c>
      <c r="E63" s="1121">
        <v>0.5</v>
      </c>
      <c r="F63" s="1136">
        <v>80</v>
      </c>
    </row>
    <row r="64" spans="1:8" s="1087" customFormat="1" ht="36">
      <c r="A64" s="1136">
        <v>4</v>
      </c>
      <c r="B64" s="3538"/>
      <c r="C64" s="1050" t="s">
        <v>1499</v>
      </c>
      <c r="D64" s="1050" t="s">
        <v>1500</v>
      </c>
      <c r="E64" s="1121">
        <v>0.4</v>
      </c>
      <c r="F64" s="1136">
        <v>60</v>
      </c>
    </row>
    <row r="65" spans="1:6" s="1087" customFormat="1" ht="36">
      <c r="A65" s="1136">
        <v>5</v>
      </c>
      <c r="B65" s="3538"/>
      <c r="C65" s="1050" t="s">
        <v>1501</v>
      </c>
      <c r="D65" s="1050" t="s">
        <v>1502</v>
      </c>
      <c r="E65" s="1121">
        <v>0.2</v>
      </c>
      <c r="F65" s="1136">
        <v>30</v>
      </c>
    </row>
    <row r="66" spans="1:6" s="1087" customFormat="1" ht="36">
      <c r="A66" s="1136">
        <v>6</v>
      </c>
      <c r="B66" s="3538"/>
      <c r="C66" s="1050" t="s">
        <v>1503</v>
      </c>
      <c r="D66" s="1050" t="s">
        <v>1504</v>
      </c>
      <c r="E66" s="1121">
        <v>0.3</v>
      </c>
      <c r="F66" s="1136">
        <v>50</v>
      </c>
    </row>
    <row r="67" spans="1:6" s="1087" customFormat="1" ht="36">
      <c r="A67" s="1136">
        <v>7</v>
      </c>
      <c r="B67" s="3538"/>
      <c r="C67" s="1050" t="s">
        <v>1505</v>
      </c>
      <c r="D67" s="1050" t="s">
        <v>1506</v>
      </c>
      <c r="E67" s="1121">
        <v>0.2</v>
      </c>
      <c r="F67" s="1136">
        <v>30</v>
      </c>
    </row>
    <row r="68" spans="1:6" s="1087" customFormat="1" ht="36">
      <c r="A68" s="1136">
        <v>8</v>
      </c>
      <c r="B68" s="3538"/>
      <c r="C68" s="1050" t="s">
        <v>1507</v>
      </c>
      <c r="D68" s="1050" t="s">
        <v>1508</v>
      </c>
      <c r="E68" s="1121">
        <v>0.2</v>
      </c>
      <c r="F68" s="1136">
        <v>30</v>
      </c>
    </row>
    <row r="69" spans="1:6" s="1087" customFormat="1" ht="36">
      <c r="A69" s="1136">
        <v>9</v>
      </c>
      <c r="B69" s="3538"/>
      <c r="C69" s="1050" t="s">
        <v>1509</v>
      </c>
      <c r="D69" s="1050" t="s">
        <v>1510</v>
      </c>
      <c r="E69" s="1121">
        <v>0.2</v>
      </c>
      <c r="F69" s="1136">
        <v>30</v>
      </c>
    </row>
    <row r="70" spans="1:6" s="1087" customFormat="1" ht="48">
      <c r="A70" s="1136">
        <v>10</v>
      </c>
      <c r="B70" s="3538"/>
      <c r="C70" s="1050" t="s">
        <v>1511</v>
      </c>
      <c r="D70" s="1050" t="s">
        <v>1512</v>
      </c>
      <c r="E70" s="1121">
        <v>0.2</v>
      </c>
      <c r="F70" s="1136">
        <v>30</v>
      </c>
    </row>
    <row r="71" spans="1:6" s="1087" customFormat="1" ht="48">
      <c r="A71" s="1136">
        <v>11</v>
      </c>
      <c r="B71" s="3538"/>
      <c r="C71" s="1050" t="s">
        <v>1513</v>
      </c>
      <c r="D71" s="1050" t="s">
        <v>1514</v>
      </c>
      <c r="E71" s="1121">
        <v>0.2</v>
      </c>
      <c r="F71" s="1136">
        <v>30</v>
      </c>
    </row>
    <row r="72" spans="1:6" s="1087" customFormat="1" ht="36">
      <c r="A72" s="1136">
        <v>12</v>
      </c>
      <c r="B72" s="3538"/>
      <c r="C72" s="1050" t="s">
        <v>1515</v>
      </c>
      <c r="D72" s="1050" t="s">
        <v>1516</v>
      </c>
      <c r="E72" s="1121">
        <v>0.5</v>
      </c>
      <c r="F72" s="1136">
        <v>80</v>
      </c>
    </row>
    <row r="73" spans="1:6" s="1087" customFormat="1" ht="24">
      <c r="A73" s="1136">
        <v>13</v>
      </c>
      <c r="B73" s="3538"/>
      <c r="C73" s="1050" t="s">
        <v>1517</v>
      </c>
      <c r="D73" s="1050" t="s">
        <v>1518</v>
      </c>
      <c r="E73" s="1121">
        <v>0.4</v>
      </c>
      <c r="F73" s="1136">
        <v>60</v>
      </c>
    </row>
    <row r="74" spans="1:6" s="1087" customFormat="1" ht="24">
      <c r="A74" s="1136">
        <v>14</v>
      </c>
      <c r="B74" s="3538"/>
      <c r="C74" s="1050" t="s">
        <v>1519</v>
      </c>
      <c r="D74" s="1050" t="s">
        <v>1520</v>
      </c>
      <c r="E74" s="1121">
        <v>0.2</v>
      </c>
      <c r="F74" s="1136">
        <v>30</v>
      </c>
    </row>
    <row r="75" spans="1:6" s="1087" customFormat="1" ht="24">
      <c r="A75" s="1136">
        <v>15</v>
      </c>
      <c r="B75" s="3538"/>
      <c r="C75" s="1050" t="s">
        <v>1521</v>
      </c>
      <c r="D75" s="1050" t="s">
        <v>1522</v>
      </c>
      <c r="E75" s="1121">
        <v>0.2</v>
      </c>
      <c r="F75" s="1136">
        <v>30</v>
      </c>
    </row>
    <row r="76" spans="1:6" s="1087" customFormat="1" ht="24">
      <c r="A76" s="1136">
        <v>16</v>
      </c>
      <c r="B76" s="3538" t="s">
        <v>1523</v>
      </c>
      <c r="C76" s="1050" t="s">
        <v>1524</v>
      </c>
      <c r="D76" s="1050" t="s">
        <v>1525</v>
      </c>
      <c r="E76" s="1121">
        <v>0.5</v>
      </c>
      <c r="F76" s="1136">
        <v>80</v>
      </c>
    </row>
    <row r="77" spans="1:6" s="1087" customFormat="1" ht="24">
      <c r="A77" s="1136">
        <v>17</v>
      </c>
      <c r="B77" s="3538"/>
      <c r="C77" s="1050" t="s">
        <v>1526</v>
      </c>
      <c r="D77" s="1050" t="s">
        <v>1527</v>
      </c>
      <c r="E77" s="1121">
        <v>0.5</v>
      </c>
      <c r="F77" s="1136">
        <v>80</v>
      </c>
    </row>
    <row r="78" spans="1:6" s="1087" customFormat="1" ht="24">
      <c r="A78" s="1136">
        <v>18</v>
      </c>
      <c r="B78" s="3538"/>
      <c r="C78" s="1050" t="s">
        <v>1528</v>
      </c>
      <c r="D78" s="1050" t="s">
        <v>1529</v>
      </c>
      <c r="E78" s="1121">
        <v>0.2</v>
      </c>
      <c r="F78" s="1136">
        <v>30</v>
      </c>
    </row>
    <row r="79" spans="1:6" s="1087" customFormat="1" ht="24">
      <c r="A79" s="1136">
        <v>19</v>
      </c>
      <c r="B79" s="3538"/>
      <c r="C79" s="1050" t="s">
        <v>1530</v>
      </c>
      <c r="D79" s="1050" t="s">
        <v>1531</v>
      </c>
      <c r="E79" s="1121">
        <v>0.5</v>
      </c>
      <c r="F79" s="1136">
        <v>80</v>
      </c>
    </row>
    <row r="80" spans="1:6" s="1087" customFormat="1" ht="36">
      <c r="A80" s="1136">
        <v>20</v>
      </c>
      <c r="B80" s="3538"/>
      <c r="C80" s="1050" t="s">
        <v>1532</v>
      </c>
      <c r="D80" s="1050" t="s">
        <v>1533</v>
      </c>
      <c r="E80" s="1121">
        <v>0.2</v>
      </c>
      <c r="F80" s="1136">
        <v>30</v>
      </c>
    </row>
    <row r="81" spans="1:6" s="1087" customFormat="1" ht="36">
      <c r="A81" s="1136">
        <v>21</v>
      </c>
      <c r="B81" s="3538"/>
      <c r="C81" s="1050" t="s">
        <v>1534</v>
      </c>
      <c r="D81" s="1050" t="s">
        <v>1535</v>
      </c>
      <c r="E81" s="1121">
        <v>0.2</v>
      </c>
      <c r="F81" s="1136">
        <v>30</v>
      </c>
    </row>
    <row r="82" spans="1:6" s="1087" customFormat="1" ht="48">
      <c r="A82" s="1136">
        <v>22</v>
      </c>
      <c r="B82" s="3538"/>
      <c r="C82" s="1050" t="s">
        <v>1536</v>
      </c>
      <c r="D82" s="1050" t="s">
        <v>1537</v>
      </c>
      <c r="E82" s="1121">
        <v>0.2</v>
      </c>
      <c r="F82" s="1136">
        <v>30</v>
      </c>
    </row>
    <row r="83" spans="1:6" s="1087" customFormat="1" ht="48">
      <c r="A83" s="1136">
        <v>23</v>
      </c>
      <c r="B83" s="3538"/>
      <c r="C83" s="1050" t="s">
        <v>1538</v>
      </c>
      <c r="D83" s="1050" t="s">
        <v>1539</v>
      </c>
      <c r="E83" s="1121">
        <v>0.2</v>
      </c>
      <c r="F83" s="1136">
        <v>30</v>
      </c>
    </row>
    <row r="84" spans="1:6" s="1087" customFormat="1" ht="36">
      <c r="A84" s="1136">
        <v>24</v>
      </c>
      <c r="B84" s="3538"/>
      <c r="C84" s="1050" t="s">
        <v>1540</v>
      </c>
      <c r="D84" s="1050" t="s">
        <v>1541</v>
      </c>
      <c r="E84" s="1121">
        <v>0.2</v>
      </c>
      <c r="F84" s="1136">
        <v>30</v>
      </c>
    </row>
    <row r="85" spans="1:6" s="1087" customFormat="1" ht="36">
      <c r="A85" s="1136">
        <v>25</v>
      </c>
      <c r="B85" s="3538"/>
      <c r="C85" s="1050" t="s">
        <v>1542</v>
      </c>
      <c r="D85" s="1050" t="s">
        <v>1543</v>
      </c>
      <c r="E85" s="1121">
        <v>0.5</v>
      </c>
      <c r="F85" s="1136">
        <v>80</v>
      </c>
    </row>
    <row r="86" spans="1:6" s="1087" customFormat="1" ht="36">
      <c r="A86" s="1136">
        <v>26</v>
      </c>
      <c r="B86" s="3538"/>
      <c r="C86" s="1050" t="s">
        <v>1544</v>
      </c>
      <c r="D86" s="1050" t="s">
        <v>1545</v>
      </c>
      <c r="E86" s="1121">
        <v>0.2</v>
      </c>
      <c r="F86" s="1136">
        <v>30</v>
      </c>
    </row>
    <row r="87" spans="1:6" s="1087" customFormat="1" ht="36">
      <c r="A87" s="1136">
        <v>27</v>
      </c>
      <c r="B87" s="3538"/>
      <c r="C87" s="1050" t="s">
        <v>1546</v>
      </c>
      <c r="D87" s="1050" t="s">
        <v>1547</v>
      </c>
      <c r="E87" s="1121">
        <v>0.2</v>
      </c>
      <c r="F87" s="1136">
        <v>30</v>
      </c>
    </row>
    <row r="88" spans="1:6" s="1087" customFormat="1" ht="36">
      <c r="A88" s="1136">
        <v>28</v>
      </c>
      <c r="B88" s="3538"/>
      <c r="C88" s="1050" t="s">
        <v>1548</v>
      </c>
      <c r="D88" s="1050" t="s">
        <v>1549</v>
      </c>
      <c r="E88" s="1121">
        <v>0.2</v>
      </c>
      <c r="F88" s="1136">
        <v>30</v>
      </c>
    </row>
    <row r="89" spans="1:6" s="1087" customFormat="1" ht="24">
      <c r="A89" s="1136">
        <v>29</v>
      </c>
      <c r="B89" s="3538"/>
      <c r="C89" s="1050" t="s">
        <v>1550</v>
      </c>
      <c r="D89" s="1050" t="s">
        <v>1551</v>
      </c>
      <c r="E89" s="1121">
        <v>0.2</v>
      </c>
      <c r="F89" s="1136">
        <v>30</v>
      </c>
    </row>
    <row r="90" spans="1:6" s="1087" customFormat="1" ht="24">
      <c r="A90" s="1136">
        <v>30</v>
      </c>
      <c r="B90" s="3538"/>
      <c r="C90" s="1050" t="s">
        <v>1552</v>
      </c>
      <c r="D90" s="1050" t="s">
        <v>1553</v>
      </c>
      <c r="E90" s="1121">
        <v>0.2</v>
      </c>
      <c r="F90" s="1136">
        <v>30</v>
      </c>
    </row>
    <row r="91" spans="1:6" s="1087" customFormat="1" ht="36">
      <c r="A91" s="1136">
        <v>31</v>
      </c>
      <c r="B91" s="3538"/>
      <c r="C91" s="1050" t="s">
        <v>1554</v>
      </c>
      <c r="D91" s="1050" t="s">
        <v>1555</v>
      </c>
      <c r="E91" s="1121">
        <v>0.2</v>
      </c>
      <c r="F91" s="1136">
        <v>30</v>
      </c>
    </row>
    <row r="92" spans="1:6" s="1087" customFormat="1" ht="24">
      <c r="A92" s="1136">
        <v>32</v>
      </c>
      <c r="B92" s="3538" t="s">
        <v>1556</v>
      </c>
      <c r="C92" s="1136" t="s">
        <v>1557</v>
      </c>
      <c r="D92" s="1050" t="s">
        <v>1558</v>
      </c>
      <c r="E92" s="1121">
        <v>0.2</v>
      </c>
      <c r="F92" s="1136">
        <v>30</v>
      </c>
    </row>
    <row r="93" spans="1:6" s="1087" customFormat="1" ht="36">
      <c r="A93" s="1136">
        <v>33</v>
      </c>
      <c r="B93" s="3538"/>
      <c r="C93" s="1136" t="s">
        <v>1559</v>
      </c>
      <c r="D93" s="1050" t="s">
        <v>1560</v>
      </c>
      <c r="E93" s="1121">
        <v>0.2</v>
      </c>
      <c r="F93" s="1136">
        <v>30</v>
      </c>
    </row>
    <row r="94" spans="1:6" s="1087" customFormat="1" ht="48">
      <c r="A94" s="1136">
        <v>34</v>
      </c>
      <c r="B94" s="3538"/>
      <c r="C94" s="1136" t="s">
        <v>1561</v>
      </c>
      <c r="D94" s="1050" t="s">
        <v>1562</v>
      </c>
      <c r="E94" s="1121">
        <v>0.2</v>
      </c>
      <c r="F94" s="1136">
        <v>30</v>
      </c>
    </row>
    <row r="95" spans="1:6" s="1087" customFormat="1" ht="36">
      <c r="A95" s="1136">
        <v>35</v>
      </c>
      <c r="B95" s="3538"/>
      <c r="C95" s="1136" t="s">
        <v>1563</v>
      </c>
      <c r="D95" s="1050" t="s">
        <v>1564</v>
      </c>
      <c r="E95" s="1121">
        <v>0.2</v>
      </c>
      <c r="F95" s="1136">
        <v>30</v>
      </c>
    </row>
    <row r="96" spans="1:6" s="1087" customFormat="1" ht="48">
      <c r="A96" s="1136">
        <v>36</v>
      </c>
      <c r="B96" s="3538"/>
      <c r="C96" s="1050" t="s">
        <v>1565</v>
      </c>
      <c r="D96" s="1050" t="s">
        <v>1566</v>
      </c>
      <c r="E96" s="1121">
        <v>0.2</v>
      </c>
      <c r="F96" s="1136">
        <v>30</v>
      </c>
    </row>
    <row r="97" spans="1:6" s="1087" customFormat="1" ht="36">
      <c r="A97" s="1136">
        <v>37</v>
      </c>
      <c r="B97" s="3538"/>
      <c r="C97" s="1136" t="s">
        <v>1567</v>
      </c>
      <c r="D97" s="1050" t="s">
        <v>1568</v>
      </c>
      <c r="E97" s="1121">
        <v>0.2</v>
      </c>
      <c r="F97" s="1136">
        <v>30</v>
      </c>
    </row>
    <row r="98" spans="1:6" s="1087" customFormat="1" ht="36">
      <c r="A98" s="1136">
        <v>38</v>
      </c>
      <c r="B98" s="3538"/>
      <c r="C98" s="1136" t="s">
        <v>1569</v>
      </c>
      <c r="D98" s="1050" t="s">
        <v>1570</v>
      </c>
      <c r="E98" s="1121">
        <v>0.2</v>
      </c>
      <c r="F98" s="1136">
        <v>30</v>
      </c>
    </row>
    <row r="99" spans="1:6" s="1087" customFormat="1" ht="36">
      <c r="A99" s="1136">
        <v>39</v>
      </c>
      <c r="B99" s="3538" t="s">
        <v>1571</v>
      </c>
      <c r="C99" s="1136" t="s">
        <v>1572</v>
      </c>
      <c r="D99" s="1050" t="s">
        <v>1573</v>
      </c>
      <c r="E99" s="1121">
        <v>0.3</v>
      </c>
      <c r="F99" s="1136">
        <v>50</v>
      </c>
    </row>
    <row r="100" spans="1:6" s="1087" customFormat="1" ht="24">
      <c r="A100" s="1136">
        <v>40</v>
      </c>
      <c r="B100" s="3538"/>
      <c r="C100" s="1136" t="s">
        <v>1574</v>
      </c>
      <c r="D100" s="1050" t="s">
        <v>1575</v>
      </c>
      <c r="E100" s="1121">
        <v>0.2</v>
      </c>
      <c r="F100" s="1136">
        <v>30</v>
      </c>
    </row>
    <row r="101" spans="1:6" s="1087" customFormat="1" ht="36">
      <c r="A101" s="1136">
        <v>41</v>
      </c>
      <c r="B101" s="353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8" t="s">
        <v>1586</v>
      </c>
      <c r="C105" s="1136" t="s">
        <v>1587</v>
      </c>
      <c r="D105" s="1050" t="s">
        <v>1588</v>
      </c>
      <c r="E105" s="1121">
        <v>0.2</v>
      </c>
      <c r="F105" s="1136">
        <v>30</v>
      </c>
    </row>
    <row r="106" spans="1:6" s="1087" customFormat="1" ht="36">
      <c r="A106" s="1136">
        <v>46</v>
      </c>
      <c r="B106" s="3538"/>
      <c r="C106" s="1136" t="s">
        <v>1589</v>
      </c>
      <c r="D106" s="1050" t="s">
        <v>1590</v>
      </c>
      <c r="E106" s="1121">
        <v>0.2</v>
      </c>
      <c r="F106" s="1136">
        <v>30</v>
      </c>
    </row>
    <row r="107" spans="1:6" s="1087" customFormat="1" ht="36">
      <c r="A107" s="1136">
        <v>47</v>
      </c>
      <c r="B107" s="3538" t="s">
        <v>1591</v>
      </c>
      <c r="C107" s="1136" t="s">
        <v>1592</v>
      </c>
      <c r="D107" s="1050" t="s">
        <v>1593</v>
      </c>
      <c r="E107" s="1121">
        <v>0.3</v>
      </c>
      <c r="F107" s="1136">
        <v>50</v>
      </c>
    </row>
    <row r="108" spans="1:6" s="1087" customFormat="1" ht="36">
      <c r="A108" s="1136">
        <v>48</v>
      </c>
      <c r="B108" s="353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8" t="s">
        <v>1602</v>
      </c>
      <c r="C111" s="1136" t="s">
        <v>1603</v>
      </c>
      <c r="D111" s="1050" t="s">
        <v>1604</v>
      </c>
      <c r="E111" s="1121">
        <v>0.2</v>
      </c>
      <c r="F111" s="1136">
        <v>30</v>
      </c>
    </row>
    <row r="112" spans="1:6" s="1087" customFormat="1" ht="24">
      <c r="A112" s="1136">
        <v>52</v>
      </c>
      <c r="B112" s="3538"/>
      <c r="C112" s="1136" t="s">
        <v>1605</v>
      </c>
      <c r="D112" s="1050" t="s">
        <v>1606</v>
      </c>
      <c r="E112" s="1121">
        <v>0.2</v>
      </c>
      <c r="F112" s="1136">
        <v>30</v>
      </c>
    </row>
    <row r="113" spans="1:14" s="1087" customFormat="1" ht="24">
      <c r="A113" s="1136">
        <v>53</v>
      </c>
      <c r="B113" s="353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8" t="s">
        <v>1615</v>
      </c>
      <c r="C116" s="1136" t="s">
        <v>1616</v>
      </c>
      <c r="D116" s="1050" t="s">
        <v>1617</v>
      </c>
      <c r="E116" s="1121">
        <v>0.2</v>
      </c>
      <c r="F116" s="1136">
        <v>30</v>
      </c>
    </row>
    <row r="117" spans="1:14" ht="36">
      <c r="A117" s="1136">
        <v>57</v>
      </c>
      <c r="B117" s="353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7" t="s">
        <v>1624</v>
      </c>
      <c r="B121" s="3537"/>
      <c r="C121" s="3537"/>
      <c r="D121" s="3537"/>
      <c r="E121" s="3537"/>
      <c r="F121" s="3537"/>
      <c r="G121" s="3537"/>
      <c r="H121" s="3537"/>
      <c r="I121" s="3537"/>
      <c r="J121" s="353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9" t="s">
        <v>2557</v>
      </c>
      <c r="C1" s="3559"/>
      <c r="D1" s="3559"/>
      <c r="E1" s="3559"/>
      <c r="F1" s="3559"/>
      <c r="G1" s="3558" t="s">
        <v>2558</v>
      </c>
      <c r="H1" s="3558"/>
      <c r="I1" s="3558"/>
      <c r="J1" s="3558"/>
      <c r="K1" s="3558"/>
      <c r="L1" s="3558"/>
      <c r="N1" s="3558" t="s">
        <v>2559</v>
      </c>
      <c r="O1" s="3558"/>
      <c r="P1" s="3558"/>
      <c r="Q1" s="3558"/>
      <c r="S1" s="3558" t="s">
        <v>2560</v>
      </c>
      <c r="T1" s="3558"/>
      <c r="U1" s="3558"/>
      <c r="V1" s="3558"/>
      <c r="X1" s="3557" t="s">
        <v>2620</v>
      </c>
      <c r="Y1" s="3558"/>
      <c r="Z1" s="3558"/>
      <c r="AA1" s="3558"/>
      <c r="AB1" s="3558"/>
      <c r="AD1" s="3557" t="s">
        <v>2624</v>
      </c>
      <c r="AE1" s="3558"/>
      <c r="AF1" s="3558"/>
      <c r="AG1" s="3558"/>
      <c r="AH1" s="3558"/>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6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6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6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6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6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6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6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6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6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6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6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6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6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6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6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6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6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6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6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6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6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6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6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6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6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6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6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6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6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6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6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6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2">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6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6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0" sqref="P1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66928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7738</v>
      </c>
      <c r="C4" s="422"/>
      <c r="D4" s="416"/>
      <c r="E4" s="416"/>
      <c r="F4" s="416"/>
      <c r="G4" s="416"/>
      <c r="H4" s="416"/>
      <c r="I4" s="416"/>
      <c r="J4" s="416"/>
      <c r="K4" s="416"/>
      <c r="L4" s="290"/>
      <c r="M4" s="290">
        <f ca="1">B2/'数据-汇总表'!F31</f>
        <v>0.22108477812407609</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516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200616</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6627</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t="shared" ref="D10:E10" ca="1" si="0">ROUND(D9*D8/10000,0)</f>
        <v>200616</v>
      </c>
      <c r="E10" s="2742">
        <f t="shared" ca="1" si="0"/>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69627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2089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302725.5</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1044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77301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2422</v>
      </c>
      <c r="D19" s="2571">
        <f ca="1">D16</f>
        <v>302725.5</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3179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3179</v>
      </c>
      <c r="D22" s="2561">
        <f ca="1">IF(B1="",'数据-汇总表'!E6,IF(INDIRECT("'数据-取费表'!c"&amp;$K$1)="住宅",INDIRECT("'数据-取费表'!s"&amp;$K$1),INDIRECT("'数据-取费表'!k"&amp;$K$1)+INDIRECT("'数据-取费表'!s"&amp;$K$1)))</f>
        <v>302725.5</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1244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4012</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6558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6558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10700</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105416</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105416</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8816</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8816</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66928</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5" zoomScaleNormal="60" zoomScaleSheetLayoutView="85"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3075</v>
      </c>
      <c r="E1" s="2242" t="s">
        <v>2359</v>
      </c>
      <c r="F1" s="2243">
        <f ca="1">J53</f>
        <v>29.83</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200627</v>
      </c>
      <c r="C2" s="3263"/>
      <c r="D2" s="3264"/>
      <c r="E2" s="3265"/>
      <c r="F2" s="3265"/>
      <c r="G2" s="3259"/>
      <c r="H2" s="1940"/>
      <c r="I2" s="1940"/>
      <c r="J2" s="1940"/>
      <c r="K2" s="1941"/>
      <c r="L2" s="1940"/>
      <c r="M2" s="1940"/>
    </row>
    <row r="3" spans="1:33" ht="18" customHeight="1" thickBot="1">
      <c r="A3" s="822" t="s">
        <v>1718</v>
      </c>
      <c r="B3" s="823">
        <f ca="1">IF(ISERROR(B2*10000/F43),0,ROUND(B2*10000/F43,0))</f>
        <v>6627</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14106</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14088</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302725.5</v>
      </c>
      <c r="G7" s="1945"/>
      <c r="H7" s="2342"/>
      <c r="I7" s="3570"/>
      <c r="J7" s="778"/>
      <c r="K7" s="779"/>
      <c r="L7" s="774" t="s">
        <v>1730</v>
      </c>
      <c r="M7" s="775">
        <f ca="1">F7</f>
        <v>302725.5</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18</v>
      </c>
      <c r="D10" s="2354" t="s">
        <v>2934</v>
      </c>
      <c r="E10" s="2351" t="s">
        <v>2446</v>
      </c>
      <c r="F10" s="2465" t="s">
        <v>3076</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99809</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69627</v>
      </c>
      <c r="D14" s="1893" t="s">
        <v>1736</v>
      </c>
      <c r="E14" s="1894"/>
      <c r="F14" s="795"/>
      <c r="G14" s="1945"/>
      <c r="H14" s="1577" t="s">
        <v>1821</v>
      </c>
      <c r="I14" s="2111" t="s">
        <v>2806</v>
      </c>
      <c r="J14" s="53">
        <f ca="1">C29</f>
        <v>99809</v>
      </c>
      <c r="K14" s="26"/>
      <c r="L14" s="791"/>
      <c r="M14" s="792"/>
    </row>
    <row r="15" spans="1:33" s="1947" customFormat="1" ht="18" customHeight="1" thickBot="1">
      <c r="A15" s="1576" t="s">
        <v>1876</v>
      </c>
      <c r="B15" s="774" t="s">
        <v>641</v>
      </c>
      <c r="C15" s="53">
        <f ca="1">ROUND(C14*F15,0)</f>
        <v>2089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9408</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8410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1044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77301</v>
      </c>
      <c r="D19" s="259" t="s">
        <v>1748</v>
      </c>
      <c r="E19" s="1896"/>
      <c r="F19" s="56"/>
      <c r="G19" s="1945"/>
      <c r="H19" s="1576" t="s">
        <v>1876</v>
      </c>
      <c r="I19" s="774" t="s">
        <v>1749</v>
      </c>
      <c r="J19" s="53">
        <f ca="1">IF(K19="按租金收入计税",ROUND(J6*M19/(1+'数据-取费表'!C42),1),ROUND(C29*F33*0.7,1))</f>
        <v>8384</v>
      </c>
      <c r="K19" s="800" t="s">
        <v>659</v>
      </c>
      <c r="L19" s="774" t="s">
        <v>1738</v>
      </c>
      <c r="M19" s="799">
        <f>IF(K19="按租金收入计税",'数据-取费表'!B51,'数据-取费表'!B50)</f>
        <v>1.2E-2</v>
      </c>
    </row>
    <row r="20" spans="1:33" s="1947" customFormat="1" ht="18" customHeight="1">
      <c r="A20" s="1577" t="s">
        <v>1880</v>
      </c>
      <c r="B20" s="774" t="s">
        <v>660</v>
      </c>
      <c r="C20" s="53">
        <f ca="1">ROUND(C19*F20,0)</f>
        <v>1160</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998</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5837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-9408</v>
      </c>
      <c r="K25" s="2401" t="s">
        <v>1768</v>
      </c>
      <c r="L25" s="2402"/>
      <c r="M25" s="2403"/>
    </row>
    <row r="26" spans="1:33" ht="18" customHeight="1">
      <c r="A26" s="1576" t="s">
        <v>1822</v>
      </c>
      <c r="B26" s="774" t="s">
        <v>2422</v>
      </c>
      <c r="C26" s="53">
        <f ca="1">ROUND((C19+C20)*F26,0)</f>
        <v>7846</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99809</v>
      </c>
      <c r="D29" s="2398"/>
      <c r="E29" s="2399"/>
      <c r="F29" s="2400"/>
      <c r="G29" s="3260"/>
      <c r="H29" s="812" t="s">
        <v>1778</v>
      </c>
      <c r="I29" s="813" t="s">
        <v>1779</v>
      </c>
      <c r="J29" s="814">
        <f ca="1">ROUND(J26/(1+F40)^F41,0)</f>
        <v>0</v>
      </c>
      <c r="K29" s="815" t="s">
        <v>1780</v>
      </c>
      <c r="L29" s="816"/>
      <c r="M29" s="817">
        <f ca="1">INDIRECT("'数据-取费表'!k"&amp;$G$1)</f>
        <v>302725.5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3676</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2387</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751.4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1610.1</v>
      </c>
      <c r="D33" s="800" t="s">
        <v>3077</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25.9</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7985</v>
      </c>
      <c r="K35" s="1961"/>
      <c r="L35" s="1960"/>
      <c r="M35" s="1960"/>
    </row>
    <row r="36" spans="1:18" ht="18" customHeight="1">
      <c r="A36" s="1577" t="s">
        <v>1880</v>
      </c>
      <c r="B36" s="774" t="s">
        <v>1793</v>
      </c>
      <c r="C36" s="53">
        <f ca="1">ROUND(C29*F36,1)</f>
        <v>998.1</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149.69999999999999</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141.1</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10430</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200627</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29.83</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0.497</v>
      </c>
      <c r="K42" s="1964"/>
      <c r="L42" s="1900"/>
      <c r="M42" s="1900"/>
    </row>
    <row r="43" spans="1:18" ht="18" customHeight="1" thickBot="1">
      <c r="A43" s="812" t="s">
        <v>1778</v>
      </c>
      <c r="B43" s="813" t="s">
        <v>1801</v>
      </c>
      <c r="C43" s="814">
        <f ca="1">ROUND(C40*10000/F43,0)</f>
        <v>6627</v>
      </c>
      <c r="D43" s="815" t="s">
        <v>1802</v>
      </c>
      <c r="E43" s="816" t="s">
        <v>1803</v>
      </c>
      <c r="F43" s="817">
        <f ca="1">INDIRECT("'数据-取费表'!k"&amp;$G$1)</f>
        <v>302725.5</v>
      </c>
      <c r="G43" s="1945"/>
      <c r="H43" s="1900"/>
      <c r="I43" s="836" t="s">
        <v>1813</v>
      </c>
      <c r="J43" s="837">
        <f ca="1">1-J42</f>
        <v>0.503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-217650</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3063</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32.83</v>
      </c>
      <c r="M48" s="3262"/>
      <c r="O48" s="2253" t="s">
        <v>2364</v>
      </c>
      <c r="P48" s="2254" t="s">
        <v>2390</v>
      </c>
      <c r="Q48" s="2255">
        <f ca="1">C40+J29</f>
        <v>200627</v>
      </c>
      <c r="R48" s="2254" t="s">
        <v>2365</v>
      </c>
    </row>
    <row r="49" spans="1:18" s="1942" customFormat="1" ht="18" customHeight="1" thickBot="1">
      <c r="A49" s="776"/>
      <c r="B49" s="777"/>
      <c r="C49" s="778"/>
      <c r="D49" s="779"/>
      <c r="E49" s="774" t="s">
        <v>1730</v>
      </c>
      <c r="F49" s="775">
        <f ca="1">F7</f>
        <v>302725.5</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99809</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46287</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29.83</v>
      </c>
      <c r="K53" s="3575" t="s">
        <v>2927</v>
      </c>
      <c r="L53" s="3576"/>
      <c r="M53" s="3262"/>
      <c r="O53" s="2256" t="s">
        <v>2373</v>
      </c>
      <c r="P53" s="2254" t="s">
        <v>2374</v>
      </c>
      <c r="Q53" s="2255">
        <f ca="1">J53</f>
        <v>29.83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200627</v>
      </c>
      <c r="R54" s="2258" t="s">
        <v>2377</v>
      </c>
    </row>
    <row r="55" spans="1:18" s="1942" customFormat="1" ht="18" customHeight="1" thickTop="1" thickBot="1">
      <c r="A55" s="787">
        <v>2</v>
      </c>
      <c r="B55" s="788" t="s">
        <v>638</v>
      </c>
      <c r="C55" s="789">
        <f ca="1">C13</f>
        <v>99809</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99809</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1174</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200627</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25.9</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998.1</v>
      </c>
      <c r="D63" s="2481" t="s">
        <v>1794</v>
      </c>
      <c r="E63" s="774" t="s">
        <v>1738</v>
      </c>
      <c r="F63" s="806">
        <f t="shared" ca="1" si="0"/>
        <v>0.01</v>
      </c>
      <c r="I63" s="2824" t="s">
        <v>2355</v>
      </c>
      <c r="J63" s="2825">
        <v>70</v>
      </c>
      <c r="K63" s="2825">
        <v>50</v>
      </c>
      <c r="L63" s="2825">
        <v>80</v>
      </c>
      <c r="M63" s="2827">
        <v>0.02</v>
      </c>
      <c r="O63" s="2253" t="s">
        <v>2376</v>
      </c>
      <c r="P63" s="2254" t="s">
        <v>2393</v>
      </c>
      <c r="Q63" s="2255">
        <f ca="1">Q57+Q58</f>
        <v>200627</v>
      </c>
      <c r="R63" s="2258" t="s">
        <v>2377</v>
      </c>
    </row>
    <row r="64" spans="1:18" s="1942" customFormat="1" ht="16.5" thickBot="1">
      <c r="A64" s="1577" t="s">
        <v>1881</v>
      </c>
      <c r="B64" s="774" t="s">
        <v>673</v>
      </c>
      <c r="C64" s="53">
        <f ca="1">ROUND(C55*F64,1)</f>
        <v>149.69999999999999</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-1174</v>
      </c>
      <c r="D66" s="2480" t="s">
        <v>694</v>
      </c>
      <c r="E66" s="2479"/>
      <c r="F66" s="809"/>
      <c r="K66" s="1968"/>
      <c r="O66" s="2253" t="s">
        <v>2364</v>
      </c>
      <c r="P66" s="2254" t="s">
        <v>2394</v>
      </c>
      <c r="Q66" s="2255">
        <f ca="1">C40+J29</f>
        <v>200627</v>
      </c>
      <c r="R66" s="2254" t="s">
        <v>2365</v>
      </c>
    </row>
    <row r="67" spans="1:18" s="1942" customFormat="1" ht="20.25" thickBot="1">
      <c r="A67" s="771" t="s">
        <v>1771</v>
      </c>
      <c r="B67" s="2112" t="s">
        <v>2289</v>
      </c>
      <c r="C67" s="773">
        <f ca="1">ROUND(C66*(1-((1+F69)/(1+F67))^F68)/(F67-F69),0)</f>
        <v>-17023</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29.83</v>
      </c>
      <c r="O68" s="2256" t="s">
        <v>2368</v>
      </c>
      <c r="P68" s="2254" t="s">
        <v>2398</v>
      </c>
      <c r="Q68" s="2260">
        <f ca="1">L51</f>
        <v>46287</v>
      </c>
      <c r="R68" s="2261" t="s">
        <v>2401</v>
      </c>
    </row>
    <row r="69" spans="1:18" ht="20.25" thickBot="1">
      <c r="A69" s="780"/>
      <c r="B69" s="781"/>
      <c r="C69" s="782"/>
      <c r="D69" s="805"/>
      <c r="E69" s="774" t="s">
        <v>704</v>
      </c>
      <c r="F69" s="2226"/>
      <c r="O69" s="2256" t="s">
        <v>2369</v>
      </c>
      <c r="P69" s="2262" t="s">
        <v>2383</v>
      </c>
      <c r="Q69" s="2255">
        <f ca="1">ROUND(Q70-Q71*Q72,0)</f>
        <v>2445</v>
      </c>
      <c r="R69" s="2258"/>
    </row>
    <row r="70" spans="1:18" ht="15.75" thickBot="1">
      <c r="A70" s="812" t="s">
        <v>1778</v>
      </c>
      <c r="B70" s="813" t="s">
        <v>1801</v>
      </c>
      <c r="C70" s="814">
        <f ca="1">ROUND(C67*10000/F70,0)</f>
        <v>-562</v>
      </c>
      <c r="D70" s="815" t="s">
        <v>1802</v>
      </c>
      <c r="E70" s="816" t="s">
        <v>1803</v>
      </c>
      <c r="F70" s="817">
        <f ca="1">F43</f>
        <v>302725.5</v>
      </c>
      <c r="O70" s="2256" t="s">
        <v>2384</v>
      </c>
      <c r="P70" s="2262" t="s">
        <v>2385</v>
      </c>
      <c r="Q70" s="2255">
        <f ca="1">C39</f>
        <v>10430</v>
      </c>
      <c r="R70" s="2254" t="s">
        <v>2365</v>
      </c>
    </row>
    <row r="71" spans="1:18" ht="15.75" thickBot="1">
      <c r="O71" s="2256" t="s">
        <v>2386</v>
      </c>
      <c r="P71" s="2262" t="s">
        <v>2387</v>
      </c>
      <c r="Q71" s="2255">
        <f ca="1">C13</f>
        <v>99809</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200627</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93" t="s">
        <v>2453</v>
      </c>
      <c r="B1" s="3594"/>
      <c r="C1" s="3595"/>
      <c r="D1" s="3596">
        <f>SUM(I10,I15,I20,I21,I23)</f>
        <v>0</v>
      </c>
      <c r="E1" s="3596"/>
      <c r="F1" s="3596"/>
      <c r="G1" s="3596"/>
      <c r="H1" s="3596"/>
      <c r="I1" s="3597"/>
    </row>
    <row r="2" spans="1:9">
      <c r="A2" s="3583" t="s">
        <v>2454</v>
      </c>
      <c r="B2" s="3584" t="s">
        <v>2455</v>
      </c>
      <c r="C2" s="3584"/>
      <c r="D2" s="2360" t="s">
        <v>2456</v>
      </c>
      <c r="E2" s="2360" t="s">
        <v>2457</v>
      </c>
      <c r="F2" s="2360" t="s">
        <v>2458</v>
      </c>
      <c r="G2" s="2360" t="s">
        <v>2459</v>
      </c>
      <c r="H2" s="2360" t="s">
        <v>2460</v>
      </c>
      <c r="I2" s="2361" t="s">
        <v>2461</v>
      </c>
    </row>
    <row r="3" spans="1:9">
      <c r="A3" s="3583"/>
      <c r="B3" s="3584" t="s">
        <v>2462</v>
      </c>
      <c r="C3" s="3584"/>
      <c r="D3" s="2362"/>
      <c r="E3" s="2360"/>
      <c r="F3" s="2363"/>
      <c r="G3" s="2363"/>
      <c r="H3" s="2364"/>
      <c r="I3" s="2365">
        <f>ROUND(D3*E3*F3*G3*H3/10000,0)</f>
        <v>0</v>
      </c>
    </row>
    <row r="4" spans="1:9">
      <c r="A4" s="3583"/>
      <c r="B4" s="3584" t="s">
        <v>2463</v>
      </c>
      <c r="C4" s="3584"/>
      <c r="D4" s="2362"/>
      <c r="E4" s="2360"/>
      <c r="F4" s="2363"/>
      <c r="G4" s="2363"/>
      <c r="H4" s="2364"/>
      <c r="I4" s="2365">
        <f t="shared" ref="I4:I9" si="0">ROUND(D4*E4*F4*G4*H4/10000,0)</f>
        <v>0</v>
      </c>
    </row>
    <row r="5" spans="1:9">
      <c r="A5" s="3583"/>
      <c r="B5" s="3584" t="s">
        <v>2464</v>
      </c>
      <c r="C5" s="3584"/>
      <c r="D5" s="2362"/>
      <c r="E5" s="2360"/>
      <c r="F5" s="2363"/>
      <c r="G5" s="2363"/>
      <c r="H5" s="2364"/>
      <c r="I5" s="2365">
        <f t="shared" si="0"/>
        <v>0</v>
      </c>
    </row>
    <row r="6" spans="1:9">
      <c r="A6" s="3583"/>
      <c r="B6" s="3584" t="s">
        <v>2465</v>
      </c>
      <c r="C6" s="3584"/>
      <c r="D6" s="2362"/>
      <c r="E6" s="2360"/>
      <c r="F6" s="2363"/>
      <c r="G6" s="2363"/>
      <c r="H6" s="2364"/>
      <c r="I6" s="2365">
        <f t="shared" si="0"/>
        <v>0</v>
      </c>
    </row>
    <row r="7" spans="1:9">
      <c r="A7" s="3583"/>
      <c r="B7" s="3584" t="s">
        <v>2466</v>
      </c>
      <c r="C7" s="3584"/>
      <c r="D7" s="2362"/>
      <c r="E7" s="2360"/>
      <c r="F7" s="2363"/>
      <c r="G7" s="2363"/>
      <c r="H7" s="2364"/>
      <c r="I7" s="2365">
        <f t="shared" si="0"/>
        <v>0</v>
      </c>
    </row>
    <row r="8" spans="1:9">
      <c r="A8" s="3583"/>
      <c r="B8" s="3584" t="s">
        <v>2467</v>
      </c>
      <c r="C8" s="3584"/>
      <c r="D8" s="2362"/>
      <c r="E8" s="2360"/>
      <c r="F8" s="2363"/>
      <c r="G8" s="2363"/>
      <c r="H8" s="2364"/>
      <c r="I8" s="2365">
        <f t="shared" si="0"/>
        <v>0</v>
      </c>
    </row>
    <row r="9" spans="1:9">
      <c r="A9" s="3583"/>
      <c r="B9" s="3584" t="s">
        <v>2468</v>
      </c>
      <c r="C9" s="3584"/>
      <c r="D9" s="2362"/>
      <c r="E9" s="2360"/>
      <c r="F9" s="2363"/>
      <c r="G9" s="2363"/>
      <c r="H9" s="2364"/>
      <c r="I9" s="2365">
        <f t="shared" si="0"/>
        <v>0</v>
      </c>
    </row>
    <row r="10" spans="1:9">
      <c r="A10" s="3583"/>
      <c r="B10" s="3585" t="s">
        <v>2469</v>
      </c>
      <c r="C10" s="3585"/>
      <c r="D10" s="2366">
        <v>527</v>
      </c>
      <c r="E10" s="2366" t="e">
        <f>ROUND(D1*10000/D10/H9,0)</f>
        <v>#DIV/0!</v>
      </c>
      <c r="F10" s="2367"/>
      <c r="G10" s="2367"/>
      <c r="H10" s="2368"/>
      <c r="I10" s="2369">
        <f>SUM(I3:I9)</f>
        <v>0</v>
      </c>
    </row>
    <row r="11" spans="1:9" ht="14.25">
      <c r="A11" s="3583" t="s">
        <v>2470</v>
      </c>
      <c r="B11" s="3584" t="s">
        <v>2471</v>
      </c>
      <c r="C11" s="3584"/>
      <c r="D11" s="2362" t="s">
        <v>2472</v>
      </c>
      <c r="E11" s="2362" t="s">
        <v>2473</v>
      </c>
      <c r="F11" s="2363" t="s">
        <v>2474</v>
      </c>
      <c r="G11" s="2363" t="s">
        <v>2475</v>
      </c>
      <c r="H11" s="2370" t="s">
        <v>2476</v>
      </c>
      <c r="I11" s="2361" t="s">
        <v>2477</v>
      </c>
    </row>
    <row r="12" spans="1:9">
      <c r="A12" s="3583"/>
      <c r="B12" s="3584" t="s">
        <v>2478</v>
      </c>
      <c r="C12" s="3584"/>
      <c r="D12" s="2362"/>
      <c r="E12" s="2362"/>
      <c r="F12" s="2363"/>
      <c r="G12" s="2364"/>
      <c r="H12" s="2371"/>
      <c r="I12" s="2361">
        <f>ROUND(D12*E12*F12*G12/10000,0)</f>
        <v>0</v>
      </c>
    </row>
    <row r="13" spans="1:9">
      <c r="A13" s="3583"/>
      <c r="B13" s="3584" t="s">
        <v>2479</v>
      </c>
      <c r="C13" s="3584"/>
      <c r="D13" s="2362"/>
      <c r="E13" s="2362"/>
      <c r="F13" s="2363"/>
      <c r="G13" s="2364"/>
      <c r="H13" s="2371"/>
      <c r="I13" s="2361">
        <f>ROUND(D13*E13*F13*G13/10000,0)</f>
        <v>0</v>
      </c>
    </row>
    <row r="14" spans="1:9">
      <c r="A14" s="3583"/>
      <c r="B14" s="3584" t="s">
        <v>2480</v>
      </c>
      <c r="C14" s="3584"/>
      <c r="D14" s="2362"/>
      <c r="E14" s="2362"/>
      <c r="F14" s="2363"/>
      <c r="G14" s="2364"/>
      <c r="H14" s="2371"/>
      <c r="I14" s="2361">
        <f>ROUND(D14*E14*F14*G14/10000,0)</f>
        <v>0</v>
      </c>
    </row>
    <row r="15" spans="1:9">
      <c r="A15" s="3583"/>
      <c r="B15" s="3585" t="s">
        <v>2469</v>
      </c>
      <c r="C15" s="3585"/>
      <c r="D15" s="2366"/>
      <c r="E15" s="2366">
        <f>SUM(E12:E14)</f>
        <v>0</v>
      </c>
      <c r="F15" s="2367"/>
      <c r="G15" s="2364"/>
      <c r="H15" s="2371"/>
      <c r="I15" s="2372">
        <f>SUM(I12:I14)</f>
        <v>0</v>
      </c>
    </row>
    <row r="16" spans="1:9" ht="24">
      <c r="A16" s="3583" t="s">
        <v>2481</v>
      </c>
      <c r="B16" s="3584" t="s">
        <v>2482</v>
      </c>
      <c r="C16" s="3584"/>
      <c r="D16" s="2362" t="s">
        <v>2483</v>
      </c>
      <c r="E16" s="2373" t="s">
        <v>2484</v>
      </c>
      <c r="F16" s="2363" t="s">
        <v>2485</v>
      </c>
      <c r="G16" s="2364" t="s">
        <v>2475</v>
      </c>
      <c r="H16" s="2370" t="s">
        <v>2476</v>
      </c>
      <c r="I16" s="2361" t="s">
        <v>2477</v>
      </c>
    </row>
    <row r="17" spans="1:9" ht="14.25">
      <c r="A17" s="3583"/>
      <c r="B17" s="3584" t="s">
        <v>2486</v>
      </c>
      <c r="C17" s="3584"/>
      <c r="D17" s="2362"/>
      <c r="E17" s="2362"/>
      <c r="F17" s="2363"/>
      <c r="G17" s="2364"/>
      <c r="H17" s="2374"/>
      <c r="I17" s="2375">
        <f>ROUND(D17*E17*F17*G17/10000,0)</f>
        <v>0</v>
      </c>
    </row>
    <row r="18" spans="1:9" ht="14.25">
      <c r="A18" s="3583"/>
      <c r="B18" s="3584" t="s">
        <v>2487</v>
      </c>
      <c r="C18" s="3584"/>
      <c r="D18" s="2362"/>
      <c r="E18" s="2362"/>
      <c r="F18" s="2363"/>
      <c r="G18" s="2364"/>
      <c r="H18" s="2374"/>
      <c r="I18" s="2375">
        <f>ROUND(D18*E18*F18*G18/10000,0)</f>
        <v>0</v>
      </c>
    </row>
    <row r="19" spans="1:9" ht="14.25">
      <c r="A19" s="3583"/>
      <c r="B19" s="3584" t="s">
        <v>2488</v>
      </c>
      <c r="C19" s="3584"/>
      <c r="D19" s="2362"/>
      <c r="E19" s="2362"/>
      <c r="F19" s="2363"/>
      <c r="G19" s="2364"/>
      <c r="H19" s="2374"/>
      <c r="I19" s="2375">
        <f>ROUND(D19*E19*F19*G19/10000,0)</f>
        <v>0</v>
      </c>
    </row>
    <row r="20" spans="1:9">
      <c r="A20" s="3583"/>
      <c r="B20" s="3585" t="s">
        <v>2469</v>
      </c>
      <c r="C20" s="3585"/>
      <c r="D20" s="2366">
        <f>SUM(D17:D19)</f>
        <v>0</v>
      </c>
      <c r="E20" s="2366"/>
      <c r="F20" s="2367"/>
      <c r="G20" s="2364"/>
      <c r="H20" s="2371"/>
      <c r="I20" s="2372">
        <f>SUM(I17:I19)</f>
        <v>0</v>
      </c>
    </row>
    <row r="21" spans="1:9">
      <c r="A21" s="3583"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80">
        <f>C27-C30-C31-C32</f>
        <v>0</v>
      </c>
      <c r="F26" s="3580"/>
      <c r="G26" s="3580"/>
      <c r="H26" s="2756" t="s">
        <v>2823</v>
      </c>
    </row>
    <row r="27" spans="1:9">
      <c r="A27" s="2384">
        <v>1</v>
      </c>
      <c r="B27" s="2385" t="s">
        <v>2498</v>
      </c>
      <c r="C27" s="2385"/>
      <c r="D27" s="2385"/>
      <c r="E27" s="3581"/>
      <c r="F27" s="3581"/>
      <c r="G27" s="3581"/>
    </row>
    <row r="28" spans="1:9">
      <c r="A28" s="2386" t="s">
        <v>2499</v>
      </c>
      <c r="B28" s="2385" t="s">
        <v>2500</v>
      </c>
      <c r="C28" s="2385"/>
      <c r="D28" s="2385"/>
      <c r="E28" s="3581"/>
      <c r="F28" s="3581"/>
      <c r="G28" s="358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2"/>
      <c r="F32" s="3582"/>
      <c r="G32" s="3582"/>
    </row>
    <row r="33" spans="1:7" hidden="1">
      <c r="A33" s="3577" t="s">
        <v>2508</v>
      </c>
      <c r="B33" s="3578"/>
      <c r="C33" s="3578"/>
      <c r="D33" s="3579"/>
      <c r="E33" s="3580"/>
      <c r="F33" s="3580"/>
      <c r="G33" s="3580"/>
    </row>
    <row r="34" spans="1:7" hidden="1">
      <c r="A34" s="2388">
        <v>1</v>
      </c>
      <c r="B34" s="2385" t="s">
        <v>2509</v>
      </c>
      <c r="C34" s="2385"/>
      <c r="D34" s="2385"/>
      <c r="E34" s="3581"/>
      <c r="F34" s="3581"/>
      <c r="G34" s="3581"/>
    </row>
    <row r="35" spans="1:7" hidden="1">
      <c r="A35" s="2388">
        <v>2</v>
      </c>
      <c r="B35" s="2385" t="s">
        <v>2510</v>
      </c>
      <c r="C35" s="2385"/>
      <c r="D35" s="2385"/>
      <c r="E35" s="3581"/>
      <c r="F35" s="3581"/>
      <c r="G35" s="3581"/>
    </row>
    <row r="36" spans="1:7" hidden="1">
      <c r="A36" s="2388">
        <v>3</v>
      </c>
      <c r="B36" s="2385" t="s">
        <v>2511</v>
      </c>
      <c r="C36" s="2385"/>
      <c r="D36" s="2385"/>
      <c r="E36" s="3581"/>
      <c r="F36" s="3581"/>
      <c r="G36" s="3581"/>
    </row>
    <row r="37" spans="1:7" hidden="1">
      <c r="A37" s="2388">
        <v>4</v>
      </c>
      <c r="B37" s="2385" t="s">
        <v>2512</v>
      </c>
      <c r="C37" s="2385"/>
      <c r="D37" s="2385"/>
      <c r="E37" s="3581"/>
      <c r="F37" s="3581"/>
      <c r="G37" s="3581"/>
    </row>
    <row r="38" spans="1:7" hidden="1">
      <c r="A38" s="3577" t="s">
        <v>2513</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3179</v>
      </c>
      <c r="D13" s="3270">
        <f>'数据-汇总表'!E6</f>
        <v>302725.5</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3075</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3076</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3077</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3063</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3072</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0" t="s">
        <v>516</v>
      </c>
      <c r="D4" s="3501"/>
      <c r="E4" s="3525" t="s">
        <v>517</v>
      </c>
      <c r="F4" s="3526"/>
      <c r="G4" s="3500" t="s">
        <v>518</v>
      </c>
      <c r="H4" s="3501"/>
      <c r="I4" s="3500" t="s">
        <v>519</v>
      </c>
      <c r="J4" s="3501"/>
      <c r="K4" s="842"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98" t="s">
        <v>3016</v>
      </c>
      <c r="F5" s="3528"/>
      <c r="G5" s="3599" t="s">
        <v>3017</v>
      </c>
      <c r="H5" s="3512"/>
      <c r="I5" s="3599" t="s">
        <v>3018</v>
      </c>
      <c r="J5" s="3512"/>
      <c r="K5" s="843"/>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843"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486" t="s">
        <v>524</v>
      </c>
      <c r="Q7" s="3495"/>
      <c r="R7" s="1502" t="s">
        <v>13</v>
      </c>
      <c r="S7" s="1503">
        <f t="shared" ref="S7:S15" si="0">F7</f>
        <v>100</v>
      </c>
      <c r="T7" s="1502" t="s">
        <v>13</v>
      </c>
      <c r="U7" s="1503">
        <f t="shared" ref="U7:U15" si="1">H7</f>
        <v>100</v>
      </c>
      <c r="V7" s="1502" t="s">
        <v>13</v>
      </c>
      <c r="W7" s="1503">
        <f t="shared" ref="W7:W15" si="2">J7</f>
        <v>100</v>
      </c>
      <c r="X7" s="1504"/>
      <c r="Y7" s="3486" t="s">
        <v>524</v>
      </c>
      <c r="Z7" s="3487"/>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3020</v>
      </c>
      <c r="H8" s="514">
        <f>SUMIF(61:61,G8,62:62)-SUMIF(61:61,C8,62:62)+100</f>
        <v>100</v>
      </c>
      <c r="I8" s="519" t="s">
        <v>570</v>
      </c>
      <c r="J8" s="514">
        <f>SUMIF(61:61,I8,62:62)-SUMIF(61:61,C8,62:62)+100</f>
        <v>100</v>
      </c>
      <c r="K8" s="844"/>
      <c r="L8" s="2017"/>
      <c r="M8" s="2018"/>
      <c r="N8" s="2018"/>
      <c r="O8" s="2018"/>
      <c r="P8" s="3486" t="s">
        <v>527</v>
      </c>
      <c r="Q8" s="3487"/>
      <c r="R8" s="1502" t="s">
        <v>13</v>
      </c>
      <c r="S8" s="1503">
        <f t="shared" si="0"/>
        <v>100</v>
      </c>
      <c r="T8" s="1502" t="s">
        <v>13</v>
      </c>
      <c r="U8" s="1503">
        <f t="shared" si="1"/>
        <v>100</v>
      </c>
      <c r="V8" s="1502" t="s">
        <v>13</v>
      </c>
      <c r="W8" s="1503">
        <f t="shared" si="2"/>
        <v>100</v>
      </c>
      <c r="X8" s="1504"/>
      <c r="Y8" s="3486" t="s">
        <v>527</v>
      </c>
      <c r="Z8" s="3487"/>
      <c r="AA8" s="1505">
        <f t="shared" ref="AA8:AA46" si="3">D8/F8</f>
        <v>1</v>
      </c>
      <c r="AB8" s="1505">
        <f t="shared" ref="AB8:AB46" si="4">D8/H8</f>
        <v>1</v>
      </c>
      <c r="AC8" s="1505">
        <f t="shared" ref="AC8:AC46" si="5">D8/J8</f>
        <v>1</v>
      </c>
    </row>
    <row r="9" spans="1:29" s="1202" customFormat="1" ht="15">
      <c r="A9" s="2631"/>
      <c r="B9" s="2638" t="s">
        <v>2737</v>
      </c>
      <c r="C9" s="3286" t="s">
        <v>3019</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t="s">
        <v>3022</v>
      </c>
      <c r="D10" s="253">
        <v>100</v>
      </c>
      <c r="E10" s="851" t="s">
        <v>3021</v>
      </c>
      <c r="F10" s="852">
        <f>SUMIF(65:65,E10,66:66)-SUMIF(65:65,C10,66:66)+100</f>
        <v>102</v>
      </c>
      <c r="G10" s="851" t="s">
        <v>3021</v>
      </c>
      <c r="H10" s="253">
        <f>SUMIF(65:65,G10,66:66)-SUMIF(65:65,C10,66:66)+100</f>
        <v>102</v>
      </c>
      <c r="I10" s="851" t="s">
        <v>3021</v>
      </c>
      <c r="J10" s="253">
        <f>SUMIF(65:65,I10,66:66)-SUMIF(65:65,C10,66:66)+100</f>
        <v>102</v>
      </c>
      <c r="K10" s="853">
        <v>1</v>
      </c>
      <c r="L10" s="2020"/>
      <c r="M10" s="2059"/>
      <c r="N10" s="2059"/>
      <c r="O10" s="2021"/>
      <c r="P10" s="3494"/>
      <c r="Q10" s="1133" t="str">
        <f t="shared" si="6"/>
        <v>土地使用年限（年）</v>
      </c>
      <c r="R10" s="1502" t="s">
        <v>8</v>
      </c>
      <c r="S10" s="1503">
        <f t="shared" si="0"/>
        <v>102</v>
      </c>
      <c r="T10" s="1502" t="s">
        <v>8</v>
      </c>
      <c r="U10" s="1503">
        <f t="shared" si="1"/>
        <v>102</v>
      </c>
      <c r="V10" s="1502" t="s">
        <v>8</v>
      </c>
      <c r="W10" s="1503">
        <f t="shared" si="2"/>
        <v>102</v>
      </c>
      <c r="X10" s="1504"/>
      <c r="Y10" s="3445"/>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94"/>
      <c r="Q11" s="1133" t="str">
        <f t="shared" si="6"/>
        <v>容积率</v>
      </c>
      <c r="R11" s="1502" t="s">
        <v>11</v>
      </c>
      <c r="S11" s="1503">
        <f t="shared" si="0"/>
        <v>100</v>
      </c>
      <c r="T11" s="1502" t="s">
        <v>11</v>
      </c>
      <c r="U11" s="1503">
        <f t="shared" si="1"/>
        <v>100.5</v>
      </c>
      <c r="V11" s="1502" t="s">
        <v>11</v>
      </c>
      <c r="W11" s="1503">
        <f t="shared" si="2"/>
        <v>100.5</v>
      </c>
      <c r="X11" s="1504"/>
      <c r="Y11" s="3445"/>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4"/>
      <c r="Q12" s="1133">
        <f t="shared" si="6"/>
        <v>111</v>
      </c>
      <c r="R12" s="1502" t="s">
        <v>11</v>
      </c>
      <c r="S12" s="1503">
        <f t="shared" si="0"/>
        <v>100</v>
      </c>
      <c r="T12" s="1502" t="s">
        <v>11</v>
      </c>
      <c r="U12" s="1503">
        <f t="shared" si="1"/>
        <v>100</v>
      </c>
      <c r="V12" s="1502" t="s">
        <v>11</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4"/>
      <c r="Q13" s="1133">
        <f t="shared" si="6"/>
        <v>111</v>
      </c>
      <c r="R13" s="1502" t="s">
        <v>11</v>
      </c>
      <c r="S13" s="1503">
        <f t="shared" si="0"/>
        <v>100</v>
      </c>
      <c r="T13" s="1502" t="s">
        <v>11</v>
      </c>
      <c r="U13" s="1503">
        <f t="shared" si="1"/>
        <v>100</v>
      </c>
      <c r="V13" s="1502" t="s">
        <v>11</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4"/>
      <c r="Q14" s="1133">
        <f t="shared" si="6"/>
        <v>111</v>
      </c>
      <c r="R14" s="1502" t="s">
        <v>11</v>
      </c>
      <c r="S14" s="1503">
        <f t="shared" si="0"/>
        <v>100</v>
      </c>
      <c r="T14" s="1502" t="s">
        <v>11</v>
      </c>
      <c r="U14" s="1503">
        <f t="shared" si="1"/>
        <v>100</v>
      </c>
      <c r="V14" s="1502" t="s">
        <v>11</v>
      </c>
      <c r="W14" s="1503">
        <f t="shared" si="2"/>
        <v>100</v>
      </c>
      <c r="X14" s="1504"/>
      <c r="Y14" s="3445"/>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496" t="s">
        <v>534</v>
      </c>
      <c r="Q15" s="1506" t="str">
        <f t="shared" si="6"/>
        <v>居住社区成熟度</v>
      </c>
      <c r="R15" s="1507" t="s">
        <v>11</v>
      </c>
      <c r="S15" s="1508">
        <f t="shared" si="0"/>
        <v>102</v>
      </c>
      <c r="T15" s="1507" t="s">
        <v>11</v>
      </c>
      <c r="U15" s="1508">
        <f t="shared" si="1"/>
        <v>102</v>
      </c>
      <c r="V15" s="1507" t="s">
        <v>11</v>
      </c>
      <c r="W15" s="1508">
        <f t="shared" si="2"/>
        <v>100</v>
      </c>
      <c r="X15" s="1501"/>
      <c r="Y15" s="3496" t="s">
        <v>534</v>
      </c>
      <c r="Z15" s="1509" t="str">
        <f t="shared" si="7"/>
        <v>居住社区成熟度</v>
      </c>
      <c r="AA15" s="1510">
        <f t="shared" si="3"/>
        <v>0.98039215686274506</v>
      </c>
      <c r="AB15" s="1510">
        <f t="shared" si="4"/>
        <v>0.98039215686274506</v>
      </c>
      <c r="AC15" s="1510">
        <f t="shared" si="5"/>
        <v>1</v>
      </c>
    </row>
    <row r="16" spans="1:29" ht="15">
      <c r="A16" s="526"/>
      <c r="B16" s="858"/>
      <c r="C16" s="570" t="s">
        <v>3023</v>
      </c>
      <c r="D16" s="549"/>
      <c r="E16" s="570" t="s">
        <v>3024</v>
      </c>
      <c r="F16" s="551"/>
      <c r="G16" s="570" t="s">
        <v>3024</v>
      </c>
      <c r="H16" s="553"/>
      <c r="I16" s="550" t="s">
        <v>3023</v>
      </c>
      <c r="J16" s="549"/>
      <c r="K16" s="859"/>
      <c r="L16" s="2024"/>
      <c r="M16" s="2016"/>
      <c r="N16" s="2016"/>
      <c r="O16" s="2023"/>
      <c r="P16" s="3497"/>
      <c r="Q16" s="1506"/>
      <c r="R16" s="1507"/>
      <c r="S16" s="1508"/>
      <c r="T16" s="1507"/>
      <c r="U16" s="1508"/>
      <c r="V16" s="1507"/>
      <c r="W16" s="1508"/>
      <c r="X16" s="1501"/>
      <c r="Y16" s="3497"/>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497"/>
      <c r="Q17" s="1506" t="str">
        <f>B17</f>
        <v>交通便捷度</v>
      </c>
      <c r="R17" s="1507" t="s">
        <v>11</v>
      </c>
      <c r="S17" s="1508">
        <f>F17</f>
        <v>101</v>
      </c>
      <c r="T17" s="1507" t="s">
        <v>11</v>
      </c>
      <c r="U17" s="1508">
        <f>H17</f>
        <v>101</v>
      </c>
      <c r="V17" s="1507" t="s">
        <v>11</v>
      </c>
      <c r="W17" s="1508">
        <f>J17</f>
        <v>100</v>
      </c>
      <c r="X17" s="1501"/>
      <c r="Y17" s="3497"/>
      <c r="Z17" s="1509" t="str">
        <f>Q17</f>
        <v>交通便捷度</v>
      </c>
      <c r="AA17" s="1510">
        <f t="shared" si="3"/>
        <v>0.99009900990099009</v>
      </c>
      <c r="AB17" s="1510">
        <f t="shared" si="4"/>
        <v>0.99009900990099009</v>
      </c>
      <c r="AC17" s="1510">
        <f t="shared" si="5"/>
        <v>1</v>
      </c>
    </row>
    <row r="18" spans="1:29" ht="15">
      <c r="A18" s="526"/>
      <c r="B18" s="589"/>
      <c r="C18" s="862" t="s">
        <v>3023</v>
      </c>
      <c r="D18" s="553"/>
      <c r="E18" s="562" t="s">
        <v>3024</v>
      </c>
      <c r="F18" s="557"/>
      <c r="G18" s="562" t="s">
        <v>3024</v>
      </c>
      <c r="H18" s="549"/>
      <c r="I18" s="862" t="s">
        <v>3023</v>
      </c>
      <c r="J18" s="549"/>
      <c r="K18" s="859"/>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497"/>
      <c r="Q19" s="1506" t="str">
        <f>B19</f>
        <v>公共配套设施</v>
      </c>
      <c r="R19" s="1507" t="s">
        <v>11</v>
      </c>
      <c r="S19" s="1508">
        <f>F19</f>
        <v>102</v>
      </c>
      <c r="T19" s="1507" t="s">
        <v>11</v>
      </c>
      <c r="U19" s="1508">
        <f>H19</f>
        <v>102</v>
      </c>
      <c r="V19" s="1507" t="s">
        <v>11</v>
      </c>
      <c r="W19" s="1508">
        <f>J19</f>
        <v>100</v>
      </c>
      <c r="X19" s="1501"/>
      <c r="Y19" s="3497"/>
      <c r="Z19" s="1509" t="str">
        <f>Q19</f>
        <v>公共配套设施</v>
      </c>
      <c r="AA19" s="1510">
        <f t="shared" si="3"/>
        <v>0.98039215686274506</v>
      </c>
      <c r="AB19" s="1510">
        <f t="shared" si="4"/>
        <v>0.98039215686274506</v>
      </c>
      <c r="AC19" s="1510">
        <f t="shared" si="5"/>
        <v>1</v>
      </c>
    </row>
    <row r="20" spans="1:29" ht="15">
      <c r="A20" s="526"/>
      <c r="B20" s="589"/>
      <c r="C20" s="570" t="s">
        <v>3025</v>
      </c>
      <c r="D20" s="549"/>
      <c r="E20" s="550" t="s">
        <v>3023</v>
      </c>
      <c r="F20" s="551"/>
      <c r="G20" s="550" t="s">
        <v>3023</v>
      </c>
      <c r="H20" s="549"/>
      <c r="I20" s="570" t="s">
        <v>3025</v>
      </c>
      <c r="J20" s="549"/>
      <c r="K20" s="859"/>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97"/>
      <c r="Q21" s="2429" t="str">
        <f>B21</f>
        <v>基础设施水平</v>
      </c>
      <c r="R21" s="1507" t="s">
        <v>11</v>
      </c>
      <c r="S21" s="1508">
        <f>F21</f>
        <v>100</v>
      </c>
      <c r="T21" s="1507" t="s">
        <v>11</v>
      </c>
      <c r="U21" s="1508">
        <f>H21</f>
        <v>100</v>
      </c>
      <c r="V21" s="1507" t="s">
        <v>11</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t="s">
        <v>3026</v>
      </c>
      <c r="D22" s="549"/>
      <c r="E22" s="862" t="s">
        <v>3026</v>
      </c>
      <c r="F22" s="551"/>
      <c r="G22" s="862" t="s">
        <v>3026</v>
      </c>
      <c r="H22" s="549"/>
      <c r="I22" s="862" t="s">
        <v>3026</v>
      </c>
      <c r="J22" s="549"/>
      <c r="K22" s="2443"/>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497"/>
      <c r="Q23" s="1506" t="str">
        <f>B23</f>
        <v>自然及人文环境</v>
      </c>
      <c r="R23" s="1507" t="s">
        <v>11</v>
      </c>
      <c r="S23" s="1508">
        <f>F23</f>
        <v>102</v>
      </c>
      <c r="T23" s="1507" t="s">
        <v>11</v>
      </c>
      <c r="U23" s="1508">
        <f>H23</f>
        <v>102</v>
      </c>
      <c r="V23" s="1507" t="s">
        <v>11</v>
      </c>
      <c r="W23" s="1508">
        <f>J23</f>
        <v>100</v>
      </c>
      <c r="X23" s="1501"/>
      <c r="Y23" s="3497"/>
      <c r="Z23" s="1509" t="str">
        <f>Q23</f>
        <v>自然及人文环境</v>
      </c>
      <c r="AA23" s="1510">
        <f t="shared" si="3"/>
        <v>0.98039215686274506</v>
      </c>
      <c r="AB23" s="1510">
        <f t="shared" si="4"/>
        <v>0.98039215686274506</v>
      </c>
      <c r="AC23" s="1510">
        <f t="shared" si="5"/>
        <v>1</v>
      </c>
    </row>
    <row r="24" spans="1:29" ht="15">
      <c r="A24" s="526"/>
      <c r="B24" s="589"/>
      <c r="C24" s="570" t="s">
        <v>3025</v>
      </c>
      <c r="D24" s="549"/>
      <c r="E24" s="550" t="s">
        <v>3023</v>
      </c>
      <c r="F24" s="551"/>
      <c r="G24" s="550" t="s">
        <v>3023</v>
      </c>
      <c r="H24" s="549"/>
      <c r="I24" s="570" t="s">
        <v>3025</v>
      </c>
      <c r="J24" s="549"/>
      <c r="K24" s="859"/>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7"/>
      <c r="Q25" s="1506" t="str">
        <f t="shared" ref="Q25:Q46" si="11">B25</f>
        <v>楼层-1</v>
      </c>
      <c r="R25" s="1507" t="s">
        <v>11</v>
      </c>
      <c r="S25" s="1508">
        <f>F25</f>
        <v>100</v>
      </c>
      <c r="T25" s="1507" t="s">
        <v>11</v>
      </c>
      <c r="U25" s="1508">
        <f>H25</f>
        <v>100</v>
      </c>
      <c r="V25" s="1507" t="s">
        <v>11</v>
      </c>
      <c r="W25" s="1508">
        <f>J25</f>
        <v>100</v>
      </c>
      <c r="X25" s="1501"/>
      <c r="Y25" s="3497"/>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7"/>
      <c r="Q26" s="1506" t="str">
        <f t="shared" si="11"/>
        <v>朝向</v>
      </c>
      <c r="R26" s="1507" t="s">
        <v>11</v>
      </c>
      <c r="S26" s="1508">
        <f>F26</f>
        <v>100</v>
      </c>
      <c r="T26" s="1507" t="s">
        <v>11</v>
      </c>
      <c r="U26" s="1508">
        <f>H26</f>
        <v>100</v>
      </c>
      <c r="V26" s="1507" t="s">
        <v>11</v>
      </c>
      <c r="W26" s="1508">
        <f>J26</f>
        <v>100</v>
      </c>
      <c r="X26" s="1501"/>
      <c r="Y26" s="3497"/>
      <c r="Z26" s="1509" t="str">
        <f>Q26</f>
        <v>朝向</v>
      </c>
      <c r="AA26" s="1510">
        <f t="shared" si="3"/>
        <v>1</v>
      </c>
      <c r="AB26" s="1510">
        <f t="shared" si="4"/>
        <v>1</v>
      </c>
      <c r="AC26" s="1510">
        <f t="shared" si="5"/>
        <v>1</v>
      </c>
    </row>
    <row r="27" spans="1:29" s="1202" customFormat="1" ht="15.75" thickTop="1">
      <c r="A27" s="530"/>
      <c r="B27" s="531" t="s">
        <v>718</v>
      </c>
      <c r="C27" s="3287" t="s">
        <v>3030</v>
      </c>
      <c r="D27" s="864">
        <v>100</v>
      </c>
      <c r="E27" s="3287" t="s">
        <v>3030</v>
      </c>
      <c r="F27" s="865">
        <f>SUMIF(90:90,E27,91:91)-SUMIF(90:90,C27,91:91)+100</f>
        <v>100</v>
      </c>
      <c r="G27" s="3296" t="s">
        <v>3065</v>
      </c>
      <c r="H27" s="864">
        <f>SUMIF(90:90,G27,91:91)-SUMIF(90:90,C27,91:91)+100</f>
        <v>101</v>
      </c>
      <c r="I27" s="3295" t="s">
        <v>3064</v>
      </c>
      <c r="J27" s="864">
        <f>SUMIF(90:90,I27,91:91)-SUMIF(90:90,C27,91:91)+100</f>
        <v>99</v>
      </c>
      <c r="K27" s="854"/>
      <c r="L27" s="2017"/>
      <c r="M27" s="2018"/>
      <c r="N27" s="2018"/>
      <c r="O27" s="2019"/>
      <c r="P27" s="3497"/>
      <c r="Q27" s="1133" t="str">
        <f t="shared" si="11"/>
        <v>道路级别</v>
      </c>
      <c r="R27" s="1502" t="s">
        <v>11</v>
      </c>
      <c r="S27" s="1503">
        <f>F27</f>
        <v>100</v>
      </c>
      <c r="T27" s="1502" t="s">
        <v>11</v>
      </c>
      <c r="U27" s="1503">
        <f>H27</f>
        <v>101</v>
      </c>
      <c r="V27" s="1502" t="s">
        <v>11</v>
      </c>
      <c r="W27" s="1503">
        <f>J27</f>
        <v>99</v>
      </c>
      <c r="X27" s="1504"/>
      <c r="Y27" s="3497"/>
      <c r="Z27" s="1132" t="str">
        <f>Q27</f>
        <v>道路级别</v>
      </c>
      <c r="AA27" s="1510">
        <f>D27/F27</f>
        <v>1</v>
      </c>
      <c r="AB27" s="1510">
        <f>D27/H27</f>
        <v>0.99009900990099009</v>
      </c>
      <c r="AC27" s="1510">
        <f>D27/J27</f>
        <v>1.0101010101010102</v>
      </c>
    </row>
    <row r="28" spans="1:29" ht="15">
      <c r="A28" s="526"/>
      <c r="B28" s="866">
        <v>111</v>
      </c>
      <c r="C28" s="3297" t="s">
        <v>3066</v>
      </c>
      <c r="D28" s="534">
        <v>100</v>
      </c>
      <c r="E28" s="3297" t="s">
        <v>3066</v>
      </c>
      <c r="F28" s="569">
        <f>SUMIF(92:92,E28,93:93)-SUMIF(92:92,C28,93:93)+100</f>
        <v>100</v>
      </c>
      <c r="G28" s="3297" t="s">
        <v>3068</v>
      </c>
      <c r="H28" s="534">
        <f>SUMIF(92:92,G28,93:93)-SUMIF(92:92,C28,93:93)+100</f>
        <v>100</v>
      </c>
      <c r="I28" s="3297" t="s">
        <v>3067</v>
      </c>
      <c r="J28" s="534">
        <f>SUMIF(92:92,I28,93:93)-SUMIF(92:92,C28,93:93)+100</f>
        <v>100</v>
      </c>
      <c r="K28" s="854"/>
      <c r="L28" s="2024"/>
      <c r="M28" s="2016"/>
      <c r="N28" s="2016"/>
      <c r="O28" s="2023"/>
      <c r="P28" s="3497"/>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7"/>
      <c r="Q29" s="1506">
        <f t="shared" si="11"/>
        <v>111</v>
      </c>
      <c r="R29" s="1507" t="s">
        <v>11</v>
      </c>
      <c r="S29" s="1508">
        <f t="shared" si="12"/>
        <v>100</v>
      </c>
      <c r="T29" s="1507" t="s">
        <v>11</v>
      </c>
      <c r="U29" s="1508">
        <f t="shared" si="13"/>
        <v>100</v>
      </c>
      <c r="V29" s="1507" t="s">
        <v>11</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7"/>
      <c r="Q30" s="1506">
        <f t="shared" si="11"/>
        <v>111</v>
      </c>
      <c r="R30" s="1507" t="s">
        <v>11</v>
      </c>
      <c r="S30" s="1508">
        <f t="shared" si="12"/>
        <v>100</v>
      </c>
      <c r="T30" s="1507" t="s">
        <v>11</v>
      </c>
      <c r="U30" s="1508">
        <f t="shared" si="13"/>
        <v>100</v>
      </c>
      <c r="V30" s="1507" t="s">
        <v>11</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7"/>
      <c r="Q31" s="1506">
        <f t="shared" si="11"/>
        <v>111</v>
      </c>
      <c r="R31" s="1507" t="s">
        <v>11</v>
      </c>
      <c r="S31" s="1508">
        <f t="shared" si="12"/>
        <v>100</v>
      </c>
      <c r="T31" s="1507" t="s">
        <v>11</v>
      </c>
      <c r="U31" s="1508">
        <f t="shared" si="13"/>
        <v>100</v>
      </c>
      <c r="V31" s="1507" t="s">
        <v>11</v>
      </c>
      <c r="W31" s="1508">
        <f t="shared" si="14"/>
        <v>100</v>
      </c>
      <c r="X31" s="1501"/>
      <c r="Y31" s="3497"/>
      <c r="Z31" s="1509">
        <f t="shared" si="15"/>
        <v>111</v>
      </c>
      <c r="AA31" s="1510">
        <f t="shared" si="3"/>
        <v>1</v>
      </c>
      <c r="AB31" s="1510">
        <f t="shared" si="4"/>
        <v>1</v>
      </c>
      <c r="AC31" s="1510">
        <f t="shared" si="5"/>
        <v>1</v>
      </c>
    </row>
    <row r="32" spans="1:29" ht="15">
      <c r="A32" s="2624" t="s">
        <v>2736</v>
      </c>
      <c r="B32" s="170" t="s">
        <v>719</v>
      </c>
      <c r="C32" s="867" t="s">
        <v>3062</v>
      </c>
      <c r="D32" s="591">
        <v>100</v>
      </c>
      <c r="E32" s="867" t="s">
        <v>3062</v>
      </c>
      <c r="F32" s="569">
        <f>SUMIF(100:100,E32,101:101)-SUMIF(100:100,C32,101:101)+100</f>
        <v>100</v>
      </c>
      <c r="G32" s="867" t="s">
        <v>3062</v>
      </c>
      <c r="H32" s="591">
        <f>SUMIF(100:100,G32,101:101)-SUMIF(100:100,C32,101:101)+100</f>
        <v>100</v>
      </c>
      <c r="I32" s="867" t="s">
        <v>3062</v>
      </c>
      <c r="J32" s="534">
        <f>SUMIF(100:100,I32,101:101)-SUMIF(100:100,C32,101:101)+100</f>
        <v>100</v>
      </c>
      <c r="K32" s="853">
        <v>3</v>
      </c>
      <c r="L32" s="2024"/>
      <c r="M32" s="2016"/>
      <c r="N32" s="2016"/>
      <c r="O32" s="2023"/>
      <c r="P32" s="3498" t="s">
        <v>544</v>
      </c>
      <c r="Q32" s="1506" t="str">
        <f t="shared" si="11"/>
        <v>建筑类型</v>
      </c>
      <c r="R32" s="1507" t="s">
        <v>11</v>
      </c>
      <c r="S32" s="1508">
        <f t="shared" si="12"/>
        <v>100</v>
      </c>
      <c r="T32" s="1507" t="s">
        <v>11</v>
      </c>
      <c r="U32" s="1508">
        <f t="shared" si="13"/>
        <v>100</v>
      </c>
      <c r="V32" s="1507" t="s">
        <v>11</v>
      </c>
      <c r="W32" s="1508">
        <f t="shared" si="14"/>
        <v>100</v>
      </c>
      <c r="X32" s="1501"/>
      <c r="Y32" s="3499"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302725.5</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499"/>
      <c r="Q33" s="1535" t="str">
        <f t="shared" si="11"/>
        <v>项目建筑规模</v>
      </c>
      <c r="R33" s="1511" t="s">
        <v>11</v>
      </c>
      <c r="S33" s="1512">
        <f t="shared" si="12"/>
        <v>100</v>
      </c>
      <c r="T33" s="1511" t="s">
        <v>11</v>
      </c>
      <c r="U33" s="1512">
        <f t="shared" si="13"/>
        <v>100</v>
      </c>
      <c r="V33" s="1511" t="s">
        <v>11</v>
      </c>
      <c r="W33" s="1512">
        <f t="shared" si="14"/>
        <v>98</v>
      </c>
      <c r="X33" s="1513"/>
      <c r="Y33" s="3499"/>
      <c r="Z33" s="1514" t="str">
        <f t="shared" si="15"/>
        <v>项目建筑规模</v>
      </c>
      <c r="AA33" s="1510">
        <f t="shared" si="3"/>
        <v>1</v>
      </c>
      <c r="AB33" s="1510">
        <f t="shared" si="4"/>
        <v>1</v>
      </c>
      <c r="AC33" s="1510">
        <f t="shared" si="5"/>
        <v>1.0204081632653061</v>
      </c>
    </row>
    <row r="34" spans="1:29" ht="15">
      <c r="A34" s="588"/>
      <c r="B34" s="521" t="s">
        <v>721</v>
      </c>
      <c r="C34" s="869" t="s">
        <v>3063</v>
      </c>
      <c r="D34" s="534">
        <v>100</v>
      </c>
      <c r="E34" s="869" t="s">
        <v>3063</v>
      </c>
      <c r="F34" s="569">
        <f>SUMIF(105:105,E34,106:106)-SUMIF(105:105,C34,106:106)+100</f>
        <v>100</v>
      </c>
      <c r="G34" s="869" t="s">
        <v>3063</v>
      </c>
      <c r="H34" s="534">
        <f>SUMIF(105:105,G34,106:106)-SUMIF(105:105,C34,106:106)+100</f>
        <v>100</v>
      </c>
      <c r="I34" s="869" t="s">
        <v>3063</v>
      </c>
      <c r="J34" s="534">
        <f>SUMIF(105:105,I34,106:106)-SUMIF(105:105,C34,106:106)+100</f>
        <v>100</v>
      </c>
      <c r="K34" s="853">
        <v>2</v>
      </c>
      <c r="L34" s="2024"/>
      <c r="M34" s="2016"/>
      <c r="N34" s="2016"/>
      <c r="O34" s="2023"/>
      <c r="P34" s="3499"/>
      <c r="Q34" s="1506" t="str">
        <f t="shared" si="11"/>
        <v>建筑结构</v>
      </c>
      <c r="R34" s="1507" t="s">
        <v>11</v>
      </c>
      <c r="S34" s="1508">
        <f t="shared" si="12"/>
        <v>100</v>
      </c>
      <c r="T34" s="1507" t="s">
        <v>11</v>
      </c>
      <c r="U34" s="1508">
        <f t="shared" si="13"/>
        <v>100</v>
      </c>
      <c r="V34" s="1507" t="s">
        <v>11</v>
      </c>
      <c r="W34" s="1508">
        <f t="shared" si="14"/>
        <v>100</v>
      </c>
      <c r="X34" s="1501"/>
      <c r="Y34" s="349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9"/>
      <c r="Q35" s="1506" t="str">
        <f t="shared" si="11"/>
        <v>建筑品质</v>
      </c>
      <c r="R35" s="1507" t="s">
        <v>11</v>
      </c>
      <c r="S35" s="1508">
        <f t="shared" si="12"/>
        <v>100</v>
      </c>
      <c r="T35" s="1507" t="s">
        <v>11</v>
      </c>
      <c r="U35" s="1508">
        <f t="shared" si="13"/>
        <v>100</v>
      </c>
      <c r="V35" s="1507" t="s">
        <v>11</v>
      </c>
      <c r="W35" s="1508">
        <f t="shared" si="14"/>
        <v>100</v>
      </c>
      <c r="X35" s="1501"/>
      <c r="Y35" s="3499"/>
      <c r="Z35" s="1509" t="str">
        <f t="shared" si="15"/>
        <v>建筑品质</v>
      </c>
      <c r="AA35" s="1510">
        <f t="shared" si="3"/>
        <v>1</v>
      </c>
      <c r="AB35" s="1510">
        <f t="shared" si="4"/>
        <v>1</v>
      </c>
      <c r="AC35" s="1510">
        <f t="shared" si="5"/>
        <v>1</v>
      </c>
    </row>
    <row r="36" spans="1:29" ht="15">
      <c r="A36" s="588"/>
      <c r="B36" s="521" t="s">
        <v>723</v>
      </c>
      <c r="C36" s="593" t="s">
        <v>3069</v>
      </c>
      <c r="D36" s="534">
        <v>100</v>
      </c>
      <c r="E36" s="593" t="s">
        <v>3069</v>
      </c>
      <c r="F36" s="569">
        <f>SUMIF(109:109,E36,110:110)-SUMIF(109:109,C36,110:110)+100</f>
        <v>100</v>
      </c>
      <c r="G36" s="593" t="s">
        <v>3069</v>
      </c>
      <c r="H36" s="534">
        <f>SUMIF(109:109,G36,110:110)-SUMIF(109:109,C36,110:110)+100</f>
        <v>100</v>
      </c>
      <c r="I36" s="593" t="s">
        <v>3069</v>
      </c>
      <c r="J36" s="534">
        <f>SUMIF(109:109,I36,110:110)-SUMIF(109:109,C36,110:110)+100</f>
        <v>100</v>
      </c>
      <c r="K36" s="853">
        <v>2</v>
      </c>
      <c r="L36" s="2024"/>
      <c r="M36" s="2016"/>
      <c r="N36" s="2016"/>
      <c r="O36" s="2023"/>
      <c r="P36" s="3499"/>
      <c r="Q36" s="1506" t="str">
        <f t="shared" si="11"/>
        <v>公共部分装修</v>
      </c>
      <c r="R36" s="1507" t="s">
        <v>11</v>
      </c>
      <c r="S36" s="1508">
        <f t="shared" si="12"/>
        <v>100</v>
      </c>
      <c r="T36" s="1507" t="s">
        <v>11</v>
      </c>
      <c r="U36" s="1508">
        <f t="shared" si="13"/>
        <v>100</v>
      </c>
      <c r="V36" s="1507" t="s">
        <v>11</v>
      </c>
      <c r="W36" s="1508">
        <f t="shared" si="14"/>
        <v>100</v>
      </c>
      <c r="X36" s="1501"/>
      <c r="Y36" s="349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499"/>
      <c r="Q37" s="1133" t="str">
        <f t="shared" si="11"/>
        <v>成新度</v>
      </c>
      <c r="R37" s="1502" t="s">
        <v>11</v>
      </c>
      <c r="S37" s="1503">
        <f t="shared" si="12"/>
        <v>100</v>
      </c>
      <c r="T37" s="1502" t="s">
        <v>11</v>
      </c>
      <c r="U37" s="1503">
        <f t="shared" si="13"/>
        <v>100</v>
      </c>
      <c r="V37" s="1502" t="s">
        <v>11</v>
      </c>
      <c r="W37" s="1503">
        <f t="shared" si="14"/>
        <v>100</v>
      </c>
      <c r="X37" s="1504"/>
      <c r="Y37" s="3499"/>
      <c r="Z37" s="1132" t="str">
        <f t="shared" si="15"/>
        <v>成新度</v>
      </c>
      <c r="AA37" s="1505">
        <f t="shared" si="3"/>
        <v>1</v>
      </c>
      <c r="AB37" s="1505">
        <f t="shared" si="4"/>
        <v>1</v>
      </c>
      <c r="AC37" s="1505">
        <f t="shared" si="5"/>
        <v>1</v>
      </c>
    </row>
    <row r="38" spans="1:29" ht="15">
      <c r="A38" s="588"/>
      <c r="B38" s="521" t="s">
        <v>725</v>
      </c>
      <c r="C38" s="593" t="s">
        <v>3071</v>
      </c>
      <c r="D38" s="534">
        <v>100</v>
      </c>
      <c r="E38" s="593" t="s">
        <v>3071</v>
      </c>
      <c r="F38" s="569">
        <f>SUMIF(114:114,E38,115:115)-SUMIF(114:114,C38,115:115)+100</f>
        <v>100</v>
      </c>
      <c r="G38" s="593" t="s">
        <v>3071</v>
      </c>
      <c r="H38" s="534">
        <f>SUMIF(114:114,G38,115:115)-SUMIF(114:114,C38,115:115)+100</f>
        <v>100</v>
      </c>
      <c r="I38" s="593" t="s">
        <v>3071</v>
      </c>
      <c r="J38" s="534">
        <f>SUMIF(114:114,I38,115:115)-SUMIF(114:114,C38,115:115)+100</f>
        <v>100</v>
      </c>
      <c r="K38" s="853">
        <v>2</v>
      </c>
      <c r="L38" s="2024"/>
      <c r="M38" s="2016"/>
      <c r="N38" s="2016"/>
      <c r="O38" s="2023"/>
      <c r="P38" s="3499" t="s">
        <v>544</v>
      </c>
      <c r="Q38" s="1506" t="str">
        <f t="shared" si="11"/>
        <v>物业管理</v>
      </c>
      <c r="R38" s="1507" t="s">
        <v>11</v>
      </c>
      <c r="S38" s="1508">
        <f t="shared" si="12"/>
        <v>100</v>
      </c>
      <c r="T38" s="1507" t="s">
        <v>11</v>
      </c>
      <c r="U38" s="1508">
        <f t="shared" si="13"/>
        <v>100</v>
      </c>
      <c r="V38" s="1507" t="s">
        <v>11</v>
      </c>
      <c r="W38" s="1508">
        <f t="shared" si="14"/>
        <v>100</v>
      </c>
      <c r="X38" s="1501"/>
      <c r="Y38" s="3499" t="s">
        <v>544</v>
      </c>
      <c r="Z38" s="1509" t="str">
        <f t="shared" si="15"/>
        <v>物业管理</v>
      </c>
      <c r="AA38" s="1510">
        <f t="shared" si="3"/>
        <v>1</v>
      </c>
      <c r="AB38" s="1510">
        <f t="shared" si="4"/>
        <v>1</v>
      </c>
      <c r="AC38" s="1510">
        <f t="shared" si="5"/>
        <v>1</v>
      </c>
    </row>
    <row r="39" spans="1:29" ht="15">
      <c r="A39" s="588"/>
      <c r="B39" s="1809" t="s">
        <v>2546</v>
      </c>
      <c r="C39" s="593" t="s">
        <v>3026</v>
      </c>
      <c r="D39" s="534">
        <v>100</v>
      </c>
      <c r="E39" s="593" t="s">
        <v>3026</v>
      </c>
      <c r="F39" s="569">
        <f>SUMIF(116:116,E39,117:117)-SUMIF(116:116,C39,117:117)+100</f>
        <v>100</v>
      </c>
      <c r="G39" s="593" t="s">
        <v>3026</v>
      </c>
      <c r="H39" s="534">
        <f>SUMIF(116:116,G39,117:117)-SUMIF(116:116,C39,117:117)+100</f>
        <v>100</v>
      </c>
      <c r="I39" s="593" t="s">
        <v>3026</v>
      </c>
      <c r="J39" s="534">
        <f>SUMIF(116:116,I39,117:117)-SUMIF(116:116,C39,117:117)+100</f>
        <v>100</v>
      </c>
      <c r="K39" s="853">
        <v>1</v>
      </c>
      <c r="L39" s="2024"/>
      <c r="M39" s="2016"/>
      <c r="N39" s="2016"/>
      <c r="O39" s="2023"/>
      <c r="P39" s="3499"/>
      <c r="Q39" s="1506" t="str">
        <f t="shared" si="11"/>
        <v>市政基础设施</v>
      </c>
      <c r="R39" s="1507" t="s">
        <v>11</v>
      </c>
      <c r="S39" s="1508">
        <f t="shared" si="12"/>
        <v>100</v>
      </c>
      <c r="T39" s="1507" t="s">
        <v>11</v>
      </c>
      <c r="U39" s="1508">
        <f t="shared" si="13"/>
        <v>100</v>
      </c>
      <c r="V39" s="1507" t="s">
        <v>11</v>
      </c>
      <c r="W39" s="1508">
        <f t="shared" si="14"/>
        <v>100</v>
      </c>
      <c r="X39" s="1501"/>
      <c r="Y39" s="349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9"/>
      <c r="Q40" s="1506" t="str">
        <f t="shared" si="11"/>
        <v>房型</v>
      </c>
      <c r="R40" s="1507" t="s">
        <v>11</v>
      </c>
      <c r="S40" s="1508">
        <f t="shared" si="12"/>
        <v>100</v>
      </c>
      <c r="T40" s="1507" t="s">
        <v>11</v>
      </c>
      <c r="U40" s="1508">
        <f t="shared" si="13"/>
        <v>100</v>
      </c>
      <c r="V40" s="1507" t="s">
        <v>11</v>
      </c>
      <c r="W40" s="1508">
        <f t="shared" si="14"/>
        <v>100</v>
      </c>
      <c r="X40" s="1501"/>
      <c r="Y40" s="349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9"/>
      <c r="Q41" s="1535" t="str">
        <f t="shared" si="11"/>
        <v>单套/主力户型建筑面积</v>
      </c>
      <c r="R41" s="1511" t="s">
        <v>11</v>
      </c>
      <c r="S41" s="1512">
        <f t="shared" si="12"/>
        <v>100</v>
      </c>
      <c r="T41" s="1511" t="s">
        <v>11</v>
      </c>
      <c r="U41" s="1512">
        <f t="shared" si="13"/>
        <v>100</v>
      </c>
      <c r="V41" s="1511" t="s">
        <v>11</v>
      </c>
      <c r="W41" s="1512">
        <f t="shared" si="14"/>
        <v>100</v>
      </c>
      <c r="X41" s="1513"/>
      <c r="Y41" s="3499"/>
      <c r="Z41" s="1514" t="str">
        <f t="shared" si="15"/>
        <v>单套/主力户型建筑面积</v>
      </c>
      <c r="AA41" s="1510">
        <f t="shared" si="3"/>
        <v>1</v>
      </c>
      <c r="AB41" s="1510">
        <f t="shared" si="4"/>
        <v>1</v>
      </c>
      <c r="AC41" s="1510">
        <f t="shared" si="5"/>
        <v>1</v>
      </c>
    </row>
    <row r="42" spans="1:29" ht="15">
      <c r="A42" s="588"/>
      <c r="B42" s="521" t="s">
        <v>728</v>
      </c>
      <c r="C42" s="593" t="s">
        <v>3070</v>
      </c>
      <c r="D42" s="534">
        <v>100</v>
      </c>
      <c r="E42" s="593" t="s">
        <v>3070</v>
      </c>
      <c r="F42" s="569">
        <f>SUMIF(122:122,E42,123:123)-SUMIF(122:122,C42,123:123)+100</f>
        <v>100</v>
      </c>
      <c r="G42" s="593" t="s">
        <v>3070</v>
      </c>
      <c r="H42" s="534">
        <f>SUMIF(122:122,G42,123:123)-SUMIF(122:122,C42,123:123)+100</f>
        <v>100</v>
      </c>
      <c r="I42" s="863" t="s">
        <v>3069</v>
      </c>
      <c r="J42" s="534">
        <f>SUMIF(122:122,I42,123:123)-SUMIF(122:122,C42,123:123)+100</f>
        <v>106</v>
      </c>
      <c r="K42" s="853">
        <v>2</v>
      </c>
      <c r="L42" s="2024"/>
      <c r="M42" s="2016"/>
      <c r="N42" s="2016"/>
      <c r="O42" s="2023"/>
      <c r="P42" s="3499"/>
      <c r="Q42" s="1506" t="str">
        <f t="shared" si="11"/>
        <v>内部装修</v>
      </c>
      <c r="R42" s="1507" t="s">
        <v>11</v>
      </c>
      <c r="S42" s="1508">
        <f t="shared" si="12"/>
        <v>100</v>
      </c>
      <c r="T42" s="1507" t="s">
        <v>11</v>
      </c>
      <c r="U42" s="1508">
        <f t="shared" si="13"/>
        <v>100</v>
      </c>
      <c r="V42" s="1507" t="s">
        <v>11</v>
      </c>
      <c r="W42" s="1508">
        <f t="shared" si="14"/>
        <v>106</v>
      </c>
      <c r="X42" s="1501"/>
      <c r="Y42" s="3499"/>
      <c r="Z42" s="1509" t="str">
        <f t="shared" si="15"/>
        <v>内部装修</v>
      </c>
      <c r="AA42" s="1510">
        <f t="shared" si="3"/>
        <v>1</v>
      </c>
      <c r="AB42" s="1510">
        <f t="shared" si="4"/>
        <v>1</v>
      </c>
      <c r="AC42" s="1510">
        <f t="shared" si="5"/>
        <v>0.94339622641509435</v>
      </c>
    </row>
    <row r="43" spans="1:29" ht="27">
      <c r="A43" s="588"/>
      <c r="B43" s="521" t="s">
        <v>729</v>
      </c>
      <c r="C43" s="593" t="s">
        <v>3024</v>
      </c>
      <c r="D43" s="534">
        <v>100</v>
      </c>
      <c r="E43" s="593" t="s">
        <v>3024</v>
      </c>
      <c r="F43" s="569">
        <f>SUMIF(124:124,E43,125:125)-SUMIF(124:124,C43,125:125)+100</f>
        <v>100</v>
      </c>
      <c r="G43" s="593" t="s">
        <v>3024</v>
      </c>
      <c r="H43" s="534">
        <f>SUMIF(124:124,G43,125:125)-SUMIF(124:124,C43,125:125)+100</f>
        <v>100</v>
      </c>
      <c r="I43" s="593" t="s">
        <v>3024</v>
      </c>
      <c r="J43" s="534">
        <f>SUMIF(124:124,I43,125:125)-SUMIF(124:124,C43,125:125)+100</f>
        <v>100</v>
      </c>
      <c r="K43" s="853">
        <v>2</v>
      </c>
      <c r="L43" s="2024"/>
      <c r="M43" s="2016"/>
      <c r="N43" s="2016"/>
      <c r="O43" s="2023"/>
      <c r="P43" s="3499"/>
      <c r="Q43" s="1506" t="str">
        <f t="shared" si="11"/>
        <v>内部装修维护情况</v>
      </c>
      <c r="R43" s="1507" t="s">
        <v>11</v>
      </c>
      <c r="S43" s="1508">
        <f t="shared" si="12"/>
        <v>100</v>
      </c>
      <c r="T43" s="1507" t="s">
        <v>11</v>
      </c>
      <c r="U43" s="1508">
        <f t="shared" si="13"/>
        <v>100</v>
      </c>
      <c r="V43" s="1507" t="s">
        <v>11</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9"/>
      <c r="Q44" s="1133">
        <f t="shared" si="11"/>
        <v>111</v>
      </c>
      <c r="R44" s="1502" t="s">
        <v>11</v>
      </c>
      <c r="S44" s="1503">
        <f t="shared" si="12"/>
        <v>100</v>
      </c>
      <c r="T44" s="1502" t="s">
        <v>11</v>
      </c>
      <c r="U44" s="1503">
        <f t="shared" si="13"/>
        <v>100</v>
      </c>
      <c r="V44" s="1502" t="s">
        <v>11</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9"/>
      <c r="Q45" s="1506">
        <f t="shared" si="11"/>
        <v>111</v>
      </c>
      <c r="R45" s="1507" t="s">
        <v>11</v>
      </c>
      <c r="S45" s="1508">
        <f t="shared" si="12"/>
        <v>100</v>
      </c>
      <c r="T45" s="1507" t="s">
        <v>11</v>
      </c>
      <c r="U45" s="1508">
        <f t="shared" si="13"/>
        <v>100</v>
      </c>
      <c r="V45" s="1507" t="s">
        <v>11</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2"/>
      <c r="Q46" s="1506">
        <f t="shared" si="11"/>
        <v>111</v>
      </c>
      <c r="R46" s="1507" t="s">
        <v>10</v>
      </c>
      <c r="S46" s="1508">
        <f t="shared" si="12"/>
        <v>100</v>
      </c>
      <c r="T46" s="1507" t="s">
        <v>10</v>
      </c>
      <c r="U46" s="1508">
        <f t="shared" si="13"/>
        <v>100</v>
      </c>
      <c r="V46" s="1507" t="s">
        <v>10</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94" t="str">
        <f>A47</f>
        <v>成交单价（元/平方米）</v>
      </c>
      <c r="Q47" s="3494"/>
      <c r="R47" s="3601">
        <f>E47</f>
        <v>9920</v>
      </c>
      <c r="S47" s="3601"/>
      <c r="T47" s="3601">
        <f>G47</f>
        <v>10169</v>
      </c>
      <c r="U47" s="3601"/>
      <c r="V47" s="3601">
        <f>I47</f>
        <v>11400</v>
      </c>
      <c r="W47" s="3601"/>
      <c r="X47" s="1496"/>
      <c r="Y47" s="1515"/>
      <c r="Z47" s="1496"/>
      <c r="AA47" s="1496"/>
      <c r="AB47" s="1496"/>
      <c r="AC47" s="1496"/>
    </row>
    <row r="48" spans="1:29" ht="15.75" thickBot="1">
      <c r="A48" s="609" t="s">
        <v>2741</v>
      </c>
      <c r="B48" s="876"/>
      <c r="C48" s="2476">
        <f>R49</f>
        <v>9684</v>
      </c>
      <c r="D48" s="3014" t="s">
        <v>2967</v>
      </c>
      <c r="E48" s="2477">
        <f>R48</f>
        <v>9074</v>
      </c>
      <c r="F48" s="3015"/>
      <c r="G48" s="2476">
        <f>T48</f>
        <v>9164</v>
      </c>
      <c r="H48" s="3015"/>
      <c r="I48" s="2477">
        <f>V48</f>
        <v>10814</v>
      </c>
      <c r="J48" s="3015"/>
      <c r="K48" s="3023">
        <f>F48+H48+J48</f>
        <v>0</v>
      </c>
      <c r="L48" s="2026"/>
      <c r="M48" s="2027"/>
      <c r="N48" s="2027"/>
      <c r="O48" s="2027"/>
      <c r="P48" s="3494" t="str">
        <f>A48</f>
        <v>比较价格（元/平方米）</v>
      </c>
      <c r="Q48" s="3494"/>
      <c r="R48" s="3601">
        <f>IF(F1="售价",ROUND(PRODUCT(R47,AA7:AA46),0),ROUND(PRODUCT(R47,AA7:AA46),1))</f>
        <v>9074</v>
      </c>
      <c r="S48" s="3601"/>
      <c r="T48" s="3601">
        <f>IF(F1="售价",ROUND(PRODUCT(T47,AB7:AB46),0),ROUND(PRODUCT(T47,AB7:AB46),1))</f>
        <v>9164</v>
      </c>
      <c r="U48" s="3601"/>
      <c r="V48" s="3601">
        <f>IF(F1="售价",ROUND(PRODUCT(V47,AC7:AC46),0),ROUND(PRODUCT(V47,AC7:AC46),1))</f>
        <v>10814</v>
      </c>
      <c r="W48" s="3601"/>
      <c r="X48" s="1496"/>
      <c r="Y48" s="1496"/>
      <c r="Z48" s="1496"/>
      <c r="AA48" s="1496"/>
      <c r="AB48" s="1496"/>
      <c r="AC48" s="1496"/>
    </row>
    <row r="49" spans="1:29" ht="15.75" thickBot="1">
      <c r="A49" s="613" t="s">
        <v>2899</v>
      </c>
      <c r="B49" s="614"/>
      <c r="C49" s="2478">
        <f>R49</f>
        <v>9684</v>
      </c>
      <c r="D49" s="2478"/>
      <c r="E49" s="2478"/>
      <c r="F49" s="2478"/>
      <c r="G49" s="2478"/>
      <c r="H49" s="2478"/>
      <c r="I49" s="2478"/>
      <c r="J49" s="2478"/>
      <c r="K49" s="1537"/>
      <c r="L49" s="2026"/>
      <c r="M49" s="2027"/>
      <c r="N49" s="2027"/>
      <c r="O49" s="2027"/>
      <c r="P49" s="3515" t="str">
        <f>A49</f>
        <v>估价对象XX用房的比较价格（楼面单价，元/平方米）</v>
      </c>
      <c r="Q49" s="3516"/>
      <c r="R49" s="3600">
        <f>IF(F1="售价",ROUND(IF(D48="简单平均",AVERAGE(R48:V48),R48*F48+T48*H48+V48*J48),0),ROUND(IF(D48="简单平均",AVERAGE(R48:V48),R48*F48+T48*H48+V48*J48),1))</f>
        <v>9684</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3027</v>
      </c>
      <c r="D90" s="3287" t="s">
        <v>3028</v>
      </c>
      <c r="E90" s="3287" t="s">
        <v>3029</v>
      </c>
      <c r="F90" s="3287" t="s">
        <v>3030</v>
      </c>
      <c r="G90" s="3287" t="s">
        <v>3031</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3032</v>
      </c>
      <c r="D100" s="3289" t="s">
        <v>3033</v>
      </c>
      <c r="E100" s="3289" t="s">
        <v>3034</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3035</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3036</v>
      </c>
      <c r="D109" s="3287" t="s">
        <v>3037</v>
      </c>
      <c r="E109" s="3287" t="s">
        <v>3038</v>
      </c>
      <c r="F109" s="3292" t="s">
        <v>3039</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3040</v>
      </c>
      <c r="D114" s="3287" t="s">
        <v>3041</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3042</v>
      </c>
      <c r="D116" s="3287" t="s">
        <v>3043</v>
      </c>
      <c r="E116" s="3287" t="s">
        <v>3044</v>
      </c>
      <c r="F116" s="3287" t="s">
        <v>3045</v>
      </c>
      <c r="G116" s="3287" t="s">
        <v>3046</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3036</v>
      </c>
      <c r="D122" s="3287" t="s">
        <v>3037</v>
      </c>
      <c r="E122" s="3287" t="s">
        <v>3038</v>
      </c>
      <c r="F122" s="3292" t="s">
        <v>3039</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508"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508"/>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508"/>
      <c r="AC6" s="3485"/>
    </row>
    <row r="7" spans="1:29" s="1202" customFormat="1" ht="15.75" thickBot="1">
      <c r="A7" s="2629"/>
      <c r="B7" s="2636" t="s">
        <v>523</v>
      </c>
      <c r="C7" s="513">
        <f>'数据-取费表'!B2</f>
        <v>44234</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估价对象周边商业氛围成熟度较差，人流量较少，住宅底商为主，商业繁华度较差</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6" t="s">
        <v>534</v>
      </c>
      <c r="Q15" s="1506" t="str">
        <f t="shared" si="6"/>
        <v>商业繁华度</v>
      </c>
      <c r="R15" s="1507" t="s">
        <v>8</v>
      </c>
      <c r="S15" s="1508">
        <f t="shared" si="0"/>
        <v>100</v>
      </c>
      <c r="T15" s="1507" t="s">
        <v>8</v>
      </c>
      <c r="U15" s="1508">
        <f t="shared" si="1"/>
        <v>100</v>
      </c>
      <c r="V15" s="1507" t="s">
        <v>8</v>
      </c>
      <c r="W15" s="1508">
        <f t="shared" si="2"/>
        <v>100</v>
      </c>
      <c r="X15" s="1501"/>
      <c r="Y15" s="349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7"/>
      <c r="Q23" s="1506" t="str">
        <f>B23</f>
        <v>自然及人文环境</v>
      </c>
      <c r="R23" s="1507" t="s">
        <v>8</v>
      </c>
      <c r="S23" s="1508">
        <f>F23</f>
        <v>100</v>
      </c>
      <c r="T23" s="1507" t="s">
        <v>8</v>
      </c>
      <c r="U23" s="1508">
        <f>H23</f>
        <v>100</v>
      </c>
      <c r="V23" s="1507" t="s">
        <v>8</v>
      </c>
      <c r="W23" s="1508">
        <f>J23</f>
        <v>100</v>
      </c>
      <c r="X23" s="1501"/>
      <c r="Y23" s="349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7"/>
      <c r="Q25" s="1506" t="str">
        <f t="shared" ref="Q25:Q46" si="11">B25</f>
        <v>临街状况</v>
      </c>
      <c r="R25" s="1507" t="s">
        <v>8</v>
      </c>
      <c r="S25" s="1508">
        <f>F25</f>
        <v>100</v>
      </c>
      <c r="T25" s="1507" t="s">
        <v>8</v>
      </c>
      <c r="U25" s="1508">
        <f>H25</f>
        <v>100</v>
      </c>
      <c r="V25" s="1507" t="s">
        <v>8</v>
      </c>
      <c r="W25" s="1508">
        <f>J25</f>
        <v>100</v>
      </c>
      <c r="X25" s="1501"/>
      <c r="Y25" s="349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7"/>
      <c r="Q26" s="1506" t="str">
        <f t="shared" si="11"/>
        <v>平面位置/可视性</v>
      </c>
      <c r="R26" s="1507" t="s">
        <v>8</v>
      </c>
      <c r="S26" s="1508">
        <f>F26</f>
        <v>100</v>
      </c>
      <c r="T26" s="1507" t="s">
        <v>8</v>
      </c>
      <c r="U26" s="1508">
        <f>H26</f>
        <v>100</v>
      </c>
      <c r="V26" s="1507" t="s">
        <v>8</v>
      </c>
      <c r="W26" s="1508">
        <f>J26</f>
        <v>100</v>
      </c>
      <c r="X26" s="1501"/>
      <c r="Y26" s="349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7"/>
      <c r="Q27" s="1133" t="str">
        <f t="shared" si="11"/>
        <v>人流量</v>
      </c>
      <c r="R27" s="1502" t="s">
        <v>8</v>
      </c>
      <c r="S27" s="1503">
        <f>F27</f>
        <v>100</v>
      </c>
      <c r="T27" s="1502" t="s">
        <v>8</v>
      </c>
      <c r="U27" s="1503">
        <f>H27</f>
        <v>100</v>
      </c>
      <c r="V27" s="1502" t="s">
        <v>8</v>
      </c>
      <c r="W27" s="1503">
        <f>J27</f>
        <v>100</v>
      </c>
      <c r="X27" s="1504"/>
      <c r="Y27" s="349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7"/>
      <c r="Q29" s="1506">
        <f t="shared" si="11"/>
        <v>111</v>
      </c>
      <c r="R29" s="1507" t="s">
        <v>8</v>
      </c>
      <c r="S29" s="1508">
        <f t="shared" si="12"/>
        <v>100</v>
      </c>
      <c r="T29" s="1507" t="s">
        <v>8</v>
      </c>
      <c r="U29" s="1508">
        <f t="shared" si="13"/>
        <v>100</v>
      </c>
      <c r="V29" s="1507" t="s">
        <v>8</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8" t="s">
        <v>544</v>
      </c>
      <c r="Q32" s="1506" t="str">
        <f t="shared" si="11"/>
        <v>商业类型</v>
      </c>
      <c r="R32" s="1507" t="s">
        <v>8</v>
      </c>
      <c r="S32" s="1508">
        <f t="shared" si="12"/>
        <v>100</v>
      </c>
      <c r="T32" s="1507" t="s">
        <v>8</v>
      </c>
      <c r="U32" s="1508">
        <f t="shared" si="13"/>
        <v>100</v>
      </c>
      <c r="V32" s="1507" t="s">
        <v>8</v>
      </c>
      <c r="W32" s="1508">
        <f t="shared" si="14"/>
        <v>100</v>
      </c>
      <c r="X32" s="1501"/>
      <c r="Y32" s="349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9"/>
      <c r="Q33" s="1535" t="str">
        <f t="shared" si="11"/>
        <v>项目建筑规模</v>
      </c>
      <c r="R33" s="1511" t="s">
        <v>8</v>
      </c>
      <c r="S33" s="1512" t="e">
        <f t="shared" si="12"/>
        <v>#N/A</v>
      </c>
      <c r="T33" s="1511" t="s">
        <v>8</v>
      </c>
      <c r="U33" s="1512" t="e">
        <f t="shared" si="13"/>
        <v>#N/A</v>
      </c>
      <c r="V33" s="1511" t="s">
        <v>8</v>
      </c>
      <c r="W33" s="1512" t="e">
        <f t="shared" si="14"/>
        <v>#N/A</v>
      </c>
      <c r="X33" s="1513"/>
      <c r="Y33" s="349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9"/>
      <c r="Q34" s="1506" t="str">
        <f t="shared" si="11"/>
        <v>建筑结构</v>
      </c>
      <c r="R34" s="1507" t="s">
        <v>8</v>
      </c>
      <c r="S34" s="1508">
        <f t="shared" si="12"/>
        <v>100</v>
      </c>
      <c r="T34" s="1507" t="s">
        <v>8</v>
      </c>
      <c r="U34" s="1508">
        <f t="shared" si="13"/>
        <v>100</v>
      </c>
      <c r="V34" s="1507" t="s">
        <v>8</v>
      </c>
      <c r="W34" s="1508">
        <f t="shared" si="14"/>
        <v>100</v>
      </c>
      <c r="X34" s="1501"/>
      <c r="Y34" s="349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9"/>
      <c r="Q35" s="1506" t="str">
        <f t="shared" si="11"/>
        <v>公共部分装修</v>
      </c>
      <c r="R35" s="1507" t="s">
        <v>8</v>
      </c>
      <c r="S35" s="1508">
        <f t="shared" si="12"/>
        <v>100</v>
      </c>
      <c r="T35" s="1507" t="s">
        <v>8</v>
      </c>
      <c r="U35" s="1508">
        <f t="shared" si="13"/>
        <v>100</v>
      </c>
      <c r="V35" s="1507" t="s">
        <v>8</v>
      </c>
      <c r="W35" s="1508">
        <f t="shared" si="14"/>
        <v>100</v>
      </c>
      <c r="X35" s="1501"/>
      <c r="Y35" s="349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9"/>
      <c r="Q36" s="1506" t="str">
        <f t="shared" si="11"/>
        <v>成新度</v>
      </c>
      <c r="R36" s="1507" t="s">
        <v>8</v>
      </c>
      <c r="S36" s="1508" t="e">
        <f t="shared" si="12"/>
        <v>#N/A</v>
      </c>
      <c r="T36" s="1507" t="s">
        <v>8</v>
      </c>
      <c r="U36" s="1508" t="e">
        <f t="shared" si="13"/>
        <v>#N/A</v>
      </c>
      <c r="V36" s="1507" t="s">
        <v>8</v>
      </c>
      <c r="W36" s="1508" t="e">
        <f t="shared" si="14"/>
        <v>#N/A</v>
      </c>
      <c r="X36" s="1501"/>
      <c r="Y36" s="3499"/>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9"/>
      <c r="Q37" s="1133" t="str">
        <f t="shared" si="11"/>
        <v>市政基础设施</v>
      </c>
      <c r="R37" s="1502" t="s">
        <v>8</v>
      </c>
      <c r="S37" s="1503">
        <f t="shared" si="12"/>
        <v>100</v>
      </c>
      <c r="T37" s="1502" t="s">
        <v>8</v>
      </c>
      <c r="U37" s="1503">
        <f t="shared" si="13"/>
        <v>100</v>
      </c>
      <c r="V37" s="1502" t="s">
        <v>8</v>
      </c>
      <c r="W37" s="1503">
        <f t="shared" si="14"/>
        <v>100</v>
      </c>
      <c r="X37" s="1504"/>
      <c r="Y37" s="349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9" t="s">
        <v>760</v>
      </c>
      <c r="Q38" s="1506" t="str">
        <f t="shared" si="11"/>
        <v>业态</v>
      </c>
      <c r="R38" s="1507" t="s">
        <v>8</v>
      </c>
      <c r="S38" s="1508">
        <f t="shared" si="12"/>
        <v>100</v>
      </c>
      <c r="T38" s="1507" t="s">
        <v>8</v>
      </c>
      <c r="U38" s="1508">
        <f t="shared" si="13"/>
        <v>100</v>
      </c>
      <c r="V38" s="1507" t="s">
        <v>8</v>
      </c>
      <c r="W38" s="1508">
        <f t="shared" si="14"/>
        <v>100</v>
      </c>
      <c r="X38" s="1501"/>
      <c r="Y38" s="349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c r="Q39" s="1506" t="str">
        <f t="shared" si="11"/>
        <v>层高</v>
      </c>
      <c r="R39" s="1507" t="s">
        <v>8</v>
      </c>
      <c r="S39" s="1508">
        <f t="shared" si="12"/>
        <v>100</v>
      </c>
      <c r="T39" s="1507" t="s">
        <v>8</v>
      </c>
      <c r="U39" s="1508">
        <f t="shared" si="13"/>
        <v>100</v>
      </c>
      <c r="V39" s="1507" t="s">
        <v>8</v>
      </c>
      <c r="W39" s="1508">
        <f t="shared" si="14"/>
        <v>100</v>
      </c>
      <c r="X39" s="1501"/>
      <c r="Y39" s="349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9"/>
      <c r="Q40" s="1506" t="str">
        <f t="shared" si="11"/>
        <v>单套建筑面积</v>
      </c>
      <c r="R40" s="1507" t="s">
        <v>8</v>
      </c>
      <c r="S40" s="1508">
        <f t="shared" si="12"/>
        <v>100</v>
      </c>
      <c r="T40" s="1507" t="s">
        <v>8</v>
      </c>
      <c r="U40" s="1508">
        <f t="shared" si="13"/>
        <v>100</v>
      </c>
      <c r="V40" s="1507" t="s">
        <v>8</v>
      </c>
      <c r="W40" s="1508">
        <f t="shared" si="14"/>
        <v>100</v>
      </c>
      <c r="X40" s="1501"/>
      <c r="Y40" s="349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9"/>
      <c r="Q41" s="1535" t="str">
        <f t="shared" si="11"/>
        <v>进深比</v>
      </c>
      <c r="R41" s="1511" t="s">
        <v>8</v>
      </c>
      <c r="S41" s="1512">
        <f t="shared" si="12"/>
        <v>100</v>
      </c>
      <c r="T41" s="1511" t="s">
        <v>8</v>
      </c>
      <c r="U41" s="1512">
        <f t="shared" si="13"/>
        <v>100</v>
      </c>
      <c r="V41" s="1511" t="s">
        <v>8</v>
      </c>
      <c r="W41" s="1512">
        <f t="shared" si="14"/>
        <v>100</v>
      </c>
      <c r="X41" s="1513"/>
      <c r="Y41" s="349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9"/>
      <c r="Q42" s="1506" t="str">
        <f t="shared" si="11"/>
        <v>内部装修</v>
      </c>
      <c r="R42" s="1507" t="s">
        <v>8</v>
      </c>
      <c r="S42" s="1508">
        <f t="shared" si="12"/>
        <v>100</v>
      </c>
      <c r="T42" s="1507" t="s">
        <v>8</v>
      </c>
      <c r="U42" s="1508">
        <f t="shared" si="13"/>
        <v>100</v>
      </c>
      <c r="V42" s="1507" t="s">
        <v>8</v>
      </c>
      <c r="W42" s="1508">
        <f t="shared" si="14"/>
        <v>100</v>
      </c>
      <c r="X42" s="1501"/>
      <c r="Y42" s="349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9"/>
      <c r="Q43" s="1506" t="str">
        <f t="shared" si="11"/>
        <v>内部装修维护情况</v>
      </c>
      <c r="R43" s="1507" t="s">
        <v>8</v>
      </c>
      <c r="S43" s="1508">
        <f t="shared" si="12"/>
        <v>100</v>
      </c>
      <c r="T43" s="1507" t="s">
        <v>8</v>
      </c>
      <c r="U43" s="1508">
        <f t="shared" si="13"/>
        <v>100</v>
      </c>
      <c r="V43" s="1507" t="s">
        <v>8</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9"/>
      <c r="Q44" s="1133">
        <f t="shared" si="11"/>
        <v>111</v>
      </c>
      <c r="R44" s="1502" t="s">
        <v>8</v>
      </c>
      <c r="S44" s="1503">
        <f t="shared" si="12"/>
        <v>100</v>
      </c>
      <c r="T44" s="1502" t="s">
        <v>8</v>
      </c>
      <c r="U44" s="1503">
        <f t="shared" si="13"/>
        <v>100</v>
      </c>
      <c r="V44" s="1502" t="s">
        <v>8</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9"/>
      <c r="Q45" s="1506">
        <f t="shared" si="11"/>
        <v>111</v>
      </c>
      <c r="R45" s="1507" t="s">
        <v>8</v>
      </c>
      <c r="S45" s="1508">
        <f t="shared" si="12"/>
        <v>100</v>
      </c>
      <c r="T45" s="1507" t="s">
        <v>8</v>
      </c>
      <c r="U45" s="1508">
        <f t="shared" si="13"/>
        <v>100</v>
      </c>
      <c r="V45" s="1507" t="s">
        <v>8</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2"/>
      <c r="Q46" s="1506">
        <f t="shared" si="11"/>
        <v>111</v>
      </c>
      <c r="R46" s="1507" t="s">
        <v>8</v>
      </c>
      <c r="S46" s="1508">
        <f t="shared" si="12"/>
        <v>100</v>
      </c>
      <c r="T46" s="1507" t="s">
        <v>8</v>
      </c>
      <c r="U46" s="1508">
        <f t="shared" si="13"/>
        <v>100</v>
      </c>
      <c r="V46" s="1507" t="s">
        <v>8</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4" t="str">
        <f>A47</f>
        <v>成交单价（元/平方米）</v>
      </c>
      <c r="Q47" s="3494"/>
      <c r="R47" s="3601">
        <f>E47</f>
        <v>0</v>
      </c>
      <c r="S47" s="3601"/>
      <c r="T47" s="3601">
        <f>G47</f>
        <v>0</v>
      </c>
      <c r="U47" s="3601"/>
      <c r="V47" s="3601">
        <f>I47</f>
        <v>0</v>
      </c>
      <c r="W47" s="3601"/>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94" t="str">
        <f>A48</f>
        <v>比较价格（元/平方米）</v>
      </c>
      <c r="Q48" s="3494"/>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15" t="str">
        <f>A49</f>
        <v>估价对象XX用房的比较价格（楼面单价，元/平方米）</v>
      </c>
      <c r="Q49" s="3516"/>
      <c r="R49" s="3600" t="e">
        <f>IF(F1="售价",ROUND(IF(D48="简单平均",AVERAGE(R48:V48),R48*F48+T48*H48+V48*J48),0),ROUND(IF(D48="简单平均",AVERAGE(R48:V48),R48*F48+T48*H48+V48*J48),1))</f>
        <v>#DIV/0!</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00" t="s">
        <v>516</v>
      </c>
      <c r="D4" s="3501"/>
      <c r="E4" s="3525" t="s">
        <v>517</v>
      </c>
      <c r="F4" s="3526"/>
      <c r="G4" s="3500" t="s">
        <v>518</v>
      </c>
      <c r="H4" s="3501"/>
      <c r="I4" s="3500" t="s">
        <v>519</v>
      </c>
      <c r="J4" s="3501"/>
      <c r="K4" s="508" t="s">
        <v>520</v>
      </c>
      <c r="L4" s="2015"/>
      <c r="M4" s="2016"/>
      <c r="N4" s="2016"/>
      <c r="O4" s="2016"/>
      <c r="P4" s="3603"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6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605"/>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5"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5" t="s">
        <v>527</v>
      </c>
      <c r="Q8" s="3487"/>
      <c r="R8" s="1502" t="s">
        <v>8</v>
      </c>
      <c r="S8" s="1503">
        <f t="shared" si="0"/>
        <v>0</v>
      </c>
      <c r="T8" s="1502" t="s">
        <v>8</v>
      </c>
      <c r="U8" s="1503">
        <f t="shared" si="1"/>
        <v>0</v>
      </c>
      <c r="V8" s="1502" t="s">
        <v>8</v>
      </c>
      <c r="W8" s="1503">
        <f t="shared" si="2"/>
        <v>0</v>
      </c>
      <c r="X8" s="1504"/>
      <c r="Y8" s="3486" t="s">
        <v>527</v>
      </c>
      <c r="Z8" s="3487"/>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6" t="s">
        <v>534</v>
      </c>
      <c r="Q15" s="1506" t="str">
        <f t="shared" si="6"/>
        <v>办公集聚程度</v>
      </c>
      <c r="R15" s="1507" t="s">
        <v>8</v>
      </c>
      <c r="S15" s="1508">
        <f t="shared" si="0"/>
        <v>100</v>
      </c>
      <c r="T15" s="1507" t="s">
        <v>8</v>
      </c>
      <c r="U15" s="1508">
        <f t="shared" si="1"/>
        <v>100</v>
      </c>
      <c r="V15" s="1507" t="s">
        <v>8</v>
      </c>
      <c r="W15" s="1508">
        <f t="shared" si="2"/>
        <v>100</v>
      </c>
      <c r="X15" s="1501"/>
      <c r="Y15" s="349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7"/>
      <c r="Q16" s="1506"/>
      <c r="R16" s="1507"/>
      <c r="S16" s="1508"/>
      <c r="T16" s="1507"/>
      <c r="U16" s="1508"/>
      <c r="V16" s="1507"/>
      <c r="W16" s="1508"/>
      <c r="X16" s="1501"/>
      <c r="Y16" s="3497"/>
      <c r="Z16" s="1509"/>
      <c r="AA16" s="1510">
        <v>1</v>
      </c>
      <c r="AB16" s="1510">
        <v>1</v>
      </c>
      <c r="AC16" s="1510">
        <v>1</v>
      </c>
    </row>
    <row r="17" spans="1:29" ht="99.75">
      <c r="A17" s="526"/>
      <c r="B17" s="554" t="s">
        <v>296</v>
      </c>
      <c r="C17" s="567" t="str">
        <f>估价对象房地状况!C6</f>
        <v>估价对象周边道路状况一般、公共交通通达情况较差，有331路经过、停车便捷程度，综合评价交通便捷度一般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7"/>
      <c r="Q18" s="1506"/>
      <c r="R18" s="1507"/>
      <c r="S18" s="1508"/>
      <c r="T18" s="1507"/>
      <c r="U18" s="1508"/>
      <c r="V18" s="1507"/>
      <c r="W18" s="1508"/>
      <c r="X18" s="1501"/>
      <c r="Y18" s="3497"/>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7"/>
      <c r="Q20" s="1506"/>
      <c r="R20" s="1507"/>
      <c r="S20" s="1508"/>
      <c r="T20" s="1507"/>
      <c r="U20" s="1508"/>
      <c r="V20" s="1507"/>
      <c r="W20" s="1508"/>
      <c r="X20" s="1501"/>
      <c r="Y20" s="3497"/>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7"/>
      <c r="Q22" s="2429"/>
      <c r="R22" s="1507"/>
      <c r="S22" s="1508"/>
      <c r="T22" s="1507"/>
      <c r="U22" s="1508"/>
      <c r="V22" s="1507"/>
      <c r="W22" s="1508"/>
      <c r="X22" s="2431"/>
      <c r="Y22" s="3497"/>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7"/>
      <c r="Q24" s="1506"/>
      <c r="R24" s="1507"/>
      <c r="S24" s="1508"/>
      <c r="T24" s="1507"/>
      <c r="U24" s="1508"/>
      <c r="V24" s="1507"/>
      <c r="W24" s="1508"/>
      <c r="X24" s="1501"/>
      <c r="Y24" s="349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7"/>
      <c r="Q25" s="1506" t="str">
        <f>B25</f>
        <v>毗邻道路的类型与等级</v>
      </c>
      <c r="R25" s="1507" t="s">
        <v>8</v>
      </c>
      <c r="S25" s="1508">
        <f>F25</f>
        <v>100</v>
      </c>
      <c r="T25" s="1507" t="s">
        <v>8</v>
      </c>
      <c r="U25" s="1508">
        <f>H25</f>
        <v>100</v>
      </c>
      <c r="V25" s="1507" t="s">
        <v>8</v>
      </c>
      <c r="W25" s="1508">
        <f>J25</f>
        <v>100</v>
      </c>
      <c r="X25" s="1501"/>
      <c r="Y25" s="349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7"/>
      <c r="Q26" s="1506"/>
      <c r="R26" s="1507"/>
      <c r="S26" s="1508"/>
      <c r="T26" s="1507"/>
      <c r="U26" s="1508"/>
      <c r="V26" s="1507"/>
      <c r="W26" s="1508"/>
      <c r="X26" s="1501"/>
      <c r="Y26" s="349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7"/>
      <c r="Q27" s="1506" t="str">
        <f t="shared" ref="Q27:Q47" si="11">B27</f>
        <v>楼层</v>
      </c>
      <c r="R27" s="1507" t="s">
        <v>8</v>
      </c>
      <c r="S27" s="1508">
        <f>F27</f>
        <v>100</v>
      </c>
      <c r="T27" s="1507" t="s">
        <v>8</v>
      </c>
      <c r="U27" s="1508">
        <f>H27</f>
        <v>100</v>
      </c>
      <c r="V27" s="1507" t="s">
        <v>8</v>
      </c>
      <c r="W27" s="1508">
        <f>J27</f>
        <v>100</v>
      </c>
      <c r="X27" s="1501"/>
      <c r="Y27" s="349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7"/>
      <c r="Q28" s="1133" t="str">
        <f t="shared" si="11"/>
        <v>朝向</v>
      </c>
      <c r="R28" s="1502" t="s">
        <v>8</v>
      </c>
      <c r="S28" s="1503">
        <f>F28</f>
        <v>100</v>
      </c>
      <c r="T28" s="1502" t="s">
        <v>8</v>
      </c>
      <c r="U28" s="1503">
        <f>H28</f>
        <v>100</v>
      </c>
      <c r="V28" s="1502" t="s">
        <v>8</v>
      </c>
      <c r="W28" s="1503">
        <f>J28</f>
        <v>100</v>
      </c>
      <c r="X28" s="1504"/>
      <c r="Y28" s="349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7"/>
      <c r="Q29" s="1506">
        <f t="shared" si="11"/>
        <v>111</v>
      </c>
      <c r="R29" s="1507" t="s">
        <v>8</v>
      </c>
      <c r="S29" s="1508">
        <f t="shared" ref="S29:S47" si="12">F29</f>
        <v>100</v>
      </c>
      <c r="T29" s="1507" t="s">
        <v>8</v>
      </c>
      <c r="U29" s="1508">
        <f t="shared" ref="U29:U47" si="13">H29</f>
        <v>100</v>
      </c>
      <c r="V29" s="1507" t="s">
        <v>8</v>
      </c>
      <c r="W29" s="1508">
        <f t="shared" ref="W29:W47" si="14">J29</f>
        <v>100</v>
      </c>
      <c r="X29" s="1501"/>
      <c r="Y29" s="349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7"/>
      <c r="Q32" s="1506">
        <f t="shared" si="11"/>
        <v>111</v>
      </c>
      <c r="R32" s="1507" t="s">
        <v>8</v>
      </c>
      <c r="S32" s="1508">
        <f t="shared" si="12"/>
        <v>100</v>
      </c>
      <c r="T32" s="1507" t="s">
        <v>8</v>
      </c>
      <c r="U32" s="1508">
        <f t="shared" si="13"/>
        <v>100</v>
      </c>
      <c r="V32" s="1507" t="s">
        <v>8</v>
      </c>
      <c r="W32" s="1508">
        <f t="shared" si="14"/>
        <v>100</v>
      </c>
      <c r="X32" s="1501"/>
      <c r="Y32" s="3497"/>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8" t="s">
        <v>544</v>
      </c>
      <c r="Q33" s="1506" t="str">
        <f t="shared" si="11"/>
        <v>建筑类型</v>
      </c>
      <c r="R33" s="1507" t="s">
        <v>8</v>
      </c>
      <c r="S33" s="1508">
        <f t="shared" si="12"/>
        <v>100</v>
      </c>
      <c r="T33" s="1507" t="s">
        <v>8</v>
      </c>
      <c r="U33" s="1508">
        <f t="shared" si="13"/>
        <v>100</v>
      </c>
      <c r="V33" s="1507" t="s">
        <v>8</v>
      </c>
      <c r="W33" s="1508">
        <f t="shared" si="14"/>
        <v>100</v>
      </c>
      <c r="X33" s="1501"/>
      <c r="Y33" s="349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9"/>
      <c r="Q34" s="1535" t="str">
        <f t="shared" si="11"/>
        <v>项目建筑规模</v>
      </c>
      <c r="R34" s="1511" t="s">
        <v>8</v>
      </c>
      <c r="S34" s="1512" t="e">
        <f t="shared" si="12"/>
        <v>#N/A</v>
      </c>
      <c r="T34" s="1511" t="s">
        <v>8</v>
      </c>
      <c r="U34" s="1512" t="e">
        <f t="shared" si="13"/>
        <v>#N/A</v>
      </c>
      <c r="V34" s="1511" t="s">
        <v>8</v>
      </c>
      <c r="W34" s="1512" t="e">
        <f t="shared" si="14"/>
        <v>#N/A</v>
      </c>
      <c r="X34" s="1513"/>
      <c r="Y34" s="349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9"/>
      <c r="Q35" s="1506" t="str">
        <f t="shared" si="11"/>
        <v>建筑结构</v>
      </c>
      <c r="R35" s="1507" t="s">
        <v>8</v>
      </c>
      <c r="S35" s="1508">
        <f t="shared" si="12"/>
        <v>100</v>
      </c>
      <c r="T35" s="1507" t="s">
        <v>8</v>
      </c>
      <c r="U35" s="1508">
        <f t="shared" si="13"/>
        <v>100</v>
      </c>
      <c r="V35" s="1507" t="s">
        <v>8</v>
      </c>
      <c r="W35" s="1508">
        <f t="shared" si="14"/>
        <v>100</v>
      </c>
      <c r="X35" s="1501"/>
      <c r="Y35" s="349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9"/>
      <c r="Q36" s="1506" t="str">
        <f t="shared" si="11"/>
        <v>公共部分装修</v>
      </c>
      <c r="R36" s="1507" t="s">
        <v>8</v>
      </c>
      <c r="S36" s="1508">
        <f t="shared" si="12"/>
        <v>100</v>
      </c>
      <c r="T36" s="1507" t="s">
        <v>8</v>
      </c>
      <c r="U36" s="1508">
        <f t="shared" si="13"/>
        <v>100</v>
      </c>
      <c r="V36" s="1507" t="s">
        <v>8</v>
      </c>
      <c r="W36" s="1508">
        <f t="shared" si="14"/>
        <v>100</v>
      </c>
      <c r="X36" s="1501"/>
      <c r="Y36" s="349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9"/>
      <c r="Q37" s="1506" t="str">
        <f t="shared" si="11"/>
        <v>成新度</v>
      </c>
      <c r="R37" s="1507" t="s">
        <v>8</v>
      </c>
      <c r="S37" s="1508" t="e">
        <f t="shared" si="12"/>
        <v>#N/A</v>
      </c>
      <c r="T37" s="1507" t="s">
        <v>8</v>
      </c>
      <c r="U37" s="1508" t="e">
        <f t="shared" si="13"/>
        <v>#N/A</v>
      </c>
      <c r="V37" s="1507" t="s">
        <v>8</v>
      </c>
      <c r="W37" s="1508" t="e">
        <f t="shared" si="14"/>
        <v>#N/A</v>
      </c>
      <c r="X37" s="1501"/>
      <c r="Y37" s="349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9"/>
      <c r="Q38" s="1133" t="str">
        <f t="shared" si="11"/>
        <v>写字楼等级</v>
      </c>
      <c r="R38" s="1502" t="s">
        <v>8</v>
      </c>
      <c r="S38" s="1503">
        <f t="shared" si="12"/>
        <v>100</v>
      </c>
      <c r="T38" s="1502" t="s">
        <v>8</v>
      </c>
      <c r="U38" s="1503">
        <f t="shared" si="13"/>
        <v>100</v>
      </c>
      <c r="V38" s="1502" t="s">
        <v>8</v>
      </c>
      <c r="W38" s="1503">
        <f t="shared" si="14"/>
        <v>100</v>
      </c>
      <c r="X38" s="1504"/>
      <c r="Y38" s="349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9" t="s">
        <v>544</v>
      </c>
      <c r="Q39" s="1506" t="str">
        <f t="shared" si="11"/>
        <v>物业管理</v>
      </c>
      <c r="R39" s="1507" t="s">
        <v>8</v>
      </c>
      <c r="S39" s="1508">
        <f t="shared" si="12"/>
        <v>100</v>
      </c>
      <c r="T39" s="1507" t="s">
        <v>8</v>
      </c>
      <c r="U39" s="1508">
        <f t="shared" si="13"/>
        <v>100</v>
      </c>
      <c r="V39" s="1507" t="s">
        <v>8</v>
      </c>
      <c r="W39" s="1508">
        <f t="shared" si="14"/>
        <v>100</v>
      </c>
      <c r="X39" s="1501"/>
      <c r="Y39" s="3499"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9"/>
      <c r="Q40" s="1506" t="str">
        <f t="shared" si="11"/>
        <v>市政基础设施</v>
      </c>
      <c r="R40" s="1507" t="s">
        <v>8</v>
      </c>
      <c r="S40" s="1508">
        <f t="shared" si="12"/>
        <v>100</v>
      </c>
      <c r="T40" s="1507" t="s">
        <v>8</v>
      </c>
      <c r="U40" s="1508">
        <f t="shared" si="13"/>
        <v>100</v>
      </c>
      <c r="V40" s="1507" t="s">
        <v>8</v>
      </c>
      <c r="W40" s="1508">
        <f t="shared" si="14"/>
        <v>100</v>
      </c>
      <c r="X40" s="1501"/>
      <c r="Y40" s="349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9"/>
      <c r="Q41" s="1506" t="str">
        <f t="shared" si="11"/>
        <v>层高</v>
      </c>
      <c r="R41" s="1507" t="s">
        <v>8</v>
      </c>
      <c r="S41" s="1508">
        <f t="shared" si="12"/>
        <v>100</v>
      </c>
      <c r="T41" s="1507" t="s">
        <v>8</v>
      </c>
      <c r="U41" s="1508">
        <f t="shared" si="13"/>
        <v>100</v>
      </c>
      <c r="V41" s="1507" t="s">
        <v>8</v>
      </c>
      <c r="W41" s="1508">
        <f t="shared" si="14"/>
        <v>100</v>
      </c>
      <c r="X41" s="1501"/>
      <c r="Y41" s="349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9"/>
      <c r="Q42" s="1535" t="str">
        <f t="shared" si="11"/>
        <v>单套建筑面积</v>
      </c>
      <c r="R42" s="1511" t="s">
        <v>8</v>
      </c>
      <c r="S42" s="1512">
        <f t="shared" si="12"/>
        <v>100</v>
      </c>
      <c r="T42" s="1511" t="s">
        <v>8</v>
      </c>
      <c r="U42" s="1512">
        <f t="shared" si="13"/>
        <v>100</v>
      </c>
      <c r="V42" s="1511" t="s">
        <v>8</v>
      </c>
      <c r="W42" s="1512">
        <f t="shared" si="14"/>
        <v>100</v>
      </c>
      <c r="X42" s="1513"/>
      <c r="Y42" s="349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9"/>
      <c r="Q43" s="1506" t="str">
        <f t="shared" si="11"/>
        <v>内部装修</v>
      </c>
      <c r="R43" s="1507" t="s">
        <v>8</v>
      </c>
      <c r="S43" s="1508">
        <f t="shared" si="12"/>
        <v>100</v>
      </c>
      <c r="T43" s="1507" t="s">
        <v>8</v>
      </c>
      <c r="U43" s="1508">
        <f t="shared" si="13"/>
        <v>100</v>
      </c>
      <c r="V43" s="1507" t="s">
        <v>8</v>
      </c>
      <c r="W43" s="1508">
        <f t="shared" si="14"/>
        <v>100</v>
      </c>
      <c r="X43" s="1501"/>
      <c r="Y43" s="349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9"/>
      <c r="Q44" s="1506" t="str">
        <f t="shared" si="11"/>
        <v>内部装修维护情况</v>
      </c>
      <c r="R44" s="1507" t="s">
        <v>8</v>
      </c>
      <c r="S44" s="1508">
        <f t="shared" si="12"/>
        <v>100</v>
      </c>
      <c r="T44" s="1507" t="s">
        <v>8</v>
      </c>
      <c r="U44" s="1508">
        <f t="shared" si="13"/>
        <v>100</v>
      </c>
      <c r="V44" s="1507" t="s">
        <v>8</v>
      </c>
      <c r="W44" s="1508">
        <f t="shared" si="14"/>
        <v>100</v>
      </c>
      <c r="X44" s="1501"/>
      <c r="Y44" s="349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9"/>
      <c r="Q45" s="1133">
        <f t="shared" si="11"/>
        <v>111</v>
      </c>
      <c r="R45" s="1502" t="s">
        <v>8</v>
      </c>
      <c r="S45" s="1503">
        <f t="shared" si="12"/>
        <v>100</v>
      </c>
      <c r="T45" s="1502" t="s">
        <v>8</v>
      </c>
      <c r="U45" s="1503">
        <f t="shared" si="13"/>
        <v>100</v>
      </c>
      <c r="V45" s="1502" t="s">
        <v>8</v>
      </c>
      <c r="W45" s="1503">
        <f t="shared" si="14"/>
        <v>100</v>
      </c>
      <c r="X45" s="1504"/>
      <c r="Y45" s="349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9"/>
      <c r="Q46" s="1506">
        <f t="shared" si="11"/>
        <v>111</v>
      </c>
      <c r="R46" s="1507" t="s">
        <v>8</v>
      </c>
      <c r="S46" s="1508">
        <f t="shared" si="12"/>
        <v>100</v>
      </c>
      <c r="T46" s="1507" t="s">
        <v>8</v>
      </c>
      <c r="U46" s="1508">
        <f t="shared" si="13"/>
        <v>100</v>
      </c>
      <c r="V46" s="1507" t="s">
        <v>8</v>
      </c>
      <c r="W46" s="1508">
        <f t="shared" si="14"/>
        <v>100</v>
      </c>
      <c r="X46" s="1501"/>
      <c r="Y46" s="349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2"/>
      <c r="Q47" s="1506">
        <f t="shared" si="11"/>
        <v>111</v>
      </c>
      <c r="R47" s="1507" t="s">
        <v>8</v>
      </c>
      <c r="S47" s="1508">
        <f t="shared" si="12"/>
        <v>100</v>
      </c>
      <c r="T47" s="1507" t="s">
        <v>8</v>
      </c>
      <c r="U47" s="1508">
        <f t="shared" si="13"/>
        <v>100</v>
      </c>
      <c r="V47" s="1507" t="s">
        <v>8</v>
      </c>
      <c r="W47" s="1508">
        <f t="shared" si="14"/>
        <v>100</v>
      </c>
      <c r="X47" s="1501"/>
      <c r="Y47" s="360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6" t="str">
        <f>A48</f>
        <v>成交单价（元/平方米）</v>
      </c>
      <c r="Q48" s="3494"/>
      <c r="R48" s="3601">
        <f>E48</f>
        <v>0</v>
      </c>
      <c r="S48" s="3601"/>
      <c r="T48" s="3601">
        <f>G48</f>
        <v>0</v>
      </c>
      <c r="U48" s="3601"/>
      <c r="V48" s="3601">
        <f>I48</f>
        <v>0</v>
      </c>
      <c r="W48" s="3601"/>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516" t="str">
        <f>A49</f>
        <v>比较价格（元/平方米）</v>
      </c>
      <c r="Q49" s="3494"/>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6" t="str">
        <f>A50</f>
        <v>估价对象XX用房的比较价格（楼面单价，元/平方米）</v>
      </c>
      <c r="Q50" s="3516"/>
      <c r="R50" s="3600" t="e">
        <f>IF(F1="售价",ROUND(IF(D49="简单平均",AVERAGE(R49:V49),R49*F49+T49*H49+V49*J49),0),ROUND(IF(D49="简单平均",AVERAGE(R49:V49),R49*F49+T49*H49+V49*J49),1))</f>
        <v>#DIV/0!</v>
      </c>
      <c r="S50" s="3600"/>
      <c r="T50" s="3600"/>
      <c r="U50" s="3600"/>
      <c r="V50" s="3600"/>
      <c r="W50" s="3600"/>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4"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6" t="s">
        <v>534</v>
      </c>
      <c r="Q15" s="1506" t="str">
        <f t="shared" si="6"/>
        <v>产业集聚程度</v>
      </c>
      <c r="R15" s="1507" t="s">
        <v>8</v>
      </c>
      <c r="S15" s="1508">
        <f t="shared" si="0"/>
        <v>100</v>
      </c>
      <c r="T15" s="1507" t="s">
        <v>8</v>
      </c>
      <c r="U15" s="1508">
        <f t="shared" si="1"/>
        <v>100</v>
      </c>
      <c r="V15" s="1507" t="s">
        <v>8</v>
      </c>
      <c r="W15" s="1508">
        <f t="shared" si="2"/>
        <v>100</v>
      </c>
      <c r="X15" s="1501"/>
      <c r="Y15" s="349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7"/>
      <c r="Q25" s="1506">
        <f>B25</f>
        <v>111</v>
      </c>
      <c r="R25" s="1507" t="s">
        <v>8</v>
      </c>
      <c r="S25" s="1508">
        <f>F25</f>
        <v>100</v>
      </c>
      <c r="T25" s="1507" t="s">
        <v>8</v>
      </c>
      <c r="U25" s="1508">
        <f>H25</f>
        <v>100</v>
      </c>
      <c r="V25" s="1507" t="s">
        <v>8</v>
      </c>
      <c r="W25" s="1508">
        <f>J25</f>
        <v>100</v>
      </c>
      <c r="X25" s="1501"/>
      <c r="Y25" s="349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7"/>
      <c r="Q26" s="1506">
        <f t="shared" ref="Q26:Q40" si="11">B26</f>
        <v>111</v>
      </c>
      <c r="R26" s="1507" t="s">
        <v>8</v>
      </c>
      <c r="S26" s="1508">
        <f>F26</f>
        <v>100</v>
      </c>
      <c r="T26" s="1507" t="s">
        <v>8</v>
      </c>
      <c r="U26" s="1508">
        <f>H26</f>
        <v>100</v>
      </c>
      <c r="V26" s="1507" t="s">
        <v>8</v>
      </c>
      <c r="W26" s="1508">
        <f>J26</f>
        <v>100</v>
      </c>
      <c r="X26" s="1501"/>
      <c r="Y26" s="349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7"/>
      <c r="Q27" s="1133">
        <f t="shared" si="11"/>
        <v>111</v>
      </c>
      <c r="R27" s="1502" t="s">
        <v>8</v>
      </c>
      <c r="S27" s="1503">
        <f>F27</f>
        <v>100</v>
      </c>
      <c r="T27" s="1502" t="s">
        <v>8</v>
      </c>
      <c r="U27" s="1503">
        <f>H27</f>
        <v>100</v>
      </c>
      <c r="V27" s="1502" t="s">
        <v>8</v>
      </c>
      <c r="W27" s="1503">
        <f>J27</f>
        <v>100</v>
      </c>
      <c r="X27" s="1504"/>
      <c r="Y27" s="349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7"/>
      <c r="Q28" s="1506">
        <f t="shared" si="11"/>
        <v>111</v>
      </c>
      <c r="R28" s="1507" t="s">
        <v>8</v>
      </c>
      <c r="S28" s="1508">
        <f t="shared" ref="S28:S40" si="12">F28</f>
        <v>100</v>
      </c>
      <c r="T28" s="1507" t="s">
        <v>8</v>
      </c>
      <c r="U28" s="1508">
        <f t="shared" ref="U28:U40" si="13">H28</f>
        <v>100</v>
      </c>
      <c r="V28" s="1507" t="s">
        <v>8</v>
      </c>
      <c r="W28" s="1508">
        <f t="shared" ref="W28:W40" si="14">J28</f>
        <v>100</v>
      </c>
      <c r="X28" s="1501"/>
      <c r="Y28" s="3497"/>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8" t="s">
        <v>544</v>
      </c>
      <c r="Q29" s="1506" t="str">
        <f t="shared" si="11"/>
        <v>建筑类型</v>
      </c>
      <c r="R29" s="1507" t="s">
        <v>8</v>
      </c>
      <c r="S29" s="1508">
        <f t="shared" si="12"/>
        <v>100</v>
      </c>
      <c r="T29" s="1507" t="s">
        <v>8</v>
      </c>
      <c r="U29" s="1508">
        <f t="shared" si="13"/>
        <v>100</v>
      </c>
      <c r="V29" s="1507" t="s">
        <v>8</v>
      </c>
      <c r="W29" s="1508">
        <f t="shared" si="14"/>
        <v>100</v>
      </c>
      <c r="X29" s="1501"/>
      <c r="Y29" s="349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9"/>
      <c r="Q30" s="1535" t="str">
        <f t="shared" si="11"/>
        <v>项目建筑规模</v>
      </c>
      <c r="R30" s="1511" t="s">
        <v>8</v>
      </c>
      <c r="S30" s="1512" t="e">
        <f t="shared" si="12"/>
        <v>#N/A</v>
      </c>
      <c r="T30" s="1511" t="s">
        <v>8</v>
      </c>
      <c r="U30" s="1512" t="e">
        <f t="shared" si="13"/>
        <v>#N/A</v>
      </c>
      <c r="V30" s="1511" t="s">
        <v>8</v>
      </c>
      <c r="W30" s="1512" t="e">
        <f t="shared" si="14"/>
        <v>#N/A</v>
      </c>
      <c r="X30" s="1513"/>
      <c r="Y30" s="349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9"/>
      <c r="Q31" s="1506" t="str">
        <f t="shared" si="11"/>
        <v>建筑结构</v>
      </c>
      <c r="R31" s="1507" t="s">
        <v>8</v>
      </c>
      <c r="S31" s="1508">
        <f t="shared" si="12"/>
        <v>100</v>
      </c>
      <c r="T31" s="1507" t="s">
        <v>8</v>
      </c>
      <c r="U31" s="1508">
        <f t="shared" si="13"/>
        <v>100</v>
      </c>
      <c r="V31" s="1507" t="s">
        <v>8</v>
      </c>
      <c r="W31" s="1508">
        <f t="shared" si="14"/>
        <v>100</v>
      </c>
      <c r="X31" s="1501"/>
      <c r="Y31" s="349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9"/>
      <c r="Q32" s="1506" t="str">
        <f t="shared" si="11"/>
        <v>公共部分装修</v>
      </c>
      <c r="R32" s="1507" t="s">
        <v>8</v>
      </c>
      <c r="S32" s="1508">
        <f t="shared" si="12"/>
        <v>100</v>
      </c>
      <c r="T32" s="1507" t="s">
        <v>8</v>
      </c>
      <c r="U32" s="1508">
        <f t="shared" si="13"/>
        <v>100</v>
      </c>
      <c r="V32" s="1507" t="s">
        <v>8</v>
      </c>
      <c r="W32" s="1508">
        <f t="shared" si="14"/>
        <v>100</v>
      </c>
      <c r="X32" s="1501"/>
      <c r="Y32" s="349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9"/>
      <c r="Q33" s="1506" t="str">
        <f t="shared" si="11"/>
        <v>成新度</v>
      </c>
      <c r="R33" s="1507" t="s">
        <v>8</v>
      </c>
      <c r="S33" s="1508" t="e">
        <f t="shared" si="12"/>
        <v>#N/A</v>
      </c>
      <c r="T33" s="1507" t="s">
        <v>8</v>
      </c>
      <c r="U33" s="1508" t="e">
        <f t="shared" si="13"/>
        <v>#N/A</v>
      </c>
      <c r="V33" s="1507" t="s">
        <v>8</v>
      </c>
      <c r="W33" s="1508" t="e">
        <f t="shared" si="14"/>
        <v>#N/A</v>
      </c>
      <c r="X33" s="1501"/>
      <c r="Y33" s="349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9"/>
      <c r="Q34" s="1133" t="str">
        <f t="shared" si="11"/>
        <v>物业管理</v>
      </c>
      <c r="R34" s="1502" t="s">
        <v>8</v>
      </c>
      <c r="S34" s="1503">
        <f t="shared" si="12"/>
        <v>100</v>
      </c>
      <c r="T34" s="1502" t="s">
        <v>8</v>
      </c>
      <c r="U34" s="1503">
        <f t="shared" si="13"/>
        <v>100</v>
      </c>
      <c r="V34" s="1502" t="s">
        <v>8</v>
      </c>
      <c r="W34" s="1503">
        <f t="shared" si="14"/>
        <v>100</v>
      </c>
      <c r="X34" s="1504"/>
      <c r="Y34" s="3499"/>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9" t="s">
        <v>544</v>
      </c>
      <c r="Q35" s="1506" t="str">
        <f t="shared" si="11"/>
        <v>市政基础设施</v>
      </c>
      <c r="R35" s="1507" t="s">
        <v>8</v>
      </c>
      <c r="S35" s="1508">
        <f t="shared" si="12"/>
        <v>100</v>
      </c>
      <c r="T35" s="1507" t="s">
        <v>8</v>
      </c>
      <c r="U35" s="1508">
        <f t="shared" si="13"/>
        <v>100</v>
      </c>
      <c r="V35" s="1507" t="s">
        <v>8</v>
      </c>
      <c r="W35" s="1508">
        <f t="shared" si="14"/>
        <v>100</v>
      </c>
      <c r="X35" s="1501"/>
      <c r="Y35" s="349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9"/>
      <c r="Q36" s="1506" t="str">
        <f t="shared" si="11"/>
        <v>内部装修</v>
      </c>
      <c r="R36" s="1507" t="s">
        <v>8</v>
      </c>
      <c r="S36" s="1508">
        <f t="shared" si="12"/>
        <v>100</v>
      </c>
      <c r="T36" s="1507" t="s">
        <v>8</v>
      </c>
      <c r="U36" s="1508">
        <f t="shared" si="13"/>
        <v>100</v>
      </c>
      <c r="V36" s="1507" t="s">
        <v>8</v>
      </c>
      <c r="W36" s="1508">
        <f t="shared" si="14"/>
        <v>100</v>
      </c>
      <c r="X36" s="1501"/>
      <c r="Y36" s="349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9"/>
      <c r="Q37" s="1506" t="str">
        <f t="shared" si="11"/>
        <v>内部装修状况</v>
      </c>
      <c r="R37" s="1507" t="s">
        <v>8</v>
      </c>
      <c r="S37" s="1508">
        <f t="shared" si="12"/>
        <v>100</v>
      </c>
      <c r="T37" s="1507" t="s">
        <v>8</v>
      </c>
      <c r="U37" s="1508">
        <f t="shared" si="13"/>
        <v>100</v>
      </c>
      <c r="V37" s="1507" t="s">
        <v>8</v>
      </c>
      <c r="W37" s="1508">
        <f t="shared" si="14"/>
        <v>100</v>
      </c>
      <c r="X37" s="1501"/>
      <c r="Y37" s="349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9"/>
      <c r="Q38" s="1535">
        <f t="shared" si="11"/>
        <v>111</v>
      </c>
      <c r="R38" s="1511" t="s">
        <v>8</v>
      </c>
      <c r="S38" s="1512">
        <f t="shared" si="12"/>
        <v>100</v>
      </c>
      <c r="T38" s="1511" t="s">
        <v>8</v>
      </c>
      <c r="U38" s="1512">
        <f t="shared" si="13"/>
        <v>100</v>
      </c>
      <c r="V38" s="1511" t="s">
        <v>8</v>
      </c>
      <c r="W38" s="1512">
        <f t="shared" si="14"/>
        <v>100</v>
      </c>
      <c r="X38" s="1513"/>
      <c r="Y38" s="349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9"/>
      <c r="Q39" s="1506">
        <f t="shared" si="11"/>
        <v>111</v>
      </c>
      <c r="R39" s="1507" t="s">
        <v>8</v>
      </c>
      <c r="S39" s="1508">
        <f t="shared" si="12"/>
        <v>100</v>
      </c>
      <c r="T39" s="1507" t="s">
        <v>8</v>
      </c>
      <c r="U39" s="1508">
        <f t="shared" si="13"/>
        <v>100</v>
      </c>
      <c r="V39" s="1507" t="s">
        <v>8</v>
      </c>
      <c r="W39" s="1508">
        <f t="shared" si="14"/>
        <v>100</v>
      </c>
      <c r="X39" s="1501"/>
      <c r="Y39" s="349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2"/>
      <c r="Q40" s="1506">
        <f t="shared" si="11"/>
        <v>111</v>
      </c>
      <c r="R40" s="1507" t="s">
        <v>8</v>
      </c>
      <c r="S40" s="1508">
        <f t="shared" si="12"/>
        <v>100</v>
      </c>
      <c r="T40" s="1507" t="s">
        <v>8</v>
      </c>
      <c r="U40" s="1508">
        <f t="shared" si="13"/>
        <v>100</v>
      </c>
      <c r="V40" s="1507" t="s">
        <v>8</v>
      </c>
      <c r="W40" s="1508">
        <f t="shared" si="14"/>
        <v>100</v>
      </c>
      <c r="X40" s="1501"/>
      <c r="Y40" s="360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4" t="str">
        <f>A41</f>
        <v>成交单价（元/平方米）</v>
      </c>
      <c r="Q41" s="3494"/>
      <c r="R41" s="3601">
        <f>E41</f>
        <v>0</v>
      </c>
      <c r="S41" s="3601"/>
      <c r="T41" s="3601">
        <f>G41</f>
        <v>0</v>
      </c>
      <c r="U41" s="3601"/>
      <c r="V41" s="3601">
        <f>I41</f>
        <v>0</v>
      </c>
      <c r="W41" s="3601"/>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94" t="str">
        <f>A42</f>
        <v>比较价格（元/平方米）</v>
      </c>
      <c r="Q42" s="3494"/>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15" t="str">
        <f>A43</f>
        <v>估价对象XX用房的比较价格（楼面单价，元/平方米）</v>
      </c>
      <c r="Q43" s="3516"/>
      <c r="R43" s="3600" t="e">
        <f>IF(F1="售价",ROUND(IF(D42="简单平均",AVERAGE(R42:V42),R42*F42+T42*H42+V42*J42),0),ROUND(IF(D42="简单平均",AVERAGE(R42:V42),R42*F42+T42*H42+V42*J42),1))</f>
        <v>#DIV/0!</v>
      </c>
      <c r="S43" s="3600"/>
      <c r="T43" s="3600"/>
      <c r="U43" s="3600"/>
      <c r="V43" s="3600"/>
      <c r="W43" s="3600"/>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00" t="s">
        <v>793</v>
      </c>
      <c r="F4" s="3501"/>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11" t="s">
        <v>2894</v>
      </c>
      <c r="F5" s="3512"/>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13" t="s">
        <v>2897</v>
      </c>
      <c r="F6" s="3514"/>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99.75">
      <c r="A14" s="2627" t="s">
        <v>2735</v>
      </c>
      <c r="B14" s="541"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7"/>
      <c r="Q24" s="1506">
        <f t="shared" ref="Q24:Q36"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9"/>
      <c r="Q27" s="1535" t="str">
        <f t="shared" si="11"/>
        <v>项目停车位配比</v>
      </c>
      <c r="R27" s="1511" t="s">
        <v>8</v>
      </c>
      <c r="S27" s="1512">
        <f t="shared" si="12"/>
        <v>100</v>
      </c>
      <c r="T27" s="1511" t="s">
        <v>8</v>
      </c>
      <c r="U27" s="1512">
        <f t="shared" si="13"/>
        <v>100</v>
      </c>
      <c r="V27" s="1511" t="s">
        <v>8</v>
      </c>
      <c r="W27" s="1512">
        <f t="shared" si="14"/>
        <v>100</v>
      </c>
      <c r="X27" s="1513"/>
      <c r="Y27" s="349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9"/>
      <c r="Q28" s="1506" t="str">
        <f t="shared" si="11"/>
        <v>公共部分装修</v>
      </c>
      <c r="R28" s="1507" t="s">
        <v>8</v>
      </c>
      <c r="S28" s="1508">
        <f t="shared" si="12"/>
        <v>100</v>
      </c>
      <c r="T28" s="1507" t="s">
        <v>8</v>
      </c>
      <c r="U28" s="1508">
        <f t="shared" si="13"/>
        <v>100</v>
      </c>
      <c r="V28" s="1507" t="s">
        <v>8</v>
      </c>
      <c r="W28" s="1508">
        <f t="shared" si="14"/>
        <v>100</v>
      </c>
      <c r="X28" s="1501"/>
      <c r="Y28" s="349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9"/>
      <c r="Q29" s="1506" t="str">
        <f t="shared" si="11"/>
        <v>成新率</v>
      </c>
      <c r="R29" s="1507" t="s">
        <v>8</v>
      </c>
      <c r="S29" s="1508" t="e">
        <f t="shared" si="12"/>
        <v>#N/A</v>
      </c>
      <c r="T29" s="1507" t="s">
        <v>8</v>
      </c>
      <c r="U29" s="1508" t="e">
        <f t="shared" si="13"/>
        <v>#N/A</v>
      </c>
      <c r="V29" s="1507" t="s">
        <v>8</v>
      </c>
      <c r="W29" s="1508" t="e">
        <f t="shared" si="14"/>
        <v>#N/A</v>
      </c>
      <c r="X29" s="1501"/>
      <c r="Y29" s="349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9"/>
      <c r="Q30" s="1506" t="str">
        <f t="shared" si="11"/>
        <v>物业等级</v>
      </c>
      <c r="R30" s="1507" t="s">
        <v>8</v>
      </c>
      <c r="S30" s="1508">
        <f t="shared" si="12"/>
        <v>100</v>
      </c>
      <c r="T30" s="1507" t="s">
        <v>8</v>
      </c>
      <c r="U30" s="1508">
        <f t="shared" si="13"/>
        <v>100</v>
      </c>
      <c r="V30" s="1507" t="s">
        <v>8</v>
      </c>
      <c r="W30" s="1508">
        <f t="shared" si="14"/>
        <v>100</v>
      </c>
      <c r="X30" s="1501"/>
      <c r="Y30" s="349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9"/>
      <c r="Q31" s="1133" t="str">
        <f t="shared" si="11"/>
        <v>停车位面积</v>
      </c>
      <c r="R31" s="1502" t="s">
        <v>8</v>
      </c>
      <c r="S31" s="1503" t="e">
        <f t="shared" si="12"/>
        <v>#N/A</v>
      </c>
      <c r="T31" s="1502" t="s">
        <v>8</v>
      </c>
      <c r="U31" s="1503" t="e">
        <f t="shared" si="13"/>
        <v>#N/A</v>
      </c>
      <c r="V31" s="1502" t="s">
        <v>8</v>
      </c>
      <c r="W31" s="1503" t="e">
        <f t="shared" si="14"/>
        <v>#N/A</v>
      </c>
      <c r="X31" s="1504"/>
      <c r="Y31" s="349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9" t="s">
        <v>544</v>
      </c>
      <c r="Q32" s="1506" t="str">
        <f t="shared" si="11"/>
        <v>车位类型</v>
      </c>
      <c r="R32" s="1507" t="s">
        <v>8</v>
      </c>
      <c r="S32" s="1508">
        <f t="shared" si="12"/>
        <v>100</v>
      </c>
      <c r="T32" s="1507" t="s">
        <v>8</v>
      </c>
      <c r="U32" s="1508">
        <f t="shared" si="13"/>
        <v>100</v>
      </c>
      <c r="V32" s="1507" t="s">
        <v>8</v>
      </c>
      <c r="W32" s="1508">
        <f t="shared" si="14"/>
        <v>100</v>
      </c>
      <c r="X32" s="1501"/>
      <c r="Y32" s="349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9"/>
      <c r="Q33" s="1506" t="str">
        <f t="shared" si="11"/>
        <v>是否直接入户</v>
      </c>
      <c r="R33" s="1507" t="s">
        <v>8</v>
      </c>
      <c r="S33" s="1508">
        <f t="shared" si="12"/>
        <v>100</v>
      </c>
      <c r="T33" s="1507" t="s">
        <v>8</v>
      </c>
      <c r="U33" s="1508">
        <f t="shared" si="13"/>
        <v>100</v>
      </c>
      <c r="V33" s="1507" t="s">
        <v>8</v>
      </c>
      <c r="W33" s="1508">
        <f t="shared" si="14"/>
        <v>100</v>
      </c>
      <c r="X33" s="1501"/>
      <c r="Y33" s="349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9"/>
      <c r="Q35" s="1535">
        <f t="shared" si="11"/>
        <v>111</v>
      </c>
      <c r="R35" s="1511" t="s">
        <v>8</v>
      </c>
      <c r="S35" s="1512">
        <f t="shared" si="12"/>
        <v>100</v>
      </c>
      <c r="T35" s="1511" t="s">
        <v>8</v>
      </c>
      <c r="U35" s="1512">
        <f t="shared" si="13"/>
        <v>100</v>
      </c>
      <c r="V35" s="1511" t="s">
        <v>8</v>
      </c>
      <c r="W35" s="1512">
        <f t="shared" si="14"/>
        <v>100</v>
      </c>
      <c r="X35" s="1513"/>
      <c r="Y35" s="349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9"/>
      <c r="Q36" s="1506">
        <f t="shared" si="11"/>
        <v>111</v>
      </c>
      <c r="R36" s="1507" t="s">
        <v>8</v>
      </c>
      <c r="S36" s="1508">
        <f t="shared" si="12"/>
        <v>100</v>
      </c>
      <c r="T36" s="1507" t="s">
        <v>8</v>
      </c>
      <c r="U36" s="1508">
        <f t="shared" si="13"/>
        <v>100</v>
      </c>
      <c r="V36" s="1507" t="s">
        <v>8</v>
      </c>
      <c r="W36" s="1508">
        <f t="shared" si="14"/>
        <v>100</v>
      </c>
      <c r="X36" s="1501"/>
      <c r="Y36" s="3499"/>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4" t="str">
        <f>A37</f>
        <v>成交单价</v>
      </c>
      <c r="Q37" s="3494"/>
      <c r="R37" s="3601">
        <f>E37</f>
        <v>0</v>
      </c>
      <c r="S37" s="3601"/>
      <c r="T37" s="3601">
        <f>G37</f>
        <v>0</v>
      </c>
      <c r="U37" s="3601"/>
      <c r="V37" s="3601">
        <f>I37</f>
        <v>0</v>
      </c>
      <c r="W37" s="3601"/>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94" t="str">
        <f>A38</f>
        <v>比较价格（元/平方米）</v>
      </c>
      <c r="Q38" s="3494"/>
      <c r="R38" s="3601" t="e">
        <f>IF(F1="售价",ROUND(PRODUCT(R37,AA7:AA36),0),ROUND(PRODUCT(R37,AA7:AA36),1))</f>
        <v>#DIV/0!</v>
      </c>
      <c r="S38" s="3601"/>
      <c r="T38" s="3601" t="e">
        <f>IF(F1="售价",ROUND(PRODUCT(T37,AB7:AB36),0),ROUND(PRODUCT(T37,AB7:AB36),1))</f>
        <v>#DIV/0!</v>
      </c>
      <c r="U38" s="3601"/>
      <c r="V38" s="3601" t="e">
        <f>IF(F1="售价",ROUND(PRODUCT(V37,AC7:AC36),0),ROUND(PRODUCT(V37,AC7:AC36),1))</f>
        <v>#DIV/0!</v>
      </c>
      <c r="W38" s="3601"/>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15" t="str">
        <f>A39</f>
        <v>估价对象XX用房的比较价格（楼面单价，元/平方米）</v>
      </c>
      <c r="Q39" s="3516"/>
      <c r="R39" s="3600" t="e">
        <f>IF(F1="售价",ROUND(IF(D38="简单平均",AVERAGE(R38:W38),R38*F38+T38*H38+V38*J38),0),ROUND(IF(D38="简单平均",AVERAGE(R38:V38),R38*F38+T38*H38+V38*J38),1))</f>
        <v>#DIV/0!</v>
      </c>
      <c r="S39" s="3600"/>
      <c r="T39" s="3600"/>
      <c r="U39" s="3600"/>
      <c r="V39" s="3600"/>
      <c r="W39" s="3600"/>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25" t="s">
        <v>793</v>
      </c>
      <c r="F4" s="3526"/>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99.75">
      <c r="A14" s="2627" t="s">
        <v>2735</v>
      </c>
      <c r="B14" s="164"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7"/>
      <c r="Q24" s="1506">
        <f t="shared" ref="Q24:Q34"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9"/>
      <c r="Q27" s="1535" t="str">
        <f t="shared" si="11"/>
        <v>成新率</v>
      </c>
      <c r="R27" s="1511" t="s">
        <v>8</v>
      </c>
      <c r="S27" s="1512" t="e">
        <f t="shared" si="12"/>
        <v>#N/A</v>
      </c>
      <c r="T27" s="1511" t="s">
        <v>8</v>
      </c>
      <c r="U27" s="1512" t="e">
        <f t="shared" si="13"/>
        <v>#N/A</v>
      </c>
      <c r="V27" s="1511" t="s">
        <v>8</v>
      </c>
      <c r="W27" s="1512" t="e">
        <f t="shared" si="14"/>
        <v>#N/A</v>
      </c>
      <c r="X27" s="1513"/>
      <c r="Y27" s="349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9"/>
      <c r="Q28" s="1506" t="str">
        <f t="shared" si="11"/>
        <v>物业等级</v>
      </c>
      <c r="R28" s="1507" t="s">
        <v>8</v>
      </c>
      <c r="S28" s="1508">
        <f t="shared" si="12"/>
        <v>100</v>
      </c>
      <c r="T28" s="1507" t="s">
        <v>8</v>
      </c>
      <c r="U28" s="1508">
        <f t="shared" si="13"/>
        <v>100</v>
      </c>
      <c r="V28" s="1507" t="s">
        <v>8</v>
      </c>
      <c r="W28" s="1508">
        <f t="shared" si="14"/>
        <v>100</v>
      </c>
      <c r="X28" s="1501"/>
      <c r="Y28" s="349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9"/>
      <c r="Q29" s="1506" t="str">
        <f t="shared" si="11"/>
        <v>有无电梯</v>
      </c>
      <c r="R29" s="1507" t="s">
        <v>8</v>
      </c>
      <c r="S29" s="1508">
        <f t="shared" si="12"/>
        <v>100</v>
      </c>
      <c r="T29" s="1507" t="s">
        <v>8</v>
      </c>
      <c r="U29" s="1508">
        <f t="shared" si="13"/>
        <v>100</v>
      </c>
      <c r="V29" s="1507" t="s">
        <v>8</v>
      </c>
      <c r="W29" s="1508">
        <f t="shared" si="14"/>
        <v>100</v>
      </c>
      <c r="X29" s="1501"/>
      <c r="Y29" s="349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9"/>
      <c r="Q30" s="1506" t="str">
        <f t="shared" si="11"/>
        <v>建筑面积</v>
      </c>
      <c r="R30" s="1507" t="s">
        <v>8</v>
      </c>
      <c r="S30" s="1508" t="e">
        <f t="shared" si="12"/>
        <v>#N/A</v>
      </c>
      <c r="T30" s="1507" t="s">
        <v>8</v>
      </c>
      <c r="U30" s="1508" t="e">
        <f t="shared" si="13"/>
        <v>#N/A</v>
      </c>
      <c r="V30" s="1507" t="s">
        <v>8</v>
      </c>
      <c r="W30" s="1508" t="e">
        <f t="shared" si="14"/>
        <v>#N/A</v>
      </c>
      <c r="X30" s="1501"/>
      <c r="Y30" s="349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9"/>
      <c r="Q31" s="1133" t="str">
        <f t="shared" si="11"/>
        <v>是否封闭</v>
      </c>
      <c r="R31" s="1502" t="s">
        <v>8</v>
      </c>
      <c r="S31" s="1503">
        <f t="shared" si="12"/>
        <v>100</v>
      </c>
      <c r="T31" s="1502" t="s">
        <v>8</v>
      </c>
      <c r="U31" s="1503">
        <f t="shared" si="13"/>
        <v>100</v>
      </c>
      <c r="V31" s="1502" t="s">
        <v>8</v>
      </c>
      <c r="W31" s="1503">
        <f t="shared" si="14"/>
        <v>100</v>
      </c>
      <c r="X31" s="1504"/>
      <c r="Y31" s="349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9" t="s">
        <v>544</v>
      </c>
      <c r="Q32" s="1506">
        <f t="shared" si="11"/>
        <v>111</v>
      </c>
      <c r="R32" s="1507" t="s">
        <v>8</v>
      </c>
      <c r="S32" s="1508">
        <f t="shared" si="12"/>
        <v>100</v>
      </c>
      <c r="T32" s="1507" t="s">
        <v>8</v>
      </c>
      <c r="U32" s="1508">
        <f t="shared" si="13"/>
        <v>100</v>
      </c>
      <c r="V32" s="1507" t="s">
        <v>8</v>
      </c>
      <c r="W32" s="1508">
        <f t="shared" si="14"/>
        <v>100</v>
      </c>
      <c r="X32" s="1501"/>
      <c r="Y32" s="349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9"/>
      <c r="Q33" s="1506">
        <f t="shared" si="11"/>
        <v>111</v>
      </c>
      <c r="R33" s="1507" t="s">
        <v>8</v>
      </c>
      <c r="S33" s="1508">
        <f t="shared" si="12"/>
        <v>100</v>
      </c>
      <c r="T33" s="1507" t="s">
        <v>8</v>
      </c>
      <c r="U33" s="1508">
        <f t="shared" si="13"/>
        <v>100</v>
      </c>
      <c r="V33" s="1507" t="s">
        <v>8</v>
      </c>
      <c r="W33" s="1508">
        <f t="shared" si="14"/>
        <v>100</v>
      </c>
      <c r="X33" s="1501"/>
      <c r="Y33" s="349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4" t="str">
        <f>A35</f>
        <v>成交单价（元/平方米）</v>
      </c>
      <c r="Q35" s="3494"/>
      <c r="R35" s="3601">
        <f>E35</f>
        <v>0</v>
      </c>
      <c r="S35" s="3601"/>
      <c r="T35" s="3601">
        <f>G35</f>
        <v>0</v>
      </c>
      <c r="U35" s="3601"/>
      <c r="V35" s="3601">
        <f>I35</f>
        <v>0</v>
      </c>
      <c r="W35" s="3601"/>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94" t="str">
        <f>A36</f>
        <v>比较价格（元/平方米）</v>
      </c>
      <c r="Q36" s="3494"/>
      <c r="R36" s="3601" t="e">
        <f>IF(F1="售价",ROUND(PRODUCT(R35,AA7:AA34),0),ROUND(PRODUCT(R35,AA7:AA34),1))</f>
        <v>#DIV/0!</v>
      </c>
      <c r="S36" s="3601"/>
      <c r="T36" s="3601" t="e">
        <f>IF(F1="售价",ROUND(PRODUCT(T35,AB7:AB34),0),ROUND(PRODUCT(T35,AB7:AB34),1))</f>
        <v>#DIV/0!</v>
      </c>
      <c r="U36" s="3601"/>
      <c r="V36" s="3601" t="e">
        <f>IF(F1="售价",ROUND(PRODUCT(V35,AC7:AC34),0),ROUND(PRODUCT(V35,AC7:AC34),1))</f>
        <v>#DIV/0!</v>
      </c>
      <c r="W36" s="3601"/>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15" t="str">
        <f>A37</f>
        <v>估价对象XX用房的比较价格（楼面单价，元/平方米）</v>
      </c>
      <c r="Q37" s="3516"/>
      <c r="R37" s="3600" t="e">
        <f>IF(F1="售价",ROUND(IF(D36="简单平均",AVERAGE(R36:W36),R36*F36+T36*H36+V36*J36),0),ROUND(IF(D36="简单平均",AVERAGE(R36:V36),R36*F36+T36*H36+V36*J36),1))</f>
        <v>#DIV/0!</v>
      </c>
      <c r="S37" s="3600"/>
      <c r="T37" s="3600"/>
      <c r="U37" s="3600"/>
      <c r="V37" s="3600"/>
      <c r="W37" s="3600"/>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44234</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workbookViewId="0">
      <pane xSplit="11310" topLeftCell="S1"/>
      <selection activeCell="A3" sqref="A3"/>
      <selection pane="topRight" activeCell="K1" sqref="K1"/>
    </sheetView>
  </sheetViews>
  <sheetFormatPr defaultRowHeight="13.5"/>
  <cols>
    <col min="1" max="1" width="32.125" customWidth="1"/>
    <col min="12" max="12" width="23.375" customWidth="1"/>
  </cols>
  <sheetData>
    <row r="1" spans="1:247">
      <c r="A1" s="2656" t="s">
        <v>3084</v>
      </c>
      <c r="B1" s="2656" t="s">
        <v>3085</v>
      </c>
      <c r="C1" s="2656" t="s">
        <v>3086</v>
      </c>
      <c r="D1" s="2656" t="s">
        <v>3087</v>
      </c>
      <c r="E1" s="2656" t="s">
        <v>3088</v>
      </c>
      <c r="F1" s="2656" t="s">
        <v>3089</v>
      </c>
      <c r="G1" s="2656" t="s">
        <v>3090</v>
      </c>
      <c r="H1" s="2656" t="s">
        <v>3091</v>
      </c>
      <c r="I1" s="2656" t="s">
        <v>3092</v>
      </c>
      <c r="J1" s="2656" t="s">
        <v>3093</v>
      </c>
      <c r="K1" s="2656" t="s">
        <v>3094</v>
      </c>
      <c r="L1" s="2656" t="s">
        <v>2021</v>
      </c>
      <c r="M1" s="2656" t="s">
        <v>3095</v>
      </c>
      <c r="N1" s="2656" t="s">
        <v>3081</v>
      </c>
      <c r="O1" s="2656" t="s">
        <v>3096</v>
      </c>
      <c r="P1" s="2656" t="s">
        <v>3097</v>
      </c>
      <c r="Q1" s="2656" t="s">
        <v>3098</v>
      </c>
      <c r="R1" s="2656" t="s">
        <v>3099</v>
      </c>
      <c r="S1" s="2656" t="s">
        <v>3100</v>
      </c>
      <c r="T1" s="2656" t="s">
        <v>3101</v>
      </c>
      <c r="U1" s="2656" t="s">
        <v>3102</v>
      </c>
      <c r="V1" s="2656" t="s">
        <v>3103</v>
      </c>
      <c r="W1" s="2656" t="s">
        <v>3104</v>
      </c>
      <c r="X1" s="2656" t="s">
        <v>3105</v>
      </c>
      <c r="Y1" s="2656" t="s">
        <v>3106</v>
      </c>
      <c r="Z1" s="2656" t="s">
        <v>3107</v>
      </c>
      <c r="AA1" s="2656" t="s">
        <v>3108</v>
      </c>
      <c r="AB1" s="2656" t="s">
        <v>3109</v>
      </c>
      <c r="AC1" s="2656" t="s">
        <v>3110</v>
      </c>
      <c r="AD1" s="2656" t="s">
        <v>3111</v>
      </c>
      <c r="AE1" s="2656" t="s">
        <v>3112</v>
      </c>
      <c r="AF1" s="2656" t="s">
        <v>3113</v>
      </c>
      <c r="AG1" s="2656" t="s">
        <v>3114</v>
      </c>
      <c r="AH1" s="2656" t="s">
        <v>3115</v>
      </c>
      <c r="AI1" s="2656" t="s">
        <v>3116</v>
      </c>
      <c r="AJ1" s="2656" t="s">
        <v>3117</v>
      </c>
      <c r="AK1" s="2656" t="s">
        <v>3118</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3119</v>
      </c>
      <c r="B2" s="2656" t="s">
        <v>3120</v>
      </c>
      <c r="C2" s="2656" t="s">
        <v>3121</v>
      </c>
      <c r="D2" s="2656" t="s">
        <v>3122</v>
      </c>
      <c r="E2" s="3300" t="s">
        <v>3123</v>
      </c>
      <c r="F2" s="2656" t="s">
        <v>3119</v>
      </c>
      <c r="G2" s="2656" t="s">
        <v>3124</v>
      </c>
      <c r="H2" s="2656" t="s">
        <v>3125</v>
      </c>
      <c r="I2" s="2656" t="s">
        <v>3126</v>
      </c>
      <c r="J2" s="2656">
        <v>43392</v>
      </c>
      <c r="K2" s="2656">
        <v>65088</v>
      </c>
      <c r="L2" s="2656" t="s">
        <v>3127</v>
      </c>
      <c r="M2" s="2656" t="s">
        <v>2798</v>
      </c>
      <c r="N2" s="2656" t="s">
        <v>3128</v>
      </c>
      <c r="O2" s="2656" t="s">
        <v>3129</v>
      </c>
      <c r="P2" s="2656" t="s">
        <v>3130</v>
      </c>
      <c r="Q2" s="2656" t="s">
        <v>3131</v>
      </c>
      <c r="R2" s="2656" t="s">
        <v>3132</v>
      </c>
      <c r="S2" s="2656" t="s">
        <v>3132</v>
      </c>
      <c r="T2" s="2656" t="s">
        <v>3133</v>
      </c>
      <c r="U2" s="2656" t="s">
        <v>3134</v>
      </c>
      <c r="V2" s="2656" t="s">
        <v>3135</v>
      </c>
      <c r="W2" s="2656">
        <v>5540</v>
      </c>
      <c r="X2" s="2656">
        <v>5540</v>
      </c>
      <c r="Y2" s="2656">
        <v>5540</v>
      </c>
      <c r="Z2" s="2656">
        <v>85.12</v>
      </c>
      <c r="AA2" s="2656">
        <v>85.12</v>
      </c>
      <c r="AB2" s="2656">
        <v>851.15</v>
      </c>
      <c r="AC2" s="2656">
        <v>851.15</v>
      </c>
      <c r="AD2" s="2656" t="s">
        <v>2798</v>
      </c>
      <c r="AE2" s="2656" t="s">
        <v>2798</v>
      </c>
      <c r="AF2" s="2656">
        <v>0</v>
      </c>
      <c r="AG2" s="2656" t="s">
        <v>3136</v>
      </c>
      <c r="AH2" s="2656" t="s">
        <v>2798</v>
      </c>
      <c r="AI2" s="2656" t="s">
        <v>2798</v>
      </c>
      <c r="AJ2" s="2656" t="s">
        <v>2798</v>
      </c>
      <c r="AK2" s="2656" t="s">
        <v>3137</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3163</v>
      </c>
      <c r="B3" s="2656" t="s">
        <v>3120</v>
      </c>
      <c r="C3" s="2656" t="s">
        <v>3121</v>
      </c>
      <c r="D3" s="2656" t="s">
        <v>3122</v>
      </c>
      <c r="E3" s="2656" t="s">
        <v>3139</v>
      </c>
      <c r="F3" s="2656" t="s">
        <v>3138</v>
      </c>
      <c r="G3" s="2656" t="s">
        <v>3124</v>
      </c>
      <c r="H3" s="2656" t="s">
        <v>3140</v>
      </c>
      <c r="I3" s="2656" t="s">
        <v>3141</v>
      </c>
      <c r="J3" s="2656">
        <v>22989</v>
      </c>
      <c r="K3" s="2656">
        <v>34483.5</v>
      </c>
      <c r="L3" s="2656" t="s">
        <v>3142</v>
      </c>
      <c r="M3" s="2656" t="s">
        <v>2798</v>
      </c>
      <c r="N3" s="2656" t="s">
        <v>3143</v>
      </c>
      <c r="O3" s="2656" t="s">
        <v>3146</v>
      </c>
      <c r="P3" s="2656" t="s">
        <v>3147</v>
      </c>
      <c r="Q3" s="2656" t="s">
        <v>3148</v>
      </c>
      <c r="R3" s="2656" t="s">
        <v>3149</v>
      </c>
      <c r="S3" s="2656" t="s">
        <v>3149</v>
      </c>
      <c r="T3" s="2656" t="s">
        <v>3150</v>
      </c>
      <c r="U3" s="2656" t="s">
        <v>3134</v>
      </c>
      <c r="V3" s="2656" t="s">
        <v>3151</v>
      </c>
      <c r="W3" s="2656">
        <v>2900</v>
      </c>
      <c r="X3" s="2656">
        <v>2900</v>
      </c>
      <c r="Y3" s="2656">
        <v>2900</v>
      </c>
      <c r="Z3" s="2656">
        <v>84.1</v>
      </c>
      <c r="AA3" s="2656">
        <v>84.1</v>
      </c>
      <c r="AB3" s="2656">
        <v>840.98</v>
      </c>
      <c r="AC3" s="2656">
        <v>840.98</v>
      </c>
      <c r="AD3" s="2656" t="s">
        <v>2798</v>
      </c>
      <c r="AE3" s="2656" t="s">
        <v>2798</v>
      </c>
      <c r="AF3" s="2656">
        <v>0</v>
      </c>
      <c r="AG3" s="2656" t="s">
        <v>3136</v>
      </c>
      <c r="AH3" s="2656" t="s">
        <v>2798</v>
      </c>
      <c r="AI3" s="2656" t="s">
        <v>2798</v>
      </c>
      <c r="AJ3" s="2656" t="s">
        <v>2798</v>
      </c>
      <c r="AK3" s="2656" t="s">
        <v>3153</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3144</v>
      </c>
      <c r="B4" s="2656" t="s">
        <v>3120</v>
      </c>
      <c r="C4" s="2656" t="s">
        <v>3121</v>
      </c>
      <c r="D4" s="2656" t="s">
        <v>3122</v>
      </c>
      <c r="E4" s="2656" t="s">
        <v>3139</v>
      </c>
      <c r="F4" s="2656" t="s">
        <v>3144</v>
      </c>
      <c r="G4" s="2656" t="s">
        <v>3124</v>
      </c>
      <c r="H4" s="2656" t="s">
        <v>3145</v>
      </c>
      <c r="I4" s="2656" t="s">
        <v>3141</v>
      </c>
      <c r="J4" s="2656">
        <v>26568</v>
      </c>
      <c r="K4" s="2656">
        <v>39852</v>
      </c>
      <c r="L4" s="2656" t="s">
        <v>3142</v>
      </c>
      <c r="M4" s="2656" t="s">
        <v>2798</v>
      </c>
      <c r="N4" s="2656" t="s">
        <v>3143</v>
      </c>
      <c r="O4" s="2656" t="s">
        <v>3146</v>
      </c>
      <c r="P4" s="2656" t="s">
        <v>3147</v>
      </c>
      <c r="Q4" s="2656" t="s">
        <v>3148</v>
      </c>
      <c r="R4" s="2656" t="s">
        <v>3149</v>
      </c>
      <c r="S4" s="2656" t="s">
        <v>3149</v>
      </c>
      <c r="T4" s="2656" t="s">
        <v>3150</v>
      </c>
      <c r="U4" s="2656" t="s">
        <v>3134</v>
      </c>
      <c r="V4" s="2656" t="s">
        <v>3152</v>
      </c>
      <c r="W4" s="2656">
        <v>3360</v>
      </c>
      <c r="X4" s="2656">
        <v>3360</v>
      </c>
      <c r="Y4" s="2656">
        <v>3360</v>
      </c>
      <c r="Z4" s="2656">
        <v>84.31</v>
      </c>
      <c r="AA4" s="2656">
        <v>84.31</v>
      </c>
      <c r="AB4" s="2656">
        <v>843.11</v>
      </c>
      <c r="AC4" s="2656">
        <v>843.12</v>
      </c>
      <c r="AD4" s="2656" t="s">
        <v>2798</v>
      </c>
      <c r="AE4" s="2656" t="s">
        <v>2798</v>
      </c>
      <c r="AF4" s="2656">
        <v>0</v>
      </c>
      <c r="AG4" s="2656" t="s">
        <v>3136</v>
      </c>
      <c r="AH4" s="2656" t="s">
        <v>2798</v>
      </c>
      <c r="AI4" s="2656" t="s">
        <v>2798</v>
      </c>
      <c r="AJ4" s="2656" t="s">
        <v>2798</v>
      </c>
      <c r="AK4" s="2656" t="s">
        <v>3153</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12187.586206896553</v>
      </c>
    </row>
    <row r="14" spans="1:247">
      <c r="V14">
        <v>2</v>
      </c>
      <c r="W14">
        <v>0.6</v>
      </c>
      <c r="X14">
        <f>$X$13*W14</f>
        <v>1.7999999999999998</v>
      </c>
      <c r="Y14" s="3301">
        <f ca="1">W14*$Y$13</f>
        <v>7312.5517241379312</v>
      </c>
    </row>
    <row r="15" spans="1:247">
      <c r="V15">
        <v>3</v>
      </c>
      <c r="W15">
        <v>0.5</v>
      </c>
      <c r="X15">
        <f t="shared" ref="X15:X20" si="0">$X$13*W15</f>
        <v>1.5</v>
      </c>
      <c r="Y15" s="3301">
        <f t="shared" ref="Y15:Y20" ca="1" si="1">W15*$Y$13</f>
        <v>6093.7931034482763</v>
      </c>
    </row>
    <row r="16" spans="1:247">
      <c r="V16">
        <v>4</v>
      </c>
      <c r="W16">
        <v>0.45</v>
      </c>
      <c r="X16">
        <f t="shared" si="0"/>
        <v>1.35</v>
      </c>
      <c r="Y16" s="3301">
        <f t="shared" ca="1" si="1"/>
        <v>5484.4137931034484</v>
      </c>
    </row>
    <row r="17" spans="22:25">
      <c r="V17">
        <v>5</v>
      </c>
      <c r="W17">
        <f t="shared" ref="W17:W20" si="2">W16</f>
        <v>0.45</v>
      </c>
      <c r="X17">
        <f t="shared" si="0"/>
        <v>1.35</v>
      </c>
      <c r="Y17" s="3301">
        <f t="shared" ca="1" si="1"/>
        <v>5484.4137931034484</v>
      </c>
    </row>
    <row r="18" spans="22:25">
      <c r="V18">
        <v>6</v>
      </c>
      <c r="W18">
        <f t="shared" si="2"/>
        <v>0.45</v>
      </c>
      <c r="X18">
        <f t="shared" si="0"/>
        <v>1.35</v>
      </c>
      <c r="Y18" s="3301">
        <f t="shared" ca="1" si="1"/>
        <v>5484.4137931034484</v>
      </c>
    </row>
    <row r="19" spans="22:25">
      <c r="V19">
        <v>7</v>
      </c>
      <c r="W19">
        <f t="shared" si="2"/>
        <v>0.45</v>
      </c>
      <c r="X19">
        <f t="shared" si="0"/>
        <v>1.35</v>
      </c>
      <c r="Y19" s="3301">
        <f t="shared" ca="1" si="1"/>
        <v>5484.4137931034484</v>
      </c>
    </row>
    <row r="20" spans="22:25">
      <c r="V20">
        <v>8</v>
      </c>
      <c r="W20">
        <f t="shared" si="2"/>
        <v>0.45</v>
      </c>
      <c r="X20">
        <f t="shared" si="0"/>
        <v>1.35</v>
      </c>
      <c r="Y20" s="3301">
        <f t="shared" ca="1" si="1"/>
        <v>5484.4137931034484</v>
      </c>
    </row>
    <row r="21" spans="22:25">
      <c r="X21">
        <f>SUM(X13:X20)/8</f>
        <v>1.6312499999999999</v>
      </c>
      <c r="Y21">
        <f ca="1">不动产收益法!C43</f>
        <v>6627</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2" t="s">
        <v>2029</v>
      </c>
      <c r="B2" s="1722"/>
      <c r="C2" s="1722"/>
      <c r="D2" s="1722"/>
      <c r="E2" s="1722"/>
      <c r="F2" s="1722"/>
      <c r="G2" s="1722"/>
      <c r="H2" s="1722"/>
      <c r="I2" s="1723"/>
      <c r="J2" s="1723"/>
      <c r="K2" s="1724" t="str">
        <f>"估价期日："&amp;TEXT(项目基本情况!D3,"yyyy年m月d日;;")</f>
        <v>估价期日：2021年2月7日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1" t="s">
        <v>2018</v>
      </c>
      <c r="B3" s="3311" t="s">
        <v>2712</v>
      </c>
      <c r="C3" s="3312" t="s">
        <v>2019</v>
      </c>
      <c r="D3" s="3311" t="s">
        <v>2716</v>
      </c>
      <c r="E3" s="3306" t="s">
        <v>2020</v>
      </c>
      <c r="F3" s="3306"/>
      <c r="G3" s="3306"/>
      <c r="H3" s="3306" t="s">
        <v>2021</v>
      </c>
      <c r="I3" s="3306"/>
      <c r="J3" s="3306"/>
      <c r="K3" s="3312" t="s">
        <v>2022</v>
      </c>
      <c r="L3" s="3312" t="s">
        <v>2023</v>
      </c>
      <c r="M3" s="3311" t="s">
        <v>2713</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91" t="s">
        <v>2031</v>
      </c>
      <c r="F4" s="2491" t="s">
        <v>2725</v>
      </c>
      <c r="G4" s="2491" t="s">
        <v>2025</v>
      </c>
      <c r="H4" s="2491" t="s">
        <v>2026</v>
      </c>
      <c r="I4" s="2491" t="s">
        <v>2726</v>
      </c>
      <c r="J4" s="2491" t="s">
        <v>2025</v>
      </c>
      <c r="K4" s="3312"/>
      <c r="L4" s="3312"/>
      <c r="M4" s="3311"/>
      <c r="N4" s="3313"/>
      <c r="O4" s="3311"/>
      <c r="P4" s="3312"/>
      <c r="Q4" s="3312"/>
      <c r="R4" s="331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302725.5</v>
      </c>
      <c r="P5" s="1725">
        <f ca="1">结果表!E42</f>
        <v>5831</v>
      </c>
      <c r="Q5" s="1725">
        <f ca="1">结果表!D42</f>
        <v>1666</v>
      </c>
      <c r="R5" s="1726">
        <f ca="1">结果表!C42</f>
        <v>50437</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7" t="str">
        <f>结果表!O39</f>
        <v>——</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7"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4" t="s">
        <v>2054</v>
      </c>
      <c r="B1" s="3314"/>
      <c r="C1" s="3314"/>
      <c r="D1" s="3314"/>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7" t="s">
        <v>2055</v>
      </c>
      <c r="B5" s="3317"/>
      <c r="C5" s="3317"/>
      <c r="D5" s="3317"/>
    </row>
    <row r="6" spans="1:4">
      <c r="A6" s="3314" t="s">
        <v>2033</v>
      </c>
      <c r="B6" s="3314"/>
      <c r="C6" s="3314"/>
      <c r="D6" s="3314"/>
    </row>
    <row r="7" spans="1:4" ht="33" customHeight="1">
      <c r="A7" s="3314" t="s">
        <v>2556</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7" t="s">
        <v>2057</v>
      </c>
      <c r="B12" s="3317"/>
      <c r="C12" s="3317"/>
      <c r="D12" s="3317"/>
    </row>
    <row r="13" spans="1:4">
      <c r="A13" s="3315" t="s">
        <v>2727</v>
      </c>
      <c r="B13" s="3315"/>
      <c r="C13" s="3315"/>
      <c r="D13" s="3315"/>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2683</v>
      </c>
      <c r="B17" s="3314"/>
      <c r="C17" s="3314"/>
      <c r="D17" s="3314"/>
    </row>
    <row r="18" spans="1:4">
      <c r="A18" s="3314" t="s">
        <v>2675</v>
      </c>
      <c r="B18" s="3314"/>
      <c r="C18" s="3314"/>
      <c r="D18" s="3314"/>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4" t="s">
        <v>2680</v>
      </c>
      <c r="B23" s="3314"/>
      <c r="C23" s="3314"/>
      <c r="D23" s="331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44232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3078</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2021-02-05T06:58:14Z</dcterms:modified>
</cp:coreProperties>
</file>