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土地比较法-住宅、综合" sheetId="39"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K23" i="21"/>
  <c r="K19" i="21"/>
  <c r="K17" i="21"/>
  <c r="K15" i="21"/>
  <c r="K11" i="21"/>
  <c r="E11" i="21"/>
  <c r="C11" i="21"/>
  <c r="E91" i="21"/>
  <c r="D91" i="21"/>
  <c r="E117" i="39"/>
  <c r="F117" i="39" s="1"/>
  <c r="G117" i="39" s="1"/>
  <c r="D117" i="39"/>
  <c r="I46" i="39"/>
  <c r="I38" i="39"/>
  <c r="G38" i="39"/>
  <c r="E38" i="39"/>
  <c r="C38" i="39"/>
  <c r="G13" i="39"/>
  <c r="I13" i="39"/>
  <c r="I7" i="39"/>
  <c r="I5" i="39"/>
  <c r="E84" i="39"/>
  <c r="D84" i="39"/>
  <c r="E13" i="39"/>
  <c r="C13" i="39"/>
  <c r="G7" i="39"/>
  <c r="E7" i="39"/>
  <c r="G5" i="39"/>
  <c r="E5" i="39"/>
  <c r="F19" i="6" l="1"/>
  <c r="D3" i="4"/>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U40" i="79"/>
  <c r="AD41" i="79"/>
  <c r="S42" i="79"/>
  <c r="AD45" i="79"/>
  <c r="AD32" i="79"/>
  <c r="AD31" i="79"/>
  <c r="T34" i="79"/>
  <c r="W34"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8" i="71" s="1"/>
  <c r="Q37" i="71"/>
  <c r="P37" i="71"/>
  <c r="O37" i="71"/>
  <c r="Y37" i="71" s="1"/>
  <c r="Z37" i="71" s="1"/>
  <c r="N37" i="71"/>
  <c r="B38" i="71" s="1"/>
  <c r="D37" i="71"/>
  <c r="Q36" i="71"/>
  <c r="P36" i="71"/>
  <c r="AA35" i="71" s="1"/>
  <c r="O36" i="71"/>
  <c r="N36" i="71"/>
  <c r="X35" i="71" s="1"/>
  <c r="Q35" i="71"/>
  <c r="P35" i="71"/>
  <c r="O35" i="71"/>
  <c r="Y35" i="71"/>
  <c r="Z35" i="71" s="1"/>
  <c r="N35" i="71"/>
  <c r="Q34" i="71"/>
  <c r="P34" i="71"/>
  <c r="O34" i="71"/>
  <c r="N34" i="71"/>
  <c r="F36" i="71"/>
  <c r="V36" i="71" s="1"/>
  <c r="Q33" i="71"/>
  <c r="F34" i="71" s="1"/>
  <c r="F35" i="71" s="1"/>
  <c r="P33" i="71"/>
  <c r="O33" i="71"/>
  <c r="C34" i="71" s="1"/>
  <c r="N33" i="71"/>
  <c r="D33" i="71"/>
  <c r="Q32" i="71"/>
  <c r="P32" i="71"/>
  <c r="O32" i="71"/>
  <c r="N32" i="71"/>
  <c r="Q31" i="71"/>
  <c r="P31" i="71"/>
  <c r="O31" i="71"/>
  <c r="N31" i="71"/>
  <c r="Q30" i="71"/>
  <c r="P30" i="71"/>
  <c r="AA3" i="71" s="1"/>
  <c r="O30" i="7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B28" i="71"/>
  <c r="C31" i="71"/>
  <c r="C32" i="71" s="1"/>
  <c r="D30" i="71"/>
  <c r="D50" i="71"/>
  <c r="P28" i="71"/>
  <c r="E28" i="71" s="1"/>
  <c r="E59" i="71"/>
  <c r="E60" i="71" s="1"/>
  <c r="U60" i="71" s="1"/>
  <c r="U68" i="71"/>
  <c r="E67" i="71"/>
  <c r="Q28" i="71"/>
  <c r="D58" i="71"/>
  <c r="C63" i="71"/>
  <c r="C64" i="71" s="1"/>
  <c r="D62" i="71"/>
  <c r="T68" i="71"/>
  <c r="D68" i="71"/>
  <c r="C67" i="71"/>
  <c r="E71" i="71"/>
  <c r="E70" i="71"/>
  <c r="D72" i="71"/>
  <c r="D76" i="71"/>
  <c r="D80" i="71"/>
  <c r="C87" i="71"/>
  <c r="C86" i="71" s="1"/>
  <c r="D86" i="71" s="1"/>
  <c r="F28" i="71"/>
  <c r="F27" i="71"/>
  <c r="F26" i="71" s="1"/>
  <c r="AB28" i="71"/>
  <c r="D63" i="71"/>
  <c r="D87" i="71"/>
  <c r="P67" i="71"/>
  <c r="E66" i="71"/>
  <c r="P65" i="71" s="1"/>
  <c r="C52" i="71"/>
  <c r="D31" i="7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AA21" i="21" s="1"/>
  <c r="D81" i="21"/>
  <c r="E81" i="21" s="1"/>
  <c r="F81" i="21" s="1"/>
  <c r="G20" i="20"/>
  <c r="C22" i="20"/>
  <c r="B100" i="43" s="1"/>
  <c r="B57" i="43"/>
  <c r="S18" i="36"/>
  <c r="H25" i="40"/>
  <c r="AB25" i="40" s="1"/>
  <c r="J25" i="40"/>
  <c r="H29" i="39"/>
  <c r="J29" i="39"/>
  <c r="AC29" i="39" s="1"/>
  <c r="J18" i="36"/>
  <c r="AC18" i="36" s="1"/>
  <c r="H18" i="35"/>
  <c r="AB18" i="35" s="1"/>
  <c r="J18" i="35"/>
  <c r="W18" i="35" s="1"/>
  <c r="H21" i="37"/>
  <c r="AB21" i="37" s="1"/>
  <c r="F21" i="37"/>
  <c r="H21" i="34"/>
  <c r="AB21" i="34" s="1"/>
  <c r="H21" i="33"/>
  <c r="U21" i="33" s="1"/>
  <c r="F21" i="33"/>
  <c r="H1" i="69"/>
  <c r="AC25" i="40"/>
  <c r="W25" i="40"/>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F11" i="35" s="1"/>
  <c r="S11" i="35" s="1"/>
  <c r="B61" i="35"/>
  <c r="B59" i="35"/>
  <c r="B131" i="34"/>
  <c r="B129" i="34"/>
  <c r="B127" i="34"/>
  <c r="B99" i="34"/>
  <c r="B97" i="34"/>
  <c r="B95" i="34"/>
  <c r="F30" i="34" s="1"/>
  <c r="S30" i="34" s="1"/>
  <c r="B93" i="34"/>
  <c r="B75" i="34"/>
  <c r="B73" i="34"/>
  <c r="B71" i="34"/>
  <c r="B130" i="33"/>
  <c r="B128" i="33"/>
  <c r="B126" i="33"/>
  <c r="B98" i="33"/>
  <c r="B96" i="33"/>
  <c r="B94" i="33"/>
  <c r="B74" i="33"/>
  <c r="B72" i="33"/>
  <c r="F13" i="33" s="1"/>
  <c r="S13" i="33" s="1"/>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B130" i="21"/>
  <c r="B128" i="21"/>
  <c r="J45" i="21" s="1"/>
  <c r="W45" i="21" s="1"/>
  <c r="B126" i="21"/>
  <c r="B98" i="21"/>
  <c r="H31" i="21"/>
  <c r="B96" i="21"/>
  <c r="B94" i="21"/>
  <c r="J29" i="21" s="1"/>
  <c r="AC29" i="21"/>
  <c r="B92" i="21"/>
  <c r="J28" i="21" s="1"/>
  <c r="W28" i="21" s="1"/>
  <c r="B90" i="21"/>
  <c r="J27" i="21" s="1"/>
  <c r="W27" i="21" s="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c r="AB41" i="21"/>
  <c r="F45" i="39"/>
  <c r="S45" i="39"/>
  <c r="J45" i="39"/>
  <c r="W45" i="39" s="1"/>
  <c r="J44" i="39"/>
  <c r="AC44" i="39"/>
  <c r="F36" i="39"/>
  <c r="S36" i="39" s="1"/>
  <c r="H36" i="39"/>
  <c r="AB36" i="39"/>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U34" i="35"/>
  <c r="F36" i="34"/>
  <c r="J35" i="34"/>
  <c r="U34" i="34"/>
  <c r="H39" i="33"/>
  <c r="AB39" i="33" s="1"/>
  <c r="F26" i="33"/>
  <c r="AA26" i="33"/>
  <c r="U33" i="33"/>
  <c r="U35" i="33"/>
  <c r="W33" i="33"/>
  <c r="W39" i="33"/>
  <c r="H39" i="37"/>
  <c r="AB39" i="37"/>
  <c r="S27" i="35"/>
  <c r="F11" i="40"/>
  <c r="AA11" i="40" s="1"/>
  <c r="H11" i="40"/>
  <c r="AB11" i="40"/>
  <c r="W8" i="40"/>
  <c r="AB39" i="40"/>
  <c r="U9" i="40"/>
  <c r="S34" i="40"/>
  <c r="U38" i="40"/>
  <c r="W31"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c r="J21" i="40"/>
  <c r="W21" i="40" s="1"/>
  <c r="H42" i="39"/>
  <c r="AB42" i="39" s="1"/>
  <c r="J34" i="39"/>
  <c r="AC34" i="39" s="1"/>
  <c r="J31" i="39"/>
  <c r="W31" i="39" s="1"/>
  <c r="J19" i="39"/>
  <c r="AC19" i="39" s="1"/>
  <c r="J17" i="39"/>
  <c r="F11" i="21"/>
  <c r="S11" i="21" s="1"/>
  <c r="C25" i="39"/>
  <c r="H11" i="39"/>
  <c r="S40" i="39"/>
  <c r="H32" i="33"/>
  <c r="AB32" i="33"/>
  <c r="H11" i="21"/>
  <c r="U11" i="21" s="1"/>
  <c r="J11" i="21"/>
  <c r="W11" i="21" s="1"/>
  <c r="H37" i="40"/>
  <c r="U37" i="40"/>
  <c r="H36" i="40"/>
  <c r="AB36" i="40" s="1"/>
  <c r="F35" i="40"/>
  <c r="AA35" i="40"/>
  <c r="H23" i="40"/>
  <c r="AB23" i="40" s="1"/>
  <c r="H17" i="40"/>
  <c r="U17" i="40"/>
  <c r="J15" i="40"/>
  <c r="W15" i="40" s="1"/>
  <c r="J11" i="40"/>
  <c r="W11" i="40" s="1"/>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S38" i="33"/>
  <c r="E113" i="33"/>
  <c r="F32" i="33"/>
  <c r="AA32" i="33" s="1"/>
  <c r="J19" i="33"/>
  <c r="AC19" i="33" s="1"/>
  <c r="J15" i="33"/>
  <c r="AC15" i="33" s="1"/>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J43" i="34"/>
  <c r="AB42" i="34"/>
  <c r="J40" i="34"/>
  <c r="H38" i="34"/>
  <c r="AB38" i="34" s="1"/>
  <c r="J36" i="34"/>
  <c r="W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F44" i="34"/>
  <c r="AA44" i="34" s="1"/>
  <c r="J10" i="35"/>
  <c r="AC10" i="35" s="1"/>
  <c r="F14" i="21"/>
  <c r="S14" i="21" s="1"/>
  <c r="H30" i="21"/>
  <c r="AB30" i="21" s="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F27" i="21"/>
  <c r="AA27" i="21" s="1"/>
  <c r="H29" i="21"/>
  <c r="U29" i="21"/>
  <c r="J31" i="21"/>
  <c r="AC31" i="21" s="1"/>
  <c r="F31" i="21"/>
  <c r="S31" i="21"/>
  <c r="F45" i="21"/>
  <c r="AA45" i="21" s="1"/>
  <c r="F27" i="33"/>
  <c r="AA27" i="33" s="1"/>
  <c r="J13" i="33"/>
  <c r="H13" i="33"/>
  <c r="U13" i="33" s="1"/>
  <c r="J29" i="33"/>
  <c r="H29" i="33"/>
  <c r="U29" i="33" s="1"/>
  <c r="F29" i="33"/>
  <c r="S29" i="33" s="1"/>
  <c r="J31" i="33"/>
  <c r="W31" i="33"/>
  <c r="H45" i="33"/>
  <c r="U45" i="33" s="1"/>
  <c r="J45" i="33"/>
  <c r="W45" i="33" s="1"/>
  <c r="F45" i="33"/>
  <c r="AA45" i="33"/>
  <c r="J14" i="34"/>
  <c r="W14" i="34" s="1"/>
  <c r="F14" i="34"/>
  <c r="S14" i="34" s="1"/>
  <c r="H14" i="34"/>
  <c r="H30" i="34"/>
  <c r="J30" i="34"/>
  <c r="H32" i="34"/>
  <c r="F32" i="34"/>
  <c r="J32" i="34"/>
  <c r="W32" i="34" s="1"/>
  <c r="H46" i="34"/>
  <c r="AB46" i="34" s="1"/>
  <c r="H11" i="35"/>
  <c r="AB11" i="35" s="1"/>
  <c r="J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U44" i="33" s="1"/>
  <c r="J44" i="33"/>
  <c r="AC44" i="33" s="1"/>
  <c r="F44" i="33"/>
  <c r="S44" i="33" s="1"/>
  <c r="J46" i="33"/>
  <c r="AC46" i="33"/>
  <c r="F46" i="33"/>
  <c r="AA46" i="33" s="1"/>
  <c r="H46" i="33"/>
  <c r="AB46" i="33"/>
  <c r="H13" i="34"/>
  <c r="U13" i="34" s="1"/>
  <c r="J13" i="34"/>
  <c r="W13" i="34"/>
  <c r="F13" i="34"/>
  <c r="AA13" i="34" s="1"/>
  <c r="J29" i="34"/>
  <c r="W29" i="34" s="1"/>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s="1"/>
  <c r="H13" i="35"/>
  <c r="U13" i="35" s="1"/>
  <c r="F25" i="35"/>
  <c r="S25" i="35" s="1"/>
  <c r="J35" i="35"/>
  <c r="AC35" i="35" s="1"/>
  <c r="F35" i="35"/>
  <c r="AA35" i="35" s="1"/>
  <c r="H35" i="35"/>
  <c r="J25" i="36"/>
  <c r="W25" i="36"/>
  <c r="H25" i="36"/>
  <c r="AB25" i="36" s="1"/>
  <c r="H13" i="37"/>
  <c r="AB13" i="37" s="1"/>
  <c r="F13" i="37"/>
  <c r="S13" i="37"/>
  <c r="J13" i="37"/>
  <c r="W13" i="37" s="1"/>
  <c r="F28" i="37"/>
  <c r="AA28" i="37" s="1"/>
  <c r="J28" i="37"/>
  <c r="AC28" i="37"/>
  <c r="H28" i="37"/>
  <c r="H38" i="37"/>
  <c r="AB38" i="37" s="1"/>
  <c r="J38" i="37"/>
  <c r="AC38" i="37" s="1"/>
  <c r="F38" i="37"/>
  <c r="S38" i="37"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4" i="40"/>
  <c r="AB14" i="40"/>
  <c r="J14" i="40"/>
  <c r="W14" i="40" s="1"/>
  <c r="F14" i="40"/>
  <c r="AA14" i="40"/>
  <c r="J14" i="37"/>
  <c r="J27" i="37"/>
  <c r="AC27" i="37" s="1"/>
  <c r="AA44" i="33"/>
  <c r="U46" i="33"/>
  <c r="AA14" i="33"/>
  <c r="J36" i="37"/>
  <c r="AC36" i="37"/>
  <c r="J10" i="36"/>
  <c r="AC10" i="36" s="1"/>
  <c r="AB26" i="33"/>
  <c r="AA14" i="37"/>
  <c r="S11" i="36"/>
  <c r="AA14"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76" i="3"/>
  <c r="G572" i="3"/>
  <c r="G568" i="3"/>
  <c r="G564" i="3"/>
  <c r="G560" i="3"/>
  <c r="G554" i="3"/>
  <c r="G550" i="3"/>
  <c r="BL584" i="3"/>
  <c r="BL576" i="3"/>
  <c r="BL572" i="3"/>
  <c r="BL568" i="3"/>
  <c r="BL564" i="3"/>
  <c r="BL560" i="3"/>
  <c r="BL554" i="3"/>
  <c r="BL546" i="3"/>
  <c r="BL542" i="3"/>
  <c r="BL538" i="3"/>
  <c r="BL534" i="3"/>
  <c r="BL530" i="3"/>
  <c r="BL526" i="3"/>
  <c r="BL522" i="3"/>
  <c r="AZ522" i="3" s="1"/>
  <c r="BL516" i="3"/>
  <c r="BL512" i="3"/>
  <c r="BL506" i="3"/>
  <c r="BL502" i="3"/>
  <c r="BL498" i="3"/>
  <c r="AZ498" i="3" s="1"/>
  <c r="BL494" i="3"/>
  <c r="BL582" i="3"/>
  <c r="BL578" i="3"/>
  <c r="BL574"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BA574" i="3"/>
  <c r="AZ574" i="3" s="1"/>
  <c r="BA572" i="3"/>
  <c r="AZ572"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AZ496" i="3" s="1"/>
  <c r="BA494" i="3"/>
  <c r="BA583" i="3"/>
  <c r="BA581" i="3"/>
  <c r="BA575" i="3"/>
  <c r="BA573"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3" i="3"/>
  <c r="G571" i="3"/>
  <c r="G569" i="3"/>
  <c r="G567" i="3"/>
  <c r="G565" i="3"/>
  <c r="G563" i="3"/>
  <c r="G561" i="3"/>
  <c r="BL558" i="3"/>
  <c r="BA557" i="3"/>
  <c r="AZ557" i="3" s="1"/>
  <c r="AC557" i="3"/>
  <c r="G557" i="3" s="1"/>
  <c r="BQ557" i="3"/>
  <c r="BL557" i="3" s="1"/>
  <c r="BQ583" i="3"/>
  <c r="BL583" i="3" s="1"/>
  <c r="BQ581" i="3"/>
  <c r="BL581" i="3" s="1"/>
  <c r="BQ579" i="3"/>
  <c r="BQ577" i="3"/>
  <c r="BL577" i="3" s="1"/>
  <c r="BQ575" i="3"/>
  <c r="BQ573" i="3"/>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AC5"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c r="H23" i="37"/>
  <c r="U23" i="37" s="1"/>
  <c r="J32" i="37"/>
  <c r="AC32" i="37"/>
  <c r="F36" i="37"/>
  <c r="AA36" i="37" s="1"/>
  <c r="F37" i="37"/>
  <c r="AA37" i="37"/>
  <c r="F31" i="40"/>
  <c r="S31" i="40" s="1"/>
  <c r="H31" i="40"/>
  <c r="U31" i="40"/>
  <c r="F32" i="40"/>
  <c r="S32" i="40" s="1"/>
  <c r="H32" i="40"/>
  <c r="AB32" i="40"/>
  <c r="J36" i="40"/>
  <c r="AC36" i="40" s="1"/>
  <c r="H19" i="37"/>
  <c r="AB19" i="37" s="1"/>
  <c r="H42" i="33"/>
  <c r="AB42" i="33" s="1"/>
  <c r="J43" i="33"/>
  <c r="AC43" i="33" s="1"/>
  <c r="S28" i="31"/>
  <c r="S27" i="31"/>
  <c r="S26" i="31"/>
  <c r="U14" i="40"/>
  <c r="W23" i="35"/>
  <c r="U39" i="37"/>
  <c r="U26" i="37"/>
  <c r="W47" i="34"/>
  <c r="AC36" i="34"/>
  <c r="AA13" i="33"/>
  <c r="AC31" i="33"/>
  <c r="AC45" i="33"/>
  <c r="W44" i="33"/>
  <c r="U11" i="33"/>
  <c r="AB38" i="21"/>
  <c r="F43" i="33"/>
  <c r="S43" i="33" s="1"/>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S19" i="40" s="1"/>
  <c r="S14" i="40"/>
  <c r="AC13" i="40"/>
  <c r="AB33" i="40"/>
  <c r="U45" i="39"/>
  <c r="AB45" i="39"/>
  <c r="AB44" i="39"/>
  <c r="U44" i="39"/>
  <c r="H37" i="39"/>
  <c r="AB37" i="39"/>
  <c r="AC37" i="39"/>
  <c r="W37" i="39"/>
  <c r="H25" i="39"/>
  <c r="AB25" i="39" s="1"/>
  <c r="J25" i="39"/>
  <c r="AC25" i="39" s="1"/>
  <c r="F25" i="39"/>
  <c r="AA25" i="39" s="1"/>
  <c r="H15" i="39"/>
  <c r="U15" i="39" s="1"/>
  <c r="H41" i="39"/>
  <c r="AB41" i="39" s="1"/>
  <c r="W9" i="39"/>
  <c r="W8" i="39"/>
  <c r="J19" i="40"/>
  <c r="AC19" i="40" s="1"/>
  <c r="J50" i="40"/>
  <c r="H103" i="9"/>
  <c r="D8" i="53" s="1"/>
  <c r="B16" i="53"/>
  <c r="B33" i="72" s="1"/>
  <c r="C7" i="34"/>
  <c r="W35" i="40"/>
  <c r="A118" i="9"/>
  <c r="A4" i="52"/>
  <c r="B41" i="72" s="1"/>
  <c r="J11" i="39"/>
  <c r="AC11" i="39" s="1"/>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55" i="3"/>
  <c r="AZ152"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AZ222" i="3"/>
  <c r="G342" i="3"/>
  <c r="BL345" i="3"/>
  <c r="G346" i="3"/>
  <c r="BL349" i="3"/>
  <c r="AZ349" i="3" s="1"/>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1" i="3"/>
  <c r="BA379" i="3"/>
  <c r="AZ379" i="3" s="1"/>
  <c r="BL380" i="3"/>
  <c r="AZ380" i="3" s="1"/>
  <c r="G381" i="3"/>
  <c r="BA383" i="3"/>
  <c r="BL384" i="3"/>
  <c r="G385" i="3"/>
  <c r="BA387" i="3"/>
  <c r="AZ387" i="3" s="1"/>
  <c r="BL388" i="3"/>
  <c r="G389" i="3"/>
  <c r="BA391" i="3"/>
  <c r="AZ391" i="3" s="1"/>
  <c r="BL392" i="3"/>
  <c r="G393" i="3"/>
  <c r="AZ291" i="3"/>
  <c r="BO5" i="3"/>
  <c r="BM5" i="3"/>
  <c r="BJ5" i="3"/>
  <c r="BH5" i="3"/>
  <c r="BF5" i="3"/>
  <c r="BD5" i="3"/>
  <c r="AZ506" i="3"/>
  <c r="G548" i="3"/>
  <c r="G538" i="3"/>
  <c r="G520" i="3"/>
  <c r="G502" i="3"/>
  <c r="BS5" i="3"/>
  <c r="BP5" i="3"/>
  <c r="BN5" i="3"/>
  <c r="G29" i="6" s="1"/>
  <c r="BK5" i="3"/>
  <c r="BI5" i="3"/>
  <c r="BG5" i="3"/>
  <c r="BE5" i="3"/>
  <c r="BC5" i="3"/>
  <c r="G17" i="3"/>
  <c r="BA17" i="3"/>
  <c r="BT5" i="3"/>
  <c r="BA15" i="3"/>
  <c r="BB5" i="3"/>
  <c r="BR5" i="3"/>
  <c r="AZ392" i="3"/>
  <c r="AZ499" i="3"/>
  <c r="G509" i="3"/>
  <c r="BL493" i="3"/>
  <c r="AZ493" i="3" s="1"/>
  <c r="U36" i="40"/>
  <c r="F83" i="43"/>
  <c r="H85" i="43" s="1"/>
  <c r="F50" i="43"/>
  <c r="H54" i="43" s="1"/>
  <c r="F72" i="43"/>
  <c r="H75" i="43" s="1"/>
  <c r="U17" i="39"/>
  <c r="S14" i="35"/>
  <c r="U43" i="21"/>
  <c r="U35" i="21"/>
  <c r="AC35"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130"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BL14" i="3"/>
  <c r="AC13" i="34"/>
  <c r="AA47" i="34"/>
  <c r="W28" i="37"/>
  <c r="S19" i="39"/>
  <c r="F12" i="33"/>
  <c r="H12" i="39"/>
  <c r="AB12" i="39"/>
  <c r="F39" i="40"/>
  <c r="BA14" i="3"/>
  <c r="AZ224" i="3"/>
  <c r="AZ254" i="3"/>
  <c r="AZ297" i="3"/>
  <c r="B12" i="1"/>
  <c r="E12" i="1" s="1"/>
  <c r="B10" i="1"/>
  <c r="E10" i="1" s="1"/>
  <c r="K12" i="1"/>
  <c r="M12" i="1" s="1"/>
  <c r="S13" i="1"/>
  <c r="AR13" i="1" s="1"/>
  <c r="R13" i="1"/>
  <c r="J51" i="67"/>
  <c r="AC34" i="33"/>
  <c r="AA34" i="33"/>
  <c r="AB37" i="40"/>
  <c r="S35" i="40"/>
  <c r="U35" i="40"/>
  <c r="W38" i="40"/>
  <c r="AA32" i="40"/>
  <c r="S17" i="40"/>
  <c r="S23" i="40"/>
  <c r="AC17" i="40"/>
  <c r="AC15" i="40"/>
  <c r="AB27" i="40"/>
  <c r="AA19" i="40"/>
  <c r="S28" i="40"/>
  <c r="AA27" i="40"/>
  <c r="U21" i="40"/>
  <c r="U37" i="39"/>
  <c r="S37" i="39"/>
  <c r="U35" i="39"/>
  <c r="F32" i="39"/>
  <c r="AA32" i="39" s="1"/>
  <c r="F106" i="39"/>
  <c r="G106" i="39" s="1"/>
  <c r="H106" i="39" s="1"/>
  <c r="I106" i="39" s="1"/>
  <c r="J106" i="39" s="1"/>
  <c r="K106" i="39" s="1"/>
  <c r="L106" i="39" s="1"/>
  <c r="M106" i="39" s="1"/>
  <c r="W19" i="39"/>
  <c r="U19" i="39"/>
  <c r="S17" i="39"/>
  <c r="AA12" i="39"/>
  <c r="S9" i="39"/>
  <c r="U14" i="39"/>
  <c r="U12"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AB39" i="21"/>
  <c r="S39" i="21"/>
  <c r="AA36" i="21"/>
  <c r="J15" i="21"/>
  <c r="W15" i="21" s="1"/>
  <c r="F77" i="21"/>
  <c r="G77" i="21" s="1"/>
  <c r="E85" i="21"/>
  <c r="F23" i="21" s="1"/>
  <c r="S23" i="21" s="1"/>
  <c r="AA14" i="21"/>
  <c r="D120" i="9"/>
  <c r="D121" i="9" s="1"/>
  <c r="D7" i="52" s="1"/>
  <c r="C18" i="9"/>
  <c r="D18" i="9" s="1"/>
  <c r="F34" i="67"/>
  <c r="F62" i="67" s="1"/>
  <c r="M20" i="67"/>
  <c r="F34" i="15"/>
  <c r="F62" i="15" s="1"/>
  <c r="G13" i="3"/>
  <c r="BA13" i="3"/>
  <c r="BL17" i="3"/>
  <c r="AZ17" i="3" s="1"/>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AB13" i="40"/>
  <c r="U15" i="40"/>
  <c r="AB17" i="40"/>
  <c r="U8" i="40"/>
  <c r="S8" i="40"/>
  <c r="AA14" i="39"/>
  <c r="U43" i="39"/>
  <c r="AB43" i="39"/>
  <c r="AB11" i="39"/>
  <c r="U11" i="39"/>
  <c r="W17" i="39"/>
  <c r="AC17" i="39"/>
  <c r="AA45" i="39"/>
  <c r="S8" i="39"/>
  <c r="S20" i="36"/>
  <c r="AC25" i="36"/>
  <c r="U32" i="36"/>
  <c r="W29" i="36"/>
  <c r="AC20" i="36"/>
  <c r="U25" i="36"/>
  <c r="AB28" i="36"/>
  <c r="AA13" i="36"/>
  <c r="W9" i="36"/>
  <c r="W22" i="36"/>
  <c r="W23" i="36"/>
  <c r="AB20"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AC14" i="34"/>
  <c r="AC32" i="34"/>
  <c r="AC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W13" i="33"/>
  <c r="AC13" i="33"/>
  <c r="U15" i="33"/>
  <c r="S11" i="33"/>
  <c r="U37" i="33"/>
  <c r="AC28" i="33"/>
  <c r="S28" i="33"/>
  <c r="W9" i="33"/>
  <c r="W8" i="33"/>
  <c r="S45" i="21"/>
  <c r="F33" i="21"/>
  <c r="AA33" i="21" s="1"/>
  <c r="J33" i="21"/>
  <c r="AC33" i="21" s="1"/>
  <c r="H33" i="21"/>
  <c r="AB33" i="21" s="1"/>
  <c r="AA26" i="21"/>
  <c r="AB46" i="21"/>
  <c r="AB31" i="21"/>
  <c r="U31" i="21"/>
  <c r="U13" i="21"/>
  <c r="AB13" i="21"/>
  <c r="H15" i="21"/>
  <c r="U15" i="21" s="1"/>
  <c r="J17" i="21"/>
  <c r="AC17" i="21" s="1"/>
  <c r="W39" i="21"/>
  <c r="W30" i="21"/>
  <c r="S46" i="21"/>
  <c r="H45" i="21"/>
  <c r="U45" i="21" s="1"/>
  <c r="F29" i="21"/>
  <c r="AA29" i="21" s="1"/>
  <c r="F13" i="21"/>
  <c r="AA13" i="21" s="1"/>
  <c r="AC38" i="21"/>
  <c r="H9" i="21"/>
  <c r="U9" i="21" s="1"/>
  <c r="J9" i="21"/>
  <c r="AC9" i="21" s="1"/>
  <c r="J32" i="21"/>
  <c r="W32" i="21" s="1"/>
  <c r="F32" i="21"/>
  <c r="AA32" i="21" s="1"/>
  <c r="AA31" i="21"/>
  <c r="W29" i="21"/>
  <c r="K141" i="21"/>
  <c r="K144" i="21"/>
  <c r="K143" i="21"/>
  <c r="AA30" i="21"/>
  <c r="AC45" i="21"/>
  <c r="F10" i="21"/>
  <c r="AA10" i="21" s="1"/>
  <c r="K145" i="21"/>
  <c r="W31"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C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J23" i="21"/>
  <c r="W23" i="21" s="1"/>
  <c r="F85" i="21"/>
  <c r="G85" i="21" s="1"/>
  <c r="H23" i="21"/>
  <c r="U23" i="21" s="1"/>
  <c r="AP7" i="1"/>
  <c r="AB45" i="21"/>
  <c r="U32" i="39"/>
  <c r="W32" i="39"/>
  <c r="W23" i="37"/>
  <c r="J63" i="37"/>
  <c r="K63" i="37" s="1"/>
  <c r="L63" i="37" s="1"/>
  <c r="M63" i="37" s="1"/>
  <c r="J11" i="37"/>
  <c r="AC11" i="37" s="1"/>
  <c r="J11" i="34"/>
  <c r="W11" i="34" s="1"/>
  <c r="AB36" i="33"/>
  <c r="W27" i="33"/>
  <c r="W25" i="33"/>
  <c r="AC25" i="33"/>
  <c r="AB19"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67"/>
  <c r="AO13" i="1"/>
  <c r="L47" i="67"/>
  <c r="F6" i="67"/>
  <c r="B11" i="76"/>
  <c r="B13" i="76"/>
  <c r="E12" i="76"/>
  <c r="F20" i="31"/>
  <c r="F13" i="67"/>
  <c r="F26" i="67"/>
  <c r="B12" i="76"/>
  <c r="F4" i="73"/>
  <c r="E10" i="76"/>
  <c r="F9" i="67"/>
  <c r="M9" i="67"/>
  <c r="E13" i="76"/>
  <c r="F5" i="73"/>
  <c r="F6" i="73"/>
  <c r="F38" i="67"/>
  <c r="M8" i="67"/>
  <c r="E2" i="68"/>
  <c r="B7" i="76"/>
  <c r="B8" i="76"/>
  <c r="E8" i="76"/>
  <c r="E7" i="76"/>
  <c r="M28" i="67"/>
  <c r="F37" i="67"/>
  <c r="M24" i="67"/>
  <c r="F36" i="67"/>
  <c r="M22" i="67"/>
  <c r="M29" i="67"/>
  <c r="C76" i="67"/>
  <c r="E2" i="69"/>
  <c r="B10" i="76"/>
  <c r="B9" i="76"/>
  <c r="F16" i="67"/>
  <c r="M23" i="67"/>
  <c r="J15" i="67"/>
  <c r="E11" i="76"/>
  <c r="D6" i="73"/>
  <c r="F42" i="67"/>
  <c r="E9" i="76"/>
  <c r="F7" i="73"/>
  <c r="F3" i="73"/>
  <c r="F40" i="67"/>
  <c r="AB44" i="21" l="1"/>
  <c r="S44" i="21"/>
  <c r="W44" i="21"/>
  <c r="AC21" i="21"/>
  <c r="S17" i="21"/>
  <c r="U34" i="21"/>
  <c r="F101" i="21"/>
  <c r="G101" i="21" s="1"/>
  <c r="H101" i="21" s="1"/>
  <c r="I101" i="21" s="1"/>
  <c r="J101" i="21" s="1"/>
  <c r="K101" i="21" s="1"/>
  <c r="L101" i="21" s="1"/>
  <c r="M101" i="21" s="1"/>
  <c r="H32" i="21"/>
  <c r="AB32" i="21" s="1"/>
  <c r="U17" i="21"/>
  <c r="W17" i="21"/>
  <c r="G81" i="21"/>
  <c r="H19" i="21"/>
  <c r="J19" i="21"/>
  <c r="AC19" i="21" s="1"/>
  <c r="F19" i="21"/>
  <c r="AA19" i="21" s="1"/>
  <c r="AA9" i="21"/>
  <c r="AB9" i="21"/>
  <c r="AB42" i="21"/>
  <c r="H113" i="21"/>
  <c r="H37" i="21"/>
  <c r="U37" i="21" s="1"/>
  <c r="F37" i="21"/>
  <c r="AA37" i="21" s="1"/>
  <c r="J37" i="21"/>
  <c r="W37" i="21" s="1"/>
  <c r="W41" i="21"/>
  <c r="W43" i="21"/>
  <c r="AA41" i="21"/>
  <c r="S35" i="21"/>
  <c r="AA43" i="21"/>
  <c r="S42" i="21"/>
  <c r="S27" i="21"/>
  <c r="U27" i="21"/>
  <c r="W25" i="21"/>
  <c r="AB25" i="21"/>
  <c r="AA25" i="21"/>
  <c r="AA23" i="21"/>
  <c r="AC23" i="21"/>
  <c r="AB15" i="21"/>
  <c r="AC15" i="21"/>
  <c r="S40" i="21"/>
  <c r="U40" i="21"/>
  <c r="AC40" i="21"/>
  <c r="AA38" i="21"/>
  <c r="W42" i="21"/>
  <c r="W36" i="21"/>
  <c r="S32" i="21"/>
  <c r="F100" i="39"/>
  <c r="J27" i="39"/>
  <c r="W27" i="39" s="1"/>
  <c r="J21" i="39"/>
  <c r="W21" i="39" s="1"/>
  <c r="G94" i="39"/>
  <c r="H21" i="39"/>
  <c r="U21" i="39" s="1"/>
  <c r="F21" i="39"/>
  <c r="AA21" i="39" s="1"/>
  <c r="F15" i="39"/>
  <c r="AA15" i="39" s="1"/>
  <c r="J15" i="39"/>
  <c r="W15" i="39" s="1"/>
  <c r="W11" i="39"/>
  <c r="AC27" i="39"/>
  <c r="W25" i="39"/>
  <c r="U42" i="39"/>
  <c r="S42" i="39"/>
  <c r="AA41" i="39"/>
  <c r="AB39" i="39"/>
  <c r="U38" i="39"/>
  <c r="F34" i="39"/>
  <c r="AA34" i="39" s="1"/>
  <c r="AC31" i="39"/>
  <c r="W29" i="39"/>
  <c r="U25" i="39"/>
  <c r="W23" i="39"/>
  <c r="AB8" i="39"/>
  <c r="W34" i="39"/>
  <c r="AB34" i="39"/>
  <c r="AC13" i="39"/>
  <c r="AA13" i="39"/>
  <c r="U13" i="39"/>
  <c r="AB13" i="39"/>
  <c r="AC41" i="39"/>
  <c r="U41" i="39"/>
  <c r="U40" i="39"/>
  <c r="W40" i="39"/>
  <c r="AA39" i="39"/>
  <c r="B75" i="43"/>
  <c r="B79" i="43"/>
  <c r="C29" i="39"/>
  <c r="B41" i="1"/>
  <c r="M18" i="15"/>
  <c r="F30" i="11"/>
  <c r="C48" i="11" s="1"/>
  <c r="D68" i="9"/>
  <c r="F30" i="69"/>
  <c r="F48" i="69" s="1"/>
  <c r="F31" i="12"/>
  <c r="F28" i="15"/>
  <c r="F32" i="67"/>
  <c r="F60" i="67" s="1"/>
  <c r="F28" i="67"/>
  <c r="F54" i="9"/>
  <c r="F32" i="15"/>
  <c r="F60" i="15" s="1"/>
  <c r="F52" i="9"/>
  <c r="F30" i="68"/>
  <c r="F48" i="68" s="1"/>
  <c r="F29" i="6"/>
  <c r="G1" i="69"/>
  <c r="K1" i="12"/>
  <c r="G1" i="15"/>
  <c r="B6" i="1"/>
  <c r="E6" i="1" s="1"/>
  <c r="G1" i="68"/>
  <c r="M47" i="9"/>
  <c r="C7" i="35"/>
  <c r="C48" i="35" s="1"/>
  <c r="D48" i="35" s="1"/>
  <c r="C7" i="37"/>
  <c r="C52" i="37" s="1"/>
  <c r="D52" i="37" s="1"/>
  <c r="C7" i="40"/>
  <c r="C63" i="40" s="1"/>
  <c r="C65" i="40" s="1"/>
  <c r="C7" i="39"/>
  <c r="C67" i="39" s="1"/>
  <c r="C7" i="21"/>
  <c r="C42" i="1"/>
  <c r="C24" i="12" s="1"/>
  <c r="AZ579" i="3"/>
  <c r="AZ571" i="3"/>
  <c r="AZ570" i="3"/>
  <c r="AB23" i="21"/>
  <c r="W9" i="21"/>
  <c r="S13" i="21"/>
  <c r="AB35" i="37"/>
  <c r="U42" i="33"/>
  <c r="AA35" i="33"/>
  <c r="S20" i="35"/>
  <c r="AA22" i="36"/>
  <c r="U30" i="33"/>
  <c r="U33" i="34"/>
  <c r="AA23" i="39"/>
  <c r="AZ362" i="3"/>
  <c r="AZ390" i="3"/>
  <c r="AZ351" i="3"/>
  <c r="AZ336" i="3"/>
  <c r="AA43" i="33"/>
  <c r="W36" i="40"/>
  <c r="AA31" i="40"/>
  <c r="AB23" i="37"/>
  <c r="AA24" i="35"/>
  <c r="G521" i="3"/>
  <c r="AZ539" i="3"/>
  <c r="AZ529" i="3"/>
  <c r="AZ518" i="3"/>
  <c r="AZ580" i="3"/>
  <c r="AB45" i="33"/>
  <c r="W31" i="34"/>
  <c r="U30" i="21"/>
  <c r="AC11" i="40"/>
  <c r="B72" i="43"/>
  <c r="C15" i="39"/>
  <c r="F31" i="33"/>
  <c r="H31" i="33"/>
  <c r="J12" i="34"/>
  <c r="F12" i="34"/>
  <c r="S12" i="34" s="1"/>
  <c r="H12" i="34"/>
  <c r="J46" i="34"/>
  <c r="F46" i="34"/>
  <c r="J25" i="35"/>
  <c r="H25" i="35"/>
  <c r="AB31" i="36"/>
  <c r="U31" i="36"/>
  <c r="H31" i="39"/>
  <c r="F31" i="39"/>
  <c r="AZ577" i="3"/>
  <c r="AZ513" i="3"/>
  <c r="AZ575" i="3"/>
  <c r="AZ502" i="3"/>
  <c r="W11" i="35"/>
  <c r="AC11" i="35"/>
  <c r="BL587" i="3"/>
  <c r="AZ587" i="3" s="1"/>
  <c r="AA17" i="33"/>
  <c r="AB19" i="40"/>
  <c r="AZ322" i="3"/>
  <c r="AZ313" i="3"/>
  <c r="AZ394" i="3"/>
  <c r="AZ519" i="3"/>
  <c r="AZ531" i="3"/>
  <c r="BL573" i="3"/>
  <c r="AZ573" i="3" s="1"/>
  <c r="AZ583" i="3"/>
  <c r="S44" i="34"/>
  <c r="J13" i="21"/>
  <c r="F28" i="21"/>
  <c r="J14" i="21"/>
  <c r="H14" i="21"/>
  <c r="AC9" i="34"/>
  <c r="W9" i="34"/>
  <c r="S9" i="40"/>
  <c r="AA9" i="40"/>
  <c r="AA31" i="35"/>
  <c r="S31" i="35"/>
  <c r="AZ306" i="3"/>
  <c r="AA25" i="33"/>
  <c r="D6" i="52"/>
  <c r="AA23" i="37"/>
  <c r="S17" i="37"/>
  <c r="AA15" i="21"/>
  <c r="W33" i="34"/>
  <c r="S43" i="34"/>
  <c r="W27" i="37"/>
  <c r="AZ14" i="3"/>
  <c r="AZ388" i="3"/>
  <c r="AZ345" i="3"/>
  <c r="AZ334" i="3"/>
  <c r="AZ372" i="3"/>
  <c r="AZ347" i="3"/>
  <c r="AZ337" i="3"/>
  <c r="AZ376" i="3"/>
  <c r="AZ309" i="3"/>
  <c r="AA11" i="39"/>
  <c r="H5" i="3"/>
  <c r="AC12" i="37"/>
  <c r="H27" i="34"/>
  <c r="AZ515" i="3"/>
  <c r="AZ523" i="3"/>
  <c r="AZ547" i="3"/>
  <c r="AZ569" i="3"/>
  <c r="AZ516" i="3"/>
  <c r="AZ524" i="3"/>
  <c r="AC28" i="21"/>
  <c r="U46" i="34"/>
  <c r="H28" i="21"/>
  <c r="AB17" i="34"/>
  <c r="AA41" i="33"/>
  <c r="U23" i="34"/>
  <c r="J43" i="39"/>
  <c r="F43" i="39"/>
  <c r="AA38" i="39"/>
  <c r="S38" i="39"/>
  <c r="BL585" i="3"/>
  <c r="AZ585" i="3" s="1"/>
  <c r="F12" i="35"/>
  <c r="J12" i="35"/>
  <c r="H25" i="37"/>
  <c r="F25" i="37"/>
  <c r="G570" i="3"/>
  <c r="AZ466" i="3"/>
  <c r="G587" i="3"/>
  <c r="G551" i="3"/>
  <c r="BL550" i="3"/>
  <c r="G542" i="3"/>
  <c r="AZ400" i="3"/>
  <c r="AZ402" i="3"/>
  <c r="AZ406" i="3"/>
  <c r="AZ429" i="3"/>
  <c r="AZ443" i="3"/>
  <c r="AZ471" i="3"/>
  <c r="AZ487" i="3"/>
  <c r="S76" i="71"/>
  <c r="B75" i="71"/>
  <c r="B74" i="71" s="1"/>
  <c r="U80" i="71"/>
  <c r="E79" i="71"/>
  <c r="E78" i="71"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L367" i="3"/>
  <c r="BL375" i="3"/>
  <c r="AZ375" i="3" s="1"/>
  <c r="BA384" i="3"/>
  <c r="AZ384" i="3" s="1"/>
  <c r="BA396" i="3"/>
  <c r="BA208" i="3"/>
  <c r="AZ208" i="3" s="1"/>
  <c r="BA225" i="3"/>
  <c r="BA226" i="3"/>
  <c r="AA21" i="37"/>
  <c r="S21" i="37"/>
  <c r="AA21" i="34"/>
  <c r="S21" i="34"/>
  <c r="AA25" i="40"/>
  <c r="S25" i="40"/>
  <c r="G574"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BL368" i="3"/>
  <c r="BA374" i="3"/>
  <c r="AZ374" i="3" s="1"/>
  <c r="BL386" i="3"/>
  <c r="G392" i="3"/>
  <c r="G209" i="3"/>
  <c r="BA210" i="3"/>
  <c r="AZ210" i="3" s="1"/>
  <c r="BL210" i="3"/>
  <c r="BL213" i="3"/>
  <c r="BL215" i="3"/>
  <c r="G221" i="3"/>
  <c r="BL227" i="3"/>
  <c r="BL230" i="3"/>
  <c r="BL269" i="3"/>
  <c r="BA551" i="3"/>
  <c r="AZ551" i="3" s="1"/>
  <c r="BA550" i="3"/>
  <c r="BL548" i="3"/>
  <c r="AZ548" i="3" s="1"/>
  <c r="G398" i="3"/>
  <c r="BL400" i="3"/>
  <c r="BL408" i="3"/>
  <c r="AZ408" i="3" s="1"/>
  <c r="BL411" i="3"/>
  <c r="AZ411" i="3" s="1"/>
  <c r="BL413" i="3"/>
  <c r="AZ413" i="3" s="1"/>
  <c r="G415" i="3"/>
  <c r="BL417" i="3"/>
  <c r="AZ417" i="3" s="1"/>
  <c r="BL418" i="3"/>
  <c r="BL420" i="3"/>
  <c r="G422" i="3"/>
  <c r="BL424" i="3"/>
  <c r="G426" i="3"/>
  <c r="BL428" i="3"/>
  <c r="AZ428" i="3" s="1"/>
  <c r="BL429" i="3"/>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BA388" i="3"/>
  <c r="BA209" i="3"/>
  <c r="BL216" i="3"/>
  <c r="BA149" i="3"/>
  <c r="AZ149" i="3" s="1"/>
  <c r="BL161" i="3"/>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G158" i="3"/>
  <c r="BL162" i="3"/>
  <c r="BA168" i="3"/>
  <c r="AZ168" i="3" s="1"/>
  <c r="G175" i="3"/>
  <c r="BA176" i="3"/>
  <c r="AZ176" i="3" s="1"/>
  <c r="BL179" i="3"/>
  <c r="AZ179" i="3" s="1"/>
  <c r="BA181" i="3"/>
  <c r="AZ181" i="3" s="1"/>
  <c r="BA182" i="3"/>
  <c r="BA194" i="3"/>
  <c r="BL198" i="3"/>
  <c r="BL199" i="3"/>
  <c r="AZ199" i="3" s="1"/>
  <c r="BA200" i="3"/>
  <c r="AZ200" i="3" s="1"/>
  <c r="BL30" i="3"/>
  <c r="BL31" i="3"/>
  <c r="AZ31" i="3" s="1"/>
  <c r="AB39" i="71"/>
  <c r="AB33" i="71"/>
  <c r="AB34" i="71"/>
  <c r="C44" i="71"/>
  <c r="D43" i="71"/>
  <c r="D54" i="71"/>
  <c r="C55" i="71"/>
  <c r="V68" i="71"/>
  <c r="Q68" i="71"/>
  <c r="F67" i="7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BA160" i="3"/>
  <c r="AZ160" i="3" s="1"/>
  <c r="BL167" i="3"/>
  <c r="AZ167" i="3" s="1"/>
  <c r="BA185" i="3"/>
  <c r="BL191" i="3"/>
  <c r="AZ191" i="3" s="1"/>
  <c r="G27" i="3"/>
  <c r="BA27" i="3"/>
  <c r="AZ27" i="3" s="1"/>
  <c r="BA33" i="3"/>
  <c r="BA88" i="3"/>
  <c r="AZ103" i="3"/>
  <c r="D67" i="71"/>
  <c r="C66" i="71"/>
  <c r="O67" i="71"/>
  <c r="G364" i="3"/>
  <c r="BA367" i="3"/>
  <c r="AZ367" i="3" s="1"/>
  <c r="BA370" i="3"/>
  <c r="AZ370" i="3" s="1"/>
  <c r="BA386" i="3"/>
  <c r="AZ386" i="3" s="1"/>
  <c r="G397" i="3"/>
  <c r="G210" i="3"/>
  <c r="BA216" i="3"/>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2" i="3"/>
  <c r="AZ162" i="3" s="1"/>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0" i="3"/>
  <c r="G191" i="3"/>
  <c r="BA192" i="3"/>
  <c r="AZ192" i="3" s="1"/>
  <c r="BL194" i="3"/>
  <c r="BA198" i="3"/>
  <c r="BA202" i="3"/>
  <c r="BL206" i="3"/>
  <c r="BA19" i="3"/>
  <c r="AZ19" i="3" s="1"/>
  <c r="BA30" i="3"/>
  <c r="AZ64" i="3"/>
  <c r="AZ70" i="3"/>
  <c r="G73" i="3"/>
  <c r="G37" i="3"/>
  <c r="BL40" i="3"/>
  <c r="BL41" i="3"/>
  <c r="AZ41" i="3" s="1"/>
  <c r="BL45" i="3"/>
  <c r="BA48" i="3"/>
  <c r="BA49" i="3"/>
  <c r="AZ49" i="3" s="1"/>
  <c r="BA51" i="3"/>
  <c r="AZ51" i="3" s="1"/>
  <c r="G55" i="3"/>
  <c r="BL56" i="3"/>
  <c r="BA58" i="3"/>
  <c r="BL59" i="3"/>
  <c r="AZ59" i="3" s="1"/>
  <c r="BL60" i="3"/>
  <c r="BA61" i="3"/>
  <c r="AZ61" i="3" s="1"/>
  <c r="BA68" i="3"/>
  <c r="BA80" i="3"/>
  <c r="BL84" i="3"/>
  <c r="AA21" i="33"/>
  <c r="S21" i="33"/>
  <c r="C25" i="40"/>
  <c r="B88" i="43"/>
  <c r="T32" i="71"/>
  <c r="D32" i="71"/>
  <c r="Y30" i="71"/>
  <c r="Z30" i="71" s="1"/>
  <c r="X31" i="71"/>
  <c r="B34" i="71"/>
  <c r="B35" i="71" s="1"/>
  <c r="B36" i="71" s="1"/>
  <c r="S36" i="71" s="1"/>
  <c r="X26" i="71"/>
  <c r="X39" i="71"/>
  <c r="X34" i="71"/>
  <c r="S68" i="71"/>
  <c r="B67" i="71"/>
  <c r="N68"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AZ66" i="3" s="1"/>
  <c r="BL69" i="3"/>
  <c r="AZ69" i="3" s="1"/>
  <c r="G70" i="3"/>
  <c r="BL70" i="3"/>
  <c r="BL71" i="3"/>
  <c r="BL72" i="3"/>
  <c r="AZ72" i="3" s="1"/>
  <c r="G74" i="3"/>
  <c r="BA75" i="3"/>
  <c r="AZ75" i="3" s="1"/>
  <c r="BL86" i="3"/>
  <c r="AZ86" i="3" s="1"/>
  <c r="G87" i="3"/>
  <c r="BA91" i="3"/>
  <c r="AZ91" i="3" s="1"/>
  <c r="BA98" i="3"/>
  <c r="BA100" i="3"/>
  <c r="AZ100" i="3" s="1"/>
  <c r="BA102" i="3"/>
  <c r="BL105" i="3"/>
  <c r="AZ105" i="3" s="1"/>
  <c r="BL107" i="3"/>
  <c r="BA110" i="3"/>
  <c r="AZ110" i="3" s="1"/>
  <c r="F3" i="35"/>
  <c r="AB29" i="39"/>
  <c r="U29" i="39"/>
  <c r="B27" i="71"/>
  <c r="B26" i="71" s="1"/>
  <c r="S28" i="71"/>
  <c r="C26" i="71"/>
  <c r="D26" i="71" s="1"/>
  <c r="D27" i="71"/>
  <c r="D34" i="71"/>
  <c r="C35" i="71"/>
  <c r="Y38" i="71"/>
  <c r="Z38" i="71" s="1"/>
  <c r="Y27" i="71"/>
  <c r="Z27" i="71"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BL73" i="3"/>
  <c r="BA74" i="3"/>
  <c r="AZ74" i="3" s="1"/>
  <c r="BL79" i="3"/>
  <c r="BL81" i="3"/>
  <c r="BA82" i="3"/>
  <c r="AZ82" i="3" s="1"/>
  <c r="BL83" i="3"/>
  <c r="G86" i="3"/>
  <c r="BA87" i="3"/>
  <c r="BA89" i="3"/>
  <c r="BL93" i="3"/>
  <c r="BL94" i="3"/>
  <c r="AZ94" i="3" s="1"/>
  <c r="BL101" i="3"/>
  <c r="BL102" i="3"/>
  <c r="G104" i="3"/>
  <c r="G105" i="3"/>
  <c r="BL106" i="3"/>
  <c r="BA108" i="3"/>
  <c r="AZ108" i="3" s="1"/>
  <c r="BL111" i="3"/>
  <c r="AZ111" i="3" s="1"/>
  <c r="P27" i="6"/>
  <c r="T52" i="71"/>
  <c r="D52" i="71"/>
  <c r="D28" i="71"/>
  <c r="U28" i="71" s="1"/>
  <c r="T28"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B77" i="43"/>
  <c r="AA18" i="35"/>
  <c r="AA28" i="71"/>
  <c r="E75" i="71"/>
  <c r="E74" i="71" s="1"/>
  <c r="AB25" i="71"/>
  <c r="Y25" i="71"/>
  <c r="Z25" i="71" s="1"/>
  <c r="Y29" i="71"/>
  <c r="Z29" i="71" s="1"/>
  <c r="AB32" i="71"/>
  <c r="X33" i="71"/>
  <c r="AB37" i="71"/>
  <c r="AA27" i="71"/>
  <c r="AB26" i="71"/>
  <c r="C83" i="71"/>
  <c r="C79" i="71"/>
  <c r="C75" i="71"/>
  <c r="C71" i="71"/>
  <c r="C39" i="71"/>
  <c r="Y28" i="71"/>
  <c r="Z28" i="71" s="1"/>
  <c r="X28" i="71"/>
  <c r="X32" i="71"/>
  <c r="F38" i="71"/>
  <c r="F39" i="71" s="1"/>
  <c r="F40" i="71" s="1"/>
  <c r="V40" i="71" s="1"/>
  <c r="AB38" i="71"/>
  <c r="B79" i="71"/>
  <c r="B78" i="71" s="1"/>
  <c r="BA71" i="3"/>
  <c r="AZ71" i="3" s="1"/>
  <c r="G76" i="3"/>
  <c r="BL77" i="3"/>
  <c r="AZ77" i="3" s="1"/>
  <c r="BA79" i="3"/>
  <c r="G82" i="3"/>
  <c r="G83" i="3"/>
  <c r="BA84" i="3"/>
  <c r="AZ84" i="3" s="1"/>
  <c r="BL88" i="3"/>
  <c r="G90" i="3"/>
  <c r="BL90" i="3"/>
  <c r="BL92" i="3"/>
  <c r="G101" i="3"/>
  <c r="BA101" i="3"/>
  <c r="AZ101" i="3" s="1"/>
  <c r="G108" i="3"/>
  <c r="G109" i="3"/>
  <c r="BL112" i="3"/>
  <c r="AB21" i="33"/>
  <c r="U25" i="40"/>
  <c r="B68" i="4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B13" i="70"/>
  <c r="F68" i="67"/>
  <c r="F64" i="67"/>
  <c r="D9" i="69"/>
  <c r="F27" i="69"/>
  <c r="C36" i="69"/>
  <c r="F6" i="15"/>
  <c r="F9" i="15"/>
  <c r="M23" i="15"/>
  <c r="F42" i="15"/>
  <c r="F16" i="15"/>
  <c r="L48" i="15"/>
  <c r="F37" i="15"/>
  <c r="M26" i="67"/>
  <c r="M24" i="15"/>
  <c r="F7" i="67"/>
  <c r="F36" i="15"/>
  <c r="F38" i="15"/>
  <c r="F7" i="15"/>
  <c r="F13" i="15"/>
  <c r="F8" i="67"/>
  <c r="J15" i="15"/>
  <c r="D7" i="73"/>
  <c r="F43" i="15"/>
  <c r="D5" i="73"/>
  <c r="D9" i="68"/>
  <c r="M8" i="15"/>
  <c r="M9" i="15"/>
  <c r="M28" i="15"/>
  <c r="M26" i="15"/>
  <c r="M22" i="15"/>
  <c r="F8" i="15"/>
  <c r="C76" i="15"/>
  <c r="F26" i="15"/>
  <c r="M6" i="15"/>
  <c r="F40" i="15"/>
  <c r="M29" i="15"/>
  <c r="L47" i="15"/>
  <c r="D4" i="73"/>
  <c r="F43" i="67"/>
  <c r="M6" i="67"/>
  <c r="D3" i="73"/>
  <c r="S15" i="39" l="1"/>
  <c r="U32" i="21"/>
  <c r="S19" i="21"/>
  <c r="AB19" i="21"/>
  <c r="U19" i="21"/>
  <c r="W19" i="21"/>
  <c r="S37" i="21"/>
  <c r="G100" i="39"/>
  <c r="F27" i="39"/>
  <c r="H27" i="39"/>
  <c r="AB21" i="39"/>
  <c r="S21" i="39"/>
  <c r="S34" i="39"/>
  <c r="C30" i="11"/>
  <c r="F48" i="9"/>
  <c r="O52" i="9" s="1"/>
  <c r="M18" i="67"/>
  <c r="P6" i="1"/>
  <c r="C13" i="12" s="1"/>
  <c r="N94" i="46"/>
  <c r="J26" i="43"/>
  <c r="N370" i="46"/>
  <c r="F26" i="43"/>
  <c r="D26" i="43" s="1"/>
  <c r="C25" i="43" s="1"/>
  <c r="K16" i="1"/>
  <c r="E26" i="43"/>
  <c r="L59" i="15"/>
  <c r="Q74" i="15" s="1"/>
  <c r="N59" i="15"/>
  <c r="M7" i="15"/>
  <c r="J6" i="15" s="1"/>
  <c r="J18" i="15" s="1"/>
  <c r="F50" i="15"/>
  <c r="F68" i="15"/>
  <c r="F66" i="15"/>
  <c r="F64" i="15"/>
  <c r="J7" i="36"/>
  <c r="F31" i="15"/>
  <c r="F51" i="15"/>
  <c r="F59" i="15" s="1"/>
  <c r="C6" i="15"/>
  <c r="C32" i="15" s="1"/>
  <c r="Q71" i="15"/>
  <c r="C27" i="15"/>
  <c r="C6" i="67"/>
  <c r="C32" i="67" s="1"/>
  <c r="F51" i="67"/>
  <c r="F31" i="67"/>
  <c r="M7" i="67"/>
  <c r="J6" i="67" s="1"/>
  <c r="J18" i="67" s="1"/>
  <c r="F50" i="67"/>
  <c r="F71" i="15"/>
  <c r="F65" i="15"/>
  <c r="J53" i="15"/>
  <c r="L56" i="15" s="1"/>
  <c r="J57" i="15"/>
  <c r="J55" i="15" s="1"/>
  <c r="J58" i="15" s="1"/>
  <c r="Q50" i="15" s="1"/>
  <c r="L58" i="15"/>
  <c r="Q73" i="15" s="1"/>
  <c r="I54" i="15"/>
  <c r="F71" i="67"/>
  <c r="D39" i="71"/>
  <c r="C40" i="71"/>
  <c r="D83" i="71"/>
  <c r="C82" i="71"/>
  <c r="D82" i="71" s="1"/>
  <c r="T44" i="71"/>
  <c r="D44" i="71"/>
  <c r="AZ238" i="3"/>
  <c r="AZ454" i="3"/>
  <c r="AA43" i="39"/>
  <c r="S43" i="39"/>
  <c r="AC14" i="21"/>
  <c r="W14" i="21"/>
  <c r="AA31" i="39"/>
  <c r="S31" i="39"/>
  <c r="AB25" i="35"/>
  <c r="U25" i="35"/>
  <c r="AB12" i="34"/>
  <c r="U12" i="34"/>
  <c r="S31" i="33"/>
  <c r="AA31" i="33"/>
  <c r="G5" i="3"/>
  <c r="B3" i="3" s="1"/>
  <c r="D71" i="71"/>
  <c r="C70" i="71"/>
  <c r="D70" i="71" s="1"/>
  <c r="AZ63" i="3"/>
  <c r="AZ57" i="3"/>
  <c r="N67" i="71"/>
  <c r="B66" i="71"/>
  <c r="AZ58" i="3"/>
  <c r="AZ229" i="3"/>
  <c r="AZ218" i="3"/>
  <c r="AZ88" i="3"/>
  <c r="D55" i="71"/>
  <c r="C56" i="71"/>
  <c r="AZ435" i="3"/>
  <c r="AA25" i="37"/>
  <c r="S25" i="37"/>
  <c r="AC43" i="39"/>
  <c r="W43" i="39"/>
  <c r="AB28" i="21"/>
  <c r="U28" i="21"/>
  <c r="AA28" i="21"/>
  <c r="S28" i="21"/>
  <c r="AB31" i="39"/>
  <c r="U31" i="39"/>
  <c r="AC25" i="35"/>
  <c r="W25" i="35"/>
  <c r="G16" i="1"/>
  <c r="F10" i="39" s="1"/>
  <c r="AZ79" i="3"/>
  <c r="C74" i="71"/>
  <c r="D74" i="71" s="1"/>
  <c r="D75" i="71"/>
  <c r="AZ39" i="3"/>
  <c r="AZ21" i="3"/>
  <c r="AZ198" i="3"/>
  <c r="AZ249" i="3"/>
  <c r="AZ216" i="3"/>
  <c r="O65" i="71"/>
  <c r="O66" i="71"/>
  <c r="D66" i="71"/>
  <c r="F66" i="71"/>
  <c r="Q67" i="71"/>
  <c r="AZ194" i="3"/>
  <c r="AZ274" i="3"/>
  <c r="AZ223" i="3"/>
  <c r="AZ550" i="3"/>
  <c r="AZ368" i="3"/>
  <c r="AZ459" i="3"/>
  <c r="U25" i="37"/>
  <c r="AB25" i="37"/>
  <c r="AB27" i="34"/>
  <c r="U27" i="34"/>
  <c r="AC13" i="21"/>
  <c r="W13" i="21"/>
  <c r="AA46" i="34"/>
  <c r="S46" i="34"/>
  <c r="W12" i="34"/>
  <c r="AC12" i="34"/>
  <c r="D79" i="71"/>
  <c r="C78" i="71"/>
  <c r="D78" i="71" s="1"/>
  <c r="T60" i="71"/>
  <c r="D60" i="71"/>
  <c r="C36" i="71"/>
  <c r="D35" i="71"/>
  <c r="AZ102" i="3"/>
  <c r="AZ118" i="3"/>
  <c r="AZ182" i="3"/>
  <c r="AZ263" i="3"/>
  <c r="AZ243" i="3"/>
  <c r="AZ491" i="3"/>
  <c r="AZ332" i="3"/>
  <c r="AZ483" i="3"/>
  <c r="W12" i="35"/>
  <c r="AC12" i="35"/>
  <c r="U14" i="21"/>
  <c r="AB14" i="21"/>
  <c r="W46" i="34"/>
  <c r="AC46" i="34"/>
  <c r="J7" i="37"/>
  <c r="K1" i="73"/>
  <c r="E442" i="3"/>
  <c r="E95" i="3"/>
  <c r="E76" i="3"/>
  <c r="E310" i="3"/>
  <c r="E492" i="3"/>
  <c r="E67" i="3"/>
  <c r="E233" i="3"/>
  <c r="E355" i="3"/>
  <c r="E63" i="3"/>
  <c r="E309" i="3"/>
  <c r="E513" i="3"/>
  <c r="E198" i="3"/>
  <c r="AL6" i="3"/>
  <c r="E42" i="3"/>
  <c r="E18" i="3"/>
  <c r="E235" i="3"/>
  <c r="E383" i="3"/>
  <c r="E34" i="3"/>
  <c r="E102" i="3"/>
  <c r="E113" i="3"/>
  <c r="E22" i="3"/>
  <c r="E173" i="3"/>
  <c r="E525"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Q60" i="67"/>
  <c r="Q73" i="67"/>
  <c r="M11" i="67"/>
  <c r="J10" i="67" s="1"/>
  <c r="F11" i="15"/>
  <c r="M11" i="15"/>
  <c r="J10" i="15" s="1"/>
  <c r="J5" i="15" s="1"/>
  <c r="J24" i="15" s="1"/>
  <c r="F11" i="67"/>
  <c r="F1" i="67"/>
  <c r="Q52" i="67"/>
  <c r="Q61" i="67"/>
  <c r="Q74" i="67"/>
  <c r="AE11" i="1"/>
  <c r="AE6" i="1"/>
  <c r="AE9" i="1"/>
  <c r="AE7" i="1"/>
  <c r="AE8" i="1"/>
  <c r="AE12" i="1"/>
  <c r="AE10" i="1"/>
  <c r="F41" i="67"/>
  <c r="F27" i="68"/>
  <c r="G1" i="73"/>
  <c r="C16" i="15"/>
  <c r="C16" i="67"/>
  <c r="U27" i="39" l="1"/>
  <c r="AB27" i="39"/>
  <c r="AA27" i="39"/>
  <c r="S27" i="39"/>
  <c r="Q61" i="15"/>
  <c r="E212" i="3"/>
  <c r="E103" i="3"/>
  <c r="E33" i="3"/>
  <c r="E81" i="3"/>
  <c r="E281" i="3"/>
  <c r="E96" i="3"/>
  <c r="E206" i="3"/>
  <c r="E205"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C49" i="15"/>
  <c r="E267" i="3"/>
  <c r="E409" i="3"/>
  <c r="E241" i="3"/>
  <c r="E449" i="3"/>
  <c r="E3" i="6"/>
  <c r="E197" i="3"/>
  <c r="E308" i="3"/>
  <c r="AF6" i="3"/>
  <c r="AC6" i="3" s="1"/>
  <c r="E86" i="3"/>
  <c r="E174" i="3"/>
  <c r="E482" i="3"/>
  <c r="E391" i="3"/>
  <c r="E494" i="3"/>
  <c r="E283" i="3"/>
  <c r="E68" i="3"/>
  <c r="E184" i="3"/>
  <c r="E84" i="3"/>
  <c r="E300" i="3"/>
  <c r="E64" i="3"/>
  <c r="E389" i="3"/>
  <c r="E417" i="3"/>
  <c r="E575" i="3"/>
  <c r="E534" i="3"/>
  <c r="E140" i="3"/>
  <c r="E287" i="3"/>
  <c r="E251" i="3"/>
  <c r="E522" i="3"/>
  <c r="E129" i="3"/>
  <c r="E75" i="3"/>
  <c r="E332" i="3"/>
  <c r="E21" i="3"/>
  <c r="E264" i="3"/>
  <c r="E381" i="3"/>
  <c r="E144" i="3"/>
  <c r="E23" i="3"/>
  <c r="E249" i="3"/>
  <c r="E425" i="3"/>
  <c r="E363" i="3"/>
  <c r="E554" i="3"/>
  <c r="E536" i="3"/>
  <c r="Q60" i="15"/>
  <c r="Q52" i="15"/>
  <c r="F1" i="15"/>
  <c r="J5" i="67"/>
  <c r="J24" i="67" s="1"/>
  <c r="C49" i="67"/>
  <c r="D36" i="71"/>
  <c r="T36" i="71"/>
  <c r="D56" i="71"/>
  <c r="T56" i="71"/>
  <c r="E371" i="3"/>
  <c r="E160" i="3"/>
  <c r="E467" i="3"/>
  <c r="E59" i="3"/>
  <c r="E349" i="3"/>
  <c r="E258" i="3"/>
  <c r="E37" i="3"/>
  <c r="E491" i="3"/>
  <c r="AP6" i="3"/>
  <c r="E430" i="3"/>
  <c r="E502" i="3"/>
  <c r="E286" i="3"/>
  <c r="E539" i="3"/>
  <c r="E192" i="3"/>
  <c r="E56" i="3"/>
  <c r="E435" i="3"/>
  <c r="I3" i="6"/>
  <c r="E541" i="3"/>
  <c r="R6" i="3"/>
  <c r="E199" i="3"/>
  <c r="E510" i="3"/>
  <c r="Q66" i="71"/>
  <c r="Q65" i="71"/>
  <c r="N65" i="71"/>
  <c r="N66" i="71"/>
  <c r="E46" i="3"/>
  <c r="E484" i="3"/>
  <c r="E544" i="3"/>
  <c r="E292" i="3"/>
  <c r="E152" i="3"/>
  <c r="E479" i="3"/>
  <c r="E517" i="3"/>
  <c r="E255" i="3"/>
  <c r="E466" i="3"/>
  <c r="E499" i="3"/>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M27" i="67"/>
  <c r="F41" i="15"/>
  <c r="M27" i="15"/>
  <c r="C48" i="15" l="1"/>
  <c r="C66" i="15" s="1"/>
  <c r="F22" i="69"/>
  <c r="F41" i="69" s="1"/>
  <c r="F25" i="12"/>
  <c r="F24" i="15"/>
  <c r="C24" i="15" s="1"/>
  <c r="F22" i="68"/>
  <c r="F41" i="68" s="1"/>
  <c r="F24" i="67"/>
  <c r="C24" i="67" s="1"/>
  <c r="D116" i="43"/>
  <c r="C48" i="67"/>
  <c r="C60" i="67" s="1"/>
  <c r="G47" i="37"/>
  <c r="H47" i="37" s="1"/>
  <c r="G54" i="34"/>
  <c r="H54" i="34" s="1"/>
  <c r="F22" i="1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D10" i="69"/>
  <c r="C34" i="69"/>
  <c r="C17" i="15"/>
  <c r="C14" i="67"/>
  <c r="D10" i="68"/>
  <c r="C17" i="67"/>
  <c r="B23" i="1" l="1"/>
  <c r="B24" i="1"/>
  <c r="C29" i="68"/>
  <c r="D27" i="68" s="1"/>
  <c r="C29" i="11"/>
  <c r="D27" i="11" s="1"/>
  <c r="C44" i="69"/>
  <c r="D41" i="69" s="1"/>
  <c r="C60" i="15"/>
  <c r="C66" i="67"/>
  <c r="C26" i="68"/>
  <c r="D22" i="68" s="1"/>
  <c r="C44" i="68"/>
  <c r="D41" i="68" s="1"/>
  <c r="C25" i="11"/>
  <c r="C23" i="11"/>
  <c r="C24" i="11"/>
  <c r="C26" i="11"/>
  <c r="D22" i="11" s="1"/>
  <c r="C44" i="11"/>
  <c r="D41" i="11" s="1"/>
  <c r="E53" i="34"/>
  <c r="F53" i="34"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F34" i="68"/>
  <c r="C36" i="68" s="1"/>
  <c r="E6" i="76"/>
  <c r="B6" i="76"/>
  <c r="C34" i="68"/>
  <c r="C14" i="15"/>
  <c r="M59" i="67" l="1"/>
  <c r="M59" i="15"/>
  <c r="C29" i="12"/>
  <c r="D28" i="12" s="1"/>
  <c r="C26" i="12"/>
  <c r="D25" i="12" s="1"/>
  <c r="C22" i="11"/>
  <c r="C31" i="11" s="1"/>
  <c r="C15" i="71"/>
  <c r="T16" i="71"/>
  <c r="D16" i="71"/>
  <c r="U16"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15"/>
  <c r="M21" i="67"/>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6" i="12" s="1"/>
  <c r="C8" i="12"/>
  <c r="C4" i="12"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31" i="12" l="1"/>
  <c r="C23" i="1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10" i="1"/>
  <c r="AO11" i="1"/>
  <c r="AO6" i="1"/>
  <c r="AO8" i="1"/>
  <c r="AO9" i="1"/>
  <c r="C27" i="12" l="1"/>
  <c r="C25" i="12" s="1"/>
  <c r="C30" i="12"/>
  <c r="C28" i="12" s="1"/>
  <c r="R48" i="3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12" l="1"/>
  <c r="B2" i="12" s="1"/>
  <c r="D7" i="71"/>
  <c r="C6" i="71"/>
  <c r="B2" i="70"/>
  <c r="B3" i="70" s="1"/>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12"/>
  <c r="C7" i="68"/>
  <c r="C5" i="68" s="1"/>
  <c r="F65" i="39"/>
  <c r="B2" i="39" s="1"/>
  <c r="B3" i="39" s="1"/>
  <c r="D6" i="71"/>
  <c r="C5" i="71"/>
  <c r="D5" i="71" s="1"/>
  <c r="M24" i="43" s="1"/>
  <c r="C42" i="40"/>
  <c r="C43" i="40"/>
  <c r="E47" i="40"/>
  <c r="F47" i="40" s="1"/>
  <c r="E46" i="40"/>
  <c r="F46" i="40" s="1"/>
  <c r="I47" i="40"/>
  <c r="J47" i="40" s="1"/>
  <c r="D20" i="9"/>
  <c r="D103" i="9" l="1"/>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5" i="68"/>
  <c r="C22" i="68" s="1"/>
  <c r="C31" i="68" l="1"/>
  <c r="C52" i="68" s="1"/>
  <c r="B2" i="68" l="1"/>
  <c r="C57" i="68"/>
  <c r="C56" i="68" s="1"/>
  <c r="C19" i="9"/>
  <c r="B3" i="68"/>
  <c r="D34" i="9"/>
  <c r="C20" i="9"/>
  <c r="D35" i="9"/>
  <c r="G20" i="9" l="1"/>
  <c r="C103" i="9"/>
  <c r="D22" i="9"/>
  <c r="G19" i="9"/>
  <c r="G21" i="9" s="1"/>
  <c r="C102" i="9"/>
  <c r="C21" i="9"/>
  <c r="C32" i="9" l="1"/>
  <c r="C35" i="9" l="1"/>
  <c r="F118" i="9" s="1"/>
  <c r="C34" i="9"/>
  <c r="D118" i="9" s="1"/>
  <c r="H118" i="9"/>
  <c r="D14" i="74" s="1"/>
  <c r="G14" i="74" s="1"/>
  <c r="B6" i="74" s="1"/>
  <c r="D6" i="74" s="1"/>
  <c r="B5" i="74" l="1"/>
  <c r="D5" i="74" s="1"/>
  <c r="E14" i="74"/>
  <c r="F14" i="74"/>
  <c r="H4" i="52"/>
  <c r="H119" i="9"/>
  <c r="H5" i="52" s="1"/>
  <c r="H101" i="9"/>
  <c r="C104" i="9"/>
  <c r="I118" i="9"/>
  <c r="D119" i="9"/>
  <c r="D5" i="52" s="1"/>
  <c r="B49" i="72" s="1"/>
  <c r="D4" i="52"/>
  <c r="B47" i="72" s="1"/>
  <c r="F119" i="9"/>
  <c r="F5" i="52" s="1"/>
  <c r="B53" i="72" s="1"/>
  <c r="F4" i="52"/>
  <c r="B51" i="72" s="1"/>
  <c r="G118" i="9"/>
  <c r="G4" i="52" s="1"/>
  <c r="B52" i="72" s="1"/>
  <c r="D5" i="53" l="1"/>
  <c r="H107" i="9"/>
  <c r="D45" i="9"/>
  <c r="M48" i="9"/>
  <c r="H102" i="9"/>
  <c r="I4" i="52"/>
  <c r="C105" i="9"/>
  <c r="E118" i="9"/>
  <c r="E4" i="52" s="1"/>
  <c r="B48" i="72" s="1"/>
  <c r="D53" i="9" l="1"/>
  <c r="C72" i="9"/>
  <c r="D55" i="9"/>
  <c r="M53" i="9" s="1"/>
  <c r="C85" i="9"/>
  <c r="C95" i="9" s="1"/>
  <c r="D52" i="9"/>
  <c r="C93" i="9"/>
  <c r="C86" i="9" s="1"/>
  <c r="C64" i="9"/>
  <c r="C63" i="9" s="1"/>
  <c r="C67" i="9" s="1"/>
  <c r="C78" i="9"/>
  <c r="C73" i="9" s="1"/>
  <c r="H108" i="9"/>
  <c r="M49" i="9"/>
  <c r="D122" i="9"/>
  <c r="D13" i="53"/>
  <c r="D7" i="53"/>
  <c r="B21" i="72" s="1"/>
  <c r="C5" i="74"/>
  <c r="D6" i="53"/>
  <c r="B22" i="72" s="1"/>
  <c r="B20" i="72"/>
  <c r="C96" i="9" l="1"/>
  <c r="E96" i="9" s="1"/>
  <c r="E97" i="9" s="1"/>
  <c r="C97" i="9"/>
  <c r="D58" i="9" s="1"/>
  <c r="D56" i="9" s="1"/>
  <c r="M54" i="9" s="1"/>
  <c r="N57" i="9" s="1"/>
  <c r="N59" i="9" s="1"/>
  <c r="D59" i="9"/>
  <c r="M55" i="9" s="1"/>
  <c r="C68" i="9"/>
  <c r="D54" i="9" s="1"/>
  <c r="B30" i="72"/>
  <c r="D14" i="53"/>
  <c r="B32" i="72" s="1"/>
  <c r="C79" i="9"/>
  <c r="D8" i="52"/>
  <c r="D123" i="9"/>
  <c r="D9" i="52" s="1"/>
  <c r="L66" i="9"/>
  <c r="M66" i="9" s="1"/>
  <c r="L68" i="9"/>
  <c r="M68" i="9" s="1"/>
  <c r="L67" i="9"/>
  <c r="M67" i="9" s="1"/>
  <c r="L65" i="9"/>
  <c r="M65" i="9" s="1"/>
  <c r="L64" i="9"/>
  <c r="M64" i="9" s="1"/>
  <c r="L63" i="9"/>
  <c r="M63" i="9" s="1"/>
  <c r="D15" i="53"/>
  <c r="B31" i="72" s="1"/>
  <c r="C6" i="74"/>
  <c r="N61" i="9" l="1"/>
  <c r="N60" i="9"/>
  <c r="M69" i="9"/>
  <c r="N69" i="9" s="1"/>
  <c r="C80" i="9"/>
  <c r="E80" i="9" s="1"/>
  <c r="E81" i="9" s="1"/>
  <c r="P57" i="9"/>
  <c r="N58"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<sst xmlns="http://schemas.openxmlformats.org/spreadsheetml/2006/main" count="8264" uniqueCount="3641">
  <si>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</si>
  <si>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</si>
  <si>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</si>
  <si>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</si>
  <si>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</si>
  <si>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</si>
  <si>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</si>
  <si>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</si>
  <si>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</si>
  <si>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</si>
  <si>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</si>
  <si>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</si>
  <si>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</si>
  <si>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</si>
  <si>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</si>
  <si>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</si>
  <si>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</si>
  <si>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</si>
  <si>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</si>
  <si>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</si>
  <si>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</si>
  <si>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</si>
  <si>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</si>
  <si>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</si>
  <si>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</si>
  <si>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</si>
  <si>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</si>
  <si>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</si>
  <si>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</si>
  <si>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</si>
  <si>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</si>
  <si>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</si>
  <si>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</si>
  <si>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</si>
  <si>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</si>
  <si>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</si>
  <si>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</si>
  <si>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</si>
  <si>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</si>
  <si>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</si>
  <si>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</si>
  <si>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</si>
  <si>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</si>
  <si>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</si>
  <si>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</si>
  <si>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</si>
  <si>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</si>
  <si>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</si>
  <si>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</si>
  <si>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</si>
  <si>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</si>
  <si>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</si>
  <si>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</si>
  <si>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</si>
  <si>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</si>
  <si>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</si>
  <si>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</si>
  <si>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</si>
  <si>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</si>
  <si>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</si>
  <si>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</si>
  <si>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</si>
  <si>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</si>
  <si>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</si>
  <si>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</si>
  <si>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</si>
  <si>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</si>
  <si>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</si>
  <si>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</si>
  <si>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</si>
  <si>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</si>
  <si>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</si>
  <si>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</si>
  <si>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</si>
  <si>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</si>
  <si>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</si>
  <si>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</si>
  <si>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</si>
  <si>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</si>
  <si>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</si>
  <si>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</si>
  <si>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</si>
  <si>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</si>
  <si>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</si>
  <si>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</si>
  <si>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</si>
  <si>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</si>
  <si>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</si>
  <si>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</si>
  <si>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</si>
  <si>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</si>
  <si>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</si>
  <si>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</si>
  <si>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</si>
  <si>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</si>
  <si>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</si>
  <si>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</si>
  <si>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</si>
  <si>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</si>
  <si>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</si>
  <si>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</si>
  <si>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</si>
  <si>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</si>
  <si>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</si>
  <si>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</si>
  <si>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</si>
  <si>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</si>
  <si>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</si>
  <si>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</si>
  <si>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</si>
  <si>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</si>
  <si>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</si>
  <si>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</si>
  <si>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</si>
  <si>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</si>
  <si>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</si>
  <si>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</si>
  <si>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</si>
  <si>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</si>
  <si>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</si>
  <si>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</si>
  <si>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</si>
  <si>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</si>
  <si>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</si>
  <si>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</si>
  <si>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</si>
  <si>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</si>
  <si>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</si>
  <si>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</si>
  <si>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</si>
  <si>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</si>
  <si>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</si>
  <si>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</si>
  <si>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</si>
  <si>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</si>
  <si>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</si>
  <si>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</si>
  <si>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</si>
  <si>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</si>
  <si>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</si>
  <si>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</si>
  <si>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</si>
  <si>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</si>
  <si>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</si>
  <si>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</si>
  <si>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</si>
  <si>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</si>
  <si>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</si>
  <si>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</si>
  <si>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</si>
  <si>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</si>
  <si>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</si>
  <si>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</si>
  <si>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</si>
  <si>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</si>
  <si>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</si>
  <si>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</si>
  <si>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</si>
  <si>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</si>
  <si>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</si>
  <si>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</si>
  <si>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</si>
  <si>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</si>
  <si>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</si>
  <si>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</si>
  <si>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</si>
  <si>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</si>
  <si>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</si>
  <si>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</si>
  <si>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</si>
  <si>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</si>
  <si>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</si>
  <si>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</si>
  <si>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</si>
  <si>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</si>
  <si>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</si>
  <si>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</si>
  <si>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</si>
  <si>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</si>
  <si>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</si>
  <si>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</si>
  <si>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</si>
  <si>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</si>
  <si>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</si>
  <si>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</si>
  <si>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</si>
  <si>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</si>
  <si>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</si>
  <si>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</si>
  <si>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</si>
  <si>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</si>
  <si>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</si>
  <si>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</si>
  <si>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</si>
  <si>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</si>
  <si>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</si>
  <si>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</si>
  <si>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</si>
  <si>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</si>
  <si>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</si>
  <si>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</si>
  <si>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</si>
  <si>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</si>
  <si>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</si>
  <si>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</si>
  <si>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</si>
  <si>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</si>
  <si>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</si>
  <si>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</si>
  <si>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</si>
  <si>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</si>
  <si>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</si>
  <si>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</si>
  <si>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</si>
  <si>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</si>
  <si>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</si>
  <si>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</si>
  <si>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</si>
  <si>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</si>
  <si>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</si>
  <si>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</si>
  <si>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</si>
  <si>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</si>
  <si>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</si>
  <si>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</si>
  <si>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</si>
  <si>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</si>
  <si>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</si>
  <si>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</si>
  <si>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</si>
  <si>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</si>
  <si>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</si>
  <si>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</si>
  <si>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</si>
  <si>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</si>
  <si>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</si>
  <si>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</si>
  <si>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</si>
  <si>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</si>
  <si>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</si>
  <si>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</si>
  <si>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</si>
  <si>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</si>
  <si>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</si>
  <si>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</si>
  <si>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</si>
  <si>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</si>
  <si>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</si>
  <si>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</si>
  <si>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</si>
  <si>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</si>
  <si>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</si>
  <si>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</si>
  <si>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</si>
  <si>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</si>
  <si>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</si>
  <si>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</si>
  <si>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</si>
  <si>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</si>
  <si>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</si>
  <si>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</si>
  <si>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</si>
  <si>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</si>
  <si>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</si>
  <si>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</si>
  <si>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</si>
  <si>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</si>
  <si>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</si>
  <si>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</si>
  <si>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</si>
  <si>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</si>
  <si>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</si>
  <si>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</si>
  <si>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</si>
  <si>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</si>
  <si>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</si>
  <si>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</si>
  <si>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</si>
  <si>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</si>
  <si>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</si>
  <si>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</si>
  <si>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</si>
  <si>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</si>
  <si>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</si>
  <si>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</si>
  <si>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</si>
  <si>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</si>
  <si>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</si>
  <si>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</si>
  <si>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</si>
  <si>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</si>
  <si>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</si>
  <si>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</si>
  <si>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</si>
  <si>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</si>
  <si>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</si>
  <si>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</si>
  <si>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</si>
  <si>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</si>
  <si>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</si>
  <si>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</si>
  <si>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</si>
  <si>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</si>
  <si>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</si>
  <si>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</si>
  <si>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</si>
  <si>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</si>
  <si>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</si>
  <si>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</si>
  <si>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</si>
  <si>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</si>
  <si>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</si>
  <si>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</si>
  <si>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</si>
  <si>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</si>
  <si>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</si>
  <si>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</si>
  <si>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</si>
  <si>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</si>
  <si>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</si>
  <si>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</si>
  <si>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</si>
  <si>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</si>
  <si>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</si>
  <si>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</si>
  <si>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</si>
  <si>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</si>
  <si>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</si>
  <si>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</si>
  <si>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</si>
  <si>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</si>
  <si>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</si>
  <si>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</si>
  <si>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</si>
  <si>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</si>
  <si>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</si>
  <si>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</si>
  <si>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</si>
  <si>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</si>
  <si>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</si>
  <si>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</si>
  <si>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</si>
  <si>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</si>
  <si>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</si>
  <si>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</si>
  <si>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</si>
  <si>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</si>
  <si>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</si>
  <si>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</si>
  <si>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</si>
  <si>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</si>
  <si>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</si>
  <si>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</si>
  <si>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</si>
  <si>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</si>
  <si>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</si>
  <si>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</si>
  <si>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</si>
  <si>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</si>
  <si>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</si>
  <si>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</si>
  <si>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</si>
  <si>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</si>
  <si>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</si>
  <si>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</si>
  <si>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</si>
  <si>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</si>
  <si>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</si>
  <si>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</si>
  <si>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</si>
  <si>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</si>
  <si>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</si>
  <si>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</si>
  <si>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</si>
  <si>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</si>
  <si>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</si>
  <si>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</si>
  <si>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</si>
  <si>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</si>
  <si>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</si>
  <si>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</si>
  <si>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</si>
  <si>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</si>
  <si>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</si>
  <si>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</si>
  <si>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</si>
  <si>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</si>
  <si>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</si>
  <si>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</si>
  <si>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</si>
  <si>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</si>
  <si>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</si>
  <si>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</si>
  <si>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</si>
  <si>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</si>
  <si>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</si>
  <si>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</si>
  <si>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</si>
  <si>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</si>
  <si>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</si>
  <si>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</si>
  <si>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</si>
  <si>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</si>
  <si>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</si>
  <si>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</si>
  <si>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</si>
  <si>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</si>
  <si>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</si>
  <si>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</si>
  <si>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</si>
  <si>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</si>
  <si>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</si>
  <si>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</si>
  <si>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</si>
  <si>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</si>
  <si>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</si>
  <si>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</si>
  <si>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</si>
  <si>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</si>
  <si>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</si>
  <si>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</si>
  <si>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</si>
  <si>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</si>
  <si>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</si>
  <si>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</si>
  <si>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</si>
  <si>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</si>
  <si>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</si>
  <si>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</si>
  <si>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</si>
  <si>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</si>
  <si>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</si>
  <si>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</si>
  <si>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</si>
  <si>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</si>
  <si>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</si>
  <si>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</si>
  <si>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</si>
  <si>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</si>
  <si>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</si>
  <si>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</si>
  <si>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</si>
  <si>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</si>
  <si>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</si>
  <si>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</si>
  <si>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</si>
  <si>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</si>
  <si>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</si>
  <si>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</si>
  <si>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</si>
  <si>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</si>
  <si>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</si>
  <si>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</si>
  <si>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</si>
  <si>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</si>
  <si>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</si>
  <si>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</si>
  <si>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</si>
  <si>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</si>
  <si>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</si>
  <si>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</si>
  <si>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</si>
  <si>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</si>
  <si>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</si>
  <si>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</si>
  <si>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</si>
  <si>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</si>
  <si>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</si>
  <si>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</si>
  <si>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</si>
  <si>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</si>
  <si>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</si>
  <si>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</si>
  <si>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</si>
  <si>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</si>
  <si>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</si>
  <si>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</si>
  <si>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</si>
  <si>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</si>
  <si>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</si>
  <si>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</si>
  <si>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</si>
  <si>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</si>
  <si>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</si>
  <si>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</si>
  <si>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</si>
  <si>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</si>
  <si>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</si>
  <si>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</si>
  <si>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</si>
  <si>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</si>
  <si>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</si>
  <si>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</si>
  <si>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</si>
  <si>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</si>
  <si>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</si>
  <si>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</si>
  <si>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</si>
  <si>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</si>
  <si>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</si>
  <si>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</si>
  <si>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</si>
  <si>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</si>
  <si>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</si>
  <si>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</si>
  <si>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</si>
  <si>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</si>
  <si>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</si>
  <si>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</si>
  <si>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</si>
  <si>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</si>
  <si>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</si>
  <si>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</si>
  <si>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</si>
  <si>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</si>
  <si>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</si>
  <si>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</si>
  <si>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</si>
  <si>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</si>
  <si>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</si>
  <si>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</si>
  <si>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</si>
  <si>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</si>
  <si>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</si>
  <si>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</si>
  <si>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</si>
  <si>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</si>
  <si>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</si>
  <si>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</si>
  <si>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</si>
  <si>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</si>
  <si>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</si>
  <si>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</si>
  <si>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</si>
  <si>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</si>
  <si>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</si>
  <si>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</si>
  <si>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</si>
  <si>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</si>
  <si>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</si>
  <si>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</si>
  <si>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</si>
  <si>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</si>
  <si>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</si>
  <si>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</si>
  <si>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</si>
  <si>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</si>
  <si>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</si>
  <si>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</si>
  <si>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</si>
  <si>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</si>
  <si>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</si>
  <si>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</si>
  <si>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</si>
  <si>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</si>
  <si>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</si>
  <si>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</si>
  <si>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</si>
  <si>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</si>
  <si>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</si>
  <si>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</si>
  <si>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</si>
  <si>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</si>
  <si>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</si>
  <si>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</si>
  <si>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</si>
  <si>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</si>
  <si>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</si>
  <si>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</si>
  <si>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</si>
  <si>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</si>
  <si>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</si>
  <si>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</si>
  <si>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</si>
  <si>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</si>
  <si>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</si>
  <si>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</si>
  <si>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</si>
  <si>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</si>
  <si>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</si>
  <si>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</si>
  <si>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</si>
  <si>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</si>
  <si>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</si>
  <si>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</si>
  <si>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</si>
  <si>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</si>
  <si>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</si>
  <si>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</si>
  <si>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</si>
  <si>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</si>
  <si>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</si>
  <si>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</si>
  <si>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</si>
  <si>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</si>
  <si>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</si>
  <si>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</si>
  <si>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</si>
  <si>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</si>
  <si>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</si>
  <si>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</si>
  <si>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</si>
  <si>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</si>
  <si>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</si>
  <si>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</si>
  <si>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</si>
  <si>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</si>
  <si>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</si>
  <si>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</si>
  <si>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</si>
  <si>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</si>
  <si>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</si>
  <si>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</si>
  <si>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</si>
  <si>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</si>
  <si>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</si>
  <si>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</si>
  <si>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</si>
  <si>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</si>
  <si>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</si>
  <si>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</si>
  <si>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</si>
  <si>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</si>
  <si>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</si>
  <si>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</si>
  <si>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</si>
  <si>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</si>
  <si>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</si>
  <si>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</si>
  <si>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</si>
  <si>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</si>
  <si>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</si>
  <si>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</si>
  <si>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</si>
  <si>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</si>
  <si>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</si>
  <si>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</si>
  <si>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</si>
  <si>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</si>
  <si>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</si>
  <si>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</si>
  <si>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</si>
  <si>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</si>
  <si>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</si>
  <si>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</si>
  <si>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</si>
  <si>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</si>
  <si>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</si>
  <si>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</si>
  <si>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</si>
  <si>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</si>
  <si>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</si>
  <si>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</si>
  <si>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</si>
  <si>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</si>
  <si>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</si>
  <si>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</si>
  <si>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</si>
  <si>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</si>
  <si>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</si>
  <si>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</si>
  <si>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</si>
  <si>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</si>
  <si>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</si>
  <si>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</si>
  <si>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</si>
  <si>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</si>
  <si>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</si>
  <si>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</si>
  <si>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</si>
  <si>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</si>
  <si>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</si>
  <si>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</si>
  <si>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</si>
  <si>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</si>
  <si>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</si>
  <si>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</si>
  <si>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</si>
  <si>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</si>
  <si>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</si>
  <si>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</si>
  <si>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</si>
  <si>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</si>
  <si>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</si>
  <si>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</si>
  <si>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</si>
  <si>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</si>
  <si>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</si>
  <si>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</si>
  <si>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</si>
  <si>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</si>
  <si>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</si>
  <si>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</si>
  <si>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</si>
  <si>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</si>
  <si>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</si>
  <si>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</si>
  <si>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</si>
  <si>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</si>
  <si>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</si>
  <si>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</si>
  <si>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</si>
  <si>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</si>
  <si>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</si>
  <si>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</si>
  <si>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</si>
  <si>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</si>
  <si>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</si>
  <si>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</si>
  <si>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</si>
  <si>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</si>
  <si>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</si>
  <si>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</si>
  <si>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</si>
  <si>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</si>
  <si>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</si>
  <si>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</si>
  <si>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</si>
  <si>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</si>
  <si>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</si>
  <si>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</si>
  <si>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</si>
  <si>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</si>
  <si>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</si>
  <si>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</si>
  <si>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</si>
  <si>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</si>
  <si>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</si>
  <si>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</si>
  <si>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</si>
  <si>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</si>
  <si>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</si>
  <si>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</si>
  <si>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</si>
  <si>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</si>
  <si>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</si>
  <si>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</si>
  <si>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</si>
  <si>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</si>
  <si>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</si>
  <si>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</si>
  <si>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</si>
  <si>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</si>
  <si>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</si>
  <si>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</si>
  <si>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</si>
  <si>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</si>
  <si>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</si>
  <si>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</si>
  <si>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</si>
  <si>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</si>
  <si>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</si>
  <si>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</si>
  <si>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</si>
  <si>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</si>
  <si>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</si>
  <si>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</si>
  <si>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</si>
  <si>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</si>
  <si>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</si>
  <si>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</si>
  <si>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</si>
  <si>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</si>
  <si>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</si>
  <si>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</si>
  <si>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</si>
  <si>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</si>
  <si>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</si>
  <si>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</si>
  <si>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</si>
  <si>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</si>
  <si>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</si>
  <si>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</si>
  <si>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</si>
  <si>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</si>
  <si>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</si>
  <si>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</si>
  <si>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</si>
  <si>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</si>
  <si>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</si>
  <si>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</si>
  <si>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</si>
  <si>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</si>
  <si>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</si>
  <si>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</si>
  <si>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</si>
  <si>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</si>
  <si>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</si>
  <si>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</si>
  <si>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</si>
  <si>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</si>
  <si>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</si>
  <si>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</si>
  <si>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</si>
  <si>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</si>
  <si>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</si>
  <si>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</si>
  <si>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</si>
  <si>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</si>
  <si>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</si>
  <si>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</si>
  <si>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</si>
  <si>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</si>
  <si>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</si>
  <si>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</si>
  <si>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</si>
  <si>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</si>
  <si>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</si>
  <si>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</si>
  <si>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</si>
  <si>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</si>
  <si>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</si>
  <si>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</si>
  <si>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</si>
  <si>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</si>
  <si>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</si>
  <si>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</si>
  <si>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</si>
  <si>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</si>
  <si>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</si>
  <si>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</si>
  <si>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</si>
  <si>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</si>
  <si>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</si>
  <si>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</si>
  <si>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</si>
  <si>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</si>
  <si>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</si>
  <si>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</si>
  <si>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</si>
  <si>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</si>
  <si>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</si>
  <si>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</si>
  <si>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</si>
  <si>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</si>
  <si>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</si>
  <si>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</si>
  <si>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</si>
  <si>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</si>
  <si>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</si>
  <si>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</si>
  <si>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</si>
  <si>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</si>
  <si>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</si>
  <si>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</si>
  <si>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</si>
  <si>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</si>
  <si>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</si>
  <si>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</si>
  <si>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</si>
  <si>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</si>
  <si>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</si>
  <si>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</si>
  <si>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</si>
  <si>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</si>
  <si>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</si>
  <si>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</si>
  <si>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</si>
  <si>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</si>
  <si>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</si>
  <si>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</si>
  <si>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</si>
  <si>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</si>
  <si>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</si>
  <si>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</si>
  <si>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</si>
  <si>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</si>
  <si>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</si>
  <si>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</si>
  <si>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</si>
  <si>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</si>
  <si>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</si>
  <si>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</si>
  <si>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</si>
  <si>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</si>
  <si>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</si>
  <si>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</si>
  <si>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</si>
  <si>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</si>
  <si>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</si>
  <si>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</si>
  <si>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</si>
  <si>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</si>
  <si>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</si>
  <si>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</si>
  <si>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</si>
  <si>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</si>
  <si>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</si>
  <si>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</si>
  <si>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</si>
  <si>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</si>
  <si>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</si>
  <si>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</si>
  <si>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</si>
  <si>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</si>
  <si>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</si>
  <si>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</si>
  <si>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</si>
  <si>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</si>
  <si>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</si>
  <si>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</si>
  <si>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</si>
  <si>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</si>
  <si>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</si>
  <si>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</si>
  <si>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</si>
  <si>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</si>
  <si>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</si>
  <si>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</si>
  <si>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</si>
  <si>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</si>
  <si>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</si>
  <si>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</si>
  <si>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</si>
  <si>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</si>
  <si>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</si>
  <si>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</si>
  <si>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</si>
  <si>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</si>
  <si>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</si>
  <si>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</si>
  <si>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</si>
  <si>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</si>
  <si>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</si>
  <si>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</si>
  <si>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</si>
  <si>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</si>
  <si>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</si>
  <si>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</si>
  <si>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</si>
  <si>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</si>
  <si>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</si>
  <si>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</si>
  <si>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</si>
  <si>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</si>
  <si>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</si>
  <si>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</si>
  <si>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</si>
  <si>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</si>
  <si>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</si>
  <si>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</si>
  <si>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</si>
  <si>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</si>
  <si>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</si>
  <si>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</si>
  <si>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</si>
  <si>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</si>
  <si>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</si>
  <si>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</si>
  <si>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</si>
  <si>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</si>
  <si>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</si>
  <si>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</si>
  <si>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</si>
  <si>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</si>
  <si>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</si>
  <si>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</si>
  <si>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</si>
  <si>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</si>
  <si>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</si>
  <si>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</si>
  <si>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</si>
  <si>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</si>
  <si>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</si>
  <si>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</si>
  <si>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</si>
  <si>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</si>
  <si>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</si>
  <si>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</si>
  <si>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</si>
  <si>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</si>
  <si>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</si>
  <si>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</si>
  <si>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</si>
  <si>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</si>
  <si>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</si>
  <si>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</si>
  <si>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</si>
  <si>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</si>
  <si>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</si>
  <si>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</si>
  <si>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</si>
  <si>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</si>
  <si>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</si>
  <si>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</si>
  <si>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</si>
  <si>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</si>
  <si>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</si>
  <si>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</si>
  <si>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</si>
  <si>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</si>
  <si>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</si>
  <si>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</si>
  <si>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</si>
  <si>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</si>
  <si>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</si>
  <si>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</si>
  <si>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</si>
  <si>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</si>
  <si>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</si>
  <si>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</si>
  <si>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</si>
  <si>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</si>
  <si>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</si>
  <si>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</si>
  <si>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</si>
  <si>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</si>
  <si>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</si>
  <si>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</si>
  <si>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</si>
  <si>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</si>
  <si>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</si>
  <si>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</si>
  <si>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</si>
  <si>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</si>
  <si>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</si>
  <si>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</si>
  <si>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</si>
  <si>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</si>
  <si>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</si>
  <si>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</si>
  <si>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</si>
  <si>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</si>
  <si>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</si>
  <si>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</si>
  <si>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</si>
  <si>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</si>
  <si>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</si>
  <si>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</si>
  <si>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</si>
  <si>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</si>
  <si>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</si>
  <si>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</si>
  <si>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</si>
  <si>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</si>
  <si>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</si>
  <si>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</si>
  <si>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</si>
  <si>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</si>
  <si>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</si>
  <si>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</si>
  <si>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</si>
  <si>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</si>
  <si>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</si>
  <si>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</si>
  <si>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</si>
  <si>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</si>
  <si>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</si>
  <si>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</si>
  <si>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</si>
  <si>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</si>
  <si>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</si>
  <si>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</si>
  <si>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</si>
  <si>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</si>
  <si>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</si>
  <si>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</si>
  <si>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</si>
  <si>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</si>
  <si>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</si>
  <si>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</si>
  <si>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</si>
  <si>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</si>
  <si>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</si>
  <si>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</si>
  <si>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</si>
  <si>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</si>
  <si>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</si>
  <si>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</si>
  <si>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</si>
  <si>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</si>
  <si>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</si>
  <si>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</si>
  <si>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</si>
  <si>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</si>
  <si>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</si>
  <si>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</si>
  <si>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</si>
  <si>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</si>
  <si>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</si>
  <si>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</si>
  <si>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</si>
  <si>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</si>
  <si>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</si>
  <si>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</si>
  <si>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</si>
  <si>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</si>
  <si>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</si>
  <si>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</si>
  <si>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</si>
  <si>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</si>
  <si>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</si>
  <si>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</si>
  <si>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</si>
  <si>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</si>
  <si>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</si>
  <si>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</si>
  <si>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</si>
  <si>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</si>
  <si>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</si>
  <si>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</si>
  <si>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</si>
  <si>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</si>
  <si>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</si>
  <si>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</si>
  <si>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</si>
  <si>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</si>
  <si>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</si>
  <si>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</si>
  <si>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</si>
  <si>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</si>
  <si>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</si>
  <si>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</si>
  <si>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</si>
  <si>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</si>
  <si>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</si>
  <si>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</si>
  <si>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</si>
  <si>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</si>
  <si>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</si>
  <si>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</si>
  <si>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</si>
  <si>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</si>
  <si>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</si>
  <si>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</si>
  <si>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</si>
  <si>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</si>
  <si>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</si>
  <si>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</si>
  <si>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</si>
  <si>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</si>
  <si>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</si>
  <si>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</si>
  <si>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</si>
  <si>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</si>
  <si>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</si>
  <si>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</si>
  <si>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</si>
  <si>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</si>
  <si>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</si>
  <si>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</si>
  <si>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</si>
  <si>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</si>
  <si>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</si>
  <si>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</si>
  <si>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</si>
  <si>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</si>
  <si>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</si>
  <si>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</si>
  <si>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</si>
  <si>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</si>
  <si>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</si>
  <si>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</si>
  <si>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</si>
  <si>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</si>
  <si>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</si>
  <si>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</si>
  <si>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</si>
  <si>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</si>
  <si>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</si>
  <si>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</si>
  <si>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</si>
  <si>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</si>
  <si>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</si>
  <si>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</si>
  <si>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</si>
  <si>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</si>
  <si>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</si>
  <si>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</si>
  <si>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</si>
  <si>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</si>
  <si>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</si>
  <si>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</si>
  <si>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</si>
  <si>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</si>
  <si>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</si>
  <si>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</si>
  <si>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</si>
  <si>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</si>
  <si>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</si>
  <si>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</si>
  <si>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</si>
  <si>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</si>
  <si>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</si>
  <si>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</si>
  <si>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</si>
  <si>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</si>
  <si>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</si>
  <si>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</si>
  <si>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</si>
  <si>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</si>
  <si>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</si>
  <si>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</si>
  <si>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</si>
  <si>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</si>
  <si>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</si>
  <si>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</si>
  <si>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</si>
  <si>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</si>
  <si>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</si>
  <si>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</si>
  <si>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</si>
  <si>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</si>
  <si>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</si>
  <si>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</si>
  <si>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</si>
  <si>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</si>
  <si>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</si>
  <si>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</si>
  <si>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</si>
  <si>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</si>
  <si>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</si>
  <si>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</si>
  <si>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</si>
  <si>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</si>
  <si>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</si>
  <si>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</si>
  <si>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</si>
  <si>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</si>
  <si>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</si>
  <si>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</si>
  <si>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</si>
  <si>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</si>
  <si>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</si>
  <si>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</si>
  <si>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</si>
  <si>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</si>
  <si>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</si>
  <si>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</si>
  <si>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</si>
  <si>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</si>
  <si>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</si>
  <si>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</si>
  <si>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</si>
  <si>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</si>
  <si>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</si>
  <si>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</si>
  <si>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</si>
  <si>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</si>
  <si>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</si>
  <si>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</si>
  <si>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</si>
  <si>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</si>
  <si>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</si>
  <si>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</si>
  <si>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</si>
  <si>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</si>
  <si>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</si>
  <si>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</si>
  <si>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</si>
  <si>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</si>
  <si>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</si>
  <si>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</si>
  <si>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</si>
  <si>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</si>
  <si>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</si>
  <si>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</si>
  <si>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</si>
  <si>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</si>
  <si>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</si>
  <si>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</si>
  <si>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</si>
  <si>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</si>
  <si>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</si>
  <si>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</si>
  <si>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</si>
  <si>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</si>
  <si>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</si>
  <si>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</si>
  <si>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</si>
  <si>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</si>
  <si>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</si>
  <si>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</si>
  <si>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</si>
  <si>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</si>
  <si>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</si>
  <si>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</si>
  <si>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</si>
  <si>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</si>
  <si>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</si>
  <si>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</si>
  <si>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</si>
  <si>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</si>
  <si>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</si>
  <si>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</si>
  <si>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</si>
  <si>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</si>
  <si>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</si>
  <si>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</si>
  <si>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</si>
  <si>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</si>
  <si>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</si>
  <si>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</si>
  <si>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</si>
  <si>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</si>
  <si>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</si>
  <si>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</si>
  <si>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</si>
  <si>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</si>
  <si>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</si>
  <si>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</si>
  <si>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</si>
  <si>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</si>
  <si>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</si>
  <si>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</si>
  <si>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</si>
  <si>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</si>
  <si>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</si>
  <si>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</si>
  <si>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</si>
  <si>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</si>
  <si>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</si>
  <si>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</si>
  <si>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</si>
  <si>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</si>
  <si>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</si>
  <si>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</si>
  <si>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</si>
  <si>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</si>
  <si>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</si>
  <si>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</si>
  <si>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</si>
  <si>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</si>
  <si>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</si>
  <si>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</si>
  <si>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</si>
  <si>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</si>
  <si>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</si>
  <si>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</si>
  <si>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</si>
  <si>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</si>
  <si>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</si>
  <si>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</si>
  <si>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</si>
  <si>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</si>
  <si>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</si>
  <si>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</si>
  <si>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</si>
  <si>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</si>
  <si>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</si>
  <si>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</si>
  <si>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</si>
  <si>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</si>
  <si>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</si>
  <si>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</si>
  <si>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</si>
  <si>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</si>
  <si>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</si>
  <si>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</si>
  <si>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</si>
  <si>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</si>
  <si>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</si>
  <si>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</si>
  <si>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</si>
  <si>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</si>
  <si>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</si>
  <si>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</si>
  <si>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</si>
  <si>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</si>
  <si>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</si>
  <si>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</si>
  <si>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</si>
  <si>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</si>
  <si>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</si>
  <si>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</si>
  <si>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</si>
  <si>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</si>
  <si>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</si>
  <si>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</si>
  <si>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</si>
  <si>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</si>
  <si>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</si>
  <si>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</si>
  <si>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</si>
  <si>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</si>
  <si>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</si>
  <si>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</si>
  <si>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</si>
  <si>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</si>
  <si>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</si>
  <si>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</si>
  <si>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</si>
  <si>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</si>
  <si>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</si>
  <si>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</si>
  <si>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</si>
  <si>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</si>
  <si>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</si>
  <si>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</si>
  <si>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</si>
  <si>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</si>
  <si>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</si>
  <si>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</si>
  <si>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</si>
  <si>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</si>
  <si>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</si>
  <si>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</si>
  <si>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</si>
  <si>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</si>
  <si>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</si>
  <si>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</si>
  <si>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</si>
  <si>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</si>
  <si>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</si>
  <si>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</si>
  <si>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</si>
  <si>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</si>
  <si>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</si>
  <si>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</si>
  <si>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</si>
  <si>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</si>
  <si>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</si>
  <si>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</si>
  <si>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</si>
  <si>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</si>
  <si>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</si>
  <si>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</si>
  <si>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</si>
  <si>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</si>
  <si>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</si>
  <si>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</si>
  <si>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</si>
  <si>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</si>
  <si>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</si>
  <si>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</si>
  <si>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</si>
  <si>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</si>
  <si>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</si>
  <si>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</si>
  <si>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</si>
  <si>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</si>
  <si>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</si>
  <si>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</si>
  <si>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</si>
  <si>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</si>
  <si>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</si>
  <si>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</si>
  <si>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</si>
  <si>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</si>
  <si>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</si>
  <si>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</si>
  <si>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</si>
  <si>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</si>
  <si>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</si>
  <si>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</si>
  <si>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</si>
  <si>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</si>
  <si>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</si>
  <si>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</si>
  <si>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</si>
  <si>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</si>
  <si>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</si>
  <si>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</si>
  <si>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</si>
  <si>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</si>
  <si>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</si>
  <si>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</si>
  <si>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</si>
  <si>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</si>
  <si>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</si>
  <si>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</si>
  <si>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</si>
  <si>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</si>
  <si>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</si>
  <si>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</si>
  <si>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</si>
  <si>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</si>
  <si>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</si>
  <si>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</si>
  <si>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</si>
  <si>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</si>
  <si>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</si>
  <si>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</si>
  <si>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</si>
  <si>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</si>
  <si>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</si>
  <si>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</si>
  <si>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</si>
  <si>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</si>
  <si>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</si>
  <si>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</si>
  <si>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</si>
  <si>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</si>
  <si>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</si>
  <si>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</si>
  <si>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</si>
  <si>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</si>
  <si>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</si>
  <si>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</si>
  <si>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</si>
  <si>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</si>
  <si>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</si>
  <si>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</si>
  <si>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</si>
  <si>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</si>
  <si>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</si>
  <si>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</si>
  <si>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</si>
  <si>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</si>
  <si>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</si>
  <si>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</si>
  <si>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</si>
  <si>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</si>
  <si>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</si>
  <si>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</si>
  <si>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</si>
  <si>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</si>
  <si>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</si>
  <si>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</si>
  <si>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</si>
  <si>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</si>
  <si>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</si>
  <si>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</si>
  <si>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</si>
  <si>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</si>
  <si>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</si>
  <si>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</si>
  <si>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</si>
  <si>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</si>
  <si>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</si>
  <si>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</si>
  <si>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</si>
  <si>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</si>
  <si>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</si>
  <si>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</si>
  <si>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</si>
  <si>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</si>
  <si>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</si>
  <si>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</si>
  <si>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</si>
  <si>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</si>
  <si>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</si>
  <si>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</si>
  <si>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</si>
  <si>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</si>
  <si>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</si>
  <si>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</si>
  <si>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</si>
  <si>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</si>
  <si>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</si>
  <si>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</si>
  <si>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</si>
  <si>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</si>
  <si>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</si>
  <si>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</si>
  <si>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</si>
  <si>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</si>
  <si>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</si>
  <si>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</si>
  <si>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</si>
  <si>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</si>
  <si>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</si>
  <si>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</si>
  <si>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</si>
  <si>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</si>
  <si>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</si>
  <si>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</si>
  <si>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</si>
  <si>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</si>
  <si>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</si>
  <si>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</si>
  <si>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</si>
  <si>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</si>
  <si>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</si>
  <si>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</si>
  <si>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</si>
  <si>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</si>
  <si>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</si>
  <si>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</si>
  <si>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</si>
  <si>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</si>
  <si>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</si>
  <si>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</si>
  <si>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</si>
  <si>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</si>
  <si>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</si>
  <si>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</si>
  <si>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</si>
  <si>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</si>
  <si>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</si>
  <si>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</si>
  <si>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</si>
  <si>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</si>
  <si>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</si>
  <si>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</si>
  <si>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</si>
  <si>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</si>
  <si>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</si>
  <si>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</si>
  <si>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</si>
  <si>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</si>
  <si>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</si>
  <si>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</si>
  <si>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</si>
  <si>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</si>
  <si>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</si>
  <si>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</si>
  <si>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</si>
  <si>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</si>
  <si>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</si>
  <si>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</si>
  <si>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</si>
  <si>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</si>
  <si>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</si>
  <si>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</si>
  <si>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</si>
  <si>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</si>
  <si>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</si>
  <si>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</si>
  <si>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</si>
  <si>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</si>
  <si>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</si>
  <si>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</si>
  <si>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</si>
  <si>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</si>
  <si>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</si>
  <si>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</si>
  <si>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</si>
  <si>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</si>
  <si>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</si>
  <si>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</si>
  <si>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</si>
  <si>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</si>
  <si>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</si>
  <si>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</si>
  <si>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</si>
  <si>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</si>
  <si>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</si>
  <si>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</si>
  <si>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</si>
  <si>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</si>
  <si>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</si>
  <si>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</si>
  <si>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</si>
  <si>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</si>
  <si>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</si>
  <si>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</si>
  <si>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</si>
  <si>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</si>
  <si>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</si>
  <si>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</si>
  <si>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</si>
  <si>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</si>
  <si>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</si>
  <si>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</si>
  <si>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</si>
  <si>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</si>
  <si>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</si>
  <si>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</si>
  <si>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</si>
  <si>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</si>
  <si>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</si>
  <si>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</si>
  <si>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</si>
  <si>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</si>
  <si>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</si>
  <si>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</si>
  <si>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</si>
  <si>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</si>
  <si>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</si>
  <si>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</si>
  <si>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</si>
  <si>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</si>
  <si>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</si>
  <si>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</si>
  <si>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</si>
  <si>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</si>
  <si>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</si>
  <si>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</si>
  <si>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</si>
  <si>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</si>
  <si>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</si>
  <si>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</si>
  <si>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</si>
  <si>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</si>
  <si>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</si>
  <si>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</si>
  <si>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</si>
  <si>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</si>
  <si>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</si>
  <si>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</si>
  <si>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</si>
  <si>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</si>
  <si>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</si>
  <si>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</si>
  <si>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</si>
  <si>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</si>
  <si>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</si>
  <si>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</si>
  <si>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</si>
  <si>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</si>
  <si>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</si>
  <si>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</si>
  <si>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</si>
  <si>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</si>
  <si>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</si>
  <si>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</si>
  <si>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</si>
  <si>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</si>
  <si>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</si>
  <si>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</si>
  <si>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</si>
  <si>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</si>
  <si>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</si>
  <si>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</si>
  <si>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</si>
  <si>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</si>
  <si>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</si>
  <si>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</si>
  <si>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</si>
  <si>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</si>
  <si>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</si>
  <si>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</si>
  <si>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</si>
  <si>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</si>
  <si>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</si>
  <si>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</si>
  <si>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</si>
  <si>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</si>
  <si>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</si>
  <si>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</si>
  <si>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</si>
  <si>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</si>
  <si>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</si>
  <si>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</si>
  <si>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</si>
  <si>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</si>
  <si>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</si>
  <si>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</si>
  <si>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</si>
  <si>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</si>
  <si>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</si>
  <si>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</si>
  <si>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</si>
  <si>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</si>
  <si>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</si>
  <si>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</si>
  <si>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</si>
  <si>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</si>
  <si>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</si>
  <si>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</si>
  <si>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</si>
  <si>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</si>
  <si>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</si>
  <si>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</si>
  <si>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</si>
  <si>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</si>
  <si>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</si>
  <si>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</si>
  <si>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</si>
  <si>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</si>
  <si>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</si>
  <si>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</si>
  <si>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</si>
  <si>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</si>
  <si>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</si>
  <si>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</si>
  <si>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</si>
  <si>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</si>
  <si>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</si>
  <si>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</si>
  <si>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</si>
  <si>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</si>
  <si>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</si>
  <si>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</si>
  <si>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</si>
  <si>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</si>
  <si>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</si>
  <si>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</si>
  <si>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</si>
  <si>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</si>
  <si>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</si>
  <si>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</si>
  <si>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</si>
  <si>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</si>
  <si>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</si>
  <si>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</si>
  <si>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</si>
  <si>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</si>
  <si>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</si>
  <si>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</si>
  <si>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</si>
  <si>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</si>
  <si>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</si>
  <si>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</si>
  <si>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</si>
  <si>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</si>
  <si>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</si>
  <si>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</si>
  <si>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</si>
  <si>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</si>
  <si>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</si>
  <si>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</si>
  <si>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</si>
  <si>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</si>
  <si>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</si>
  <si>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</si>
  <si>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</si>
  <si>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</si>
  <si>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</si>
  <si>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</si>
  <si>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</si>
  <si>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</si>
  <si>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</si>
  <si>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</si>
  <si>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</si>
  <si>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</si>
  <si>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</si>
  <si>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</si>
  <si>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</si>
  <si>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</si>
  <si>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</si>
  <si>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</si>
  <si>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</si>
  <si>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</si>
  <si>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</si>
  <si>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</si>
  <si>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</si>
  <si>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</si>
  <si>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</si>
  <si>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</si>
  <si>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</si>
  <si>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</si>
  <si>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</si>
  <si>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</si>
  <si>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</si>
  <si>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</si>
  <si>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</si>
  <si>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</si>
  <si>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</si>
  <si>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</si>
  <si>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</si>
  <si>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</si>
  <si>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</si>
  <si>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</si>
  <si>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</si>
  <si>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</si>
  <si>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</si>
  <si>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</si>
  <si>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</si>
  <si>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</si>
  <si>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</si>
  <si>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</si>
  <si>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</si>
  <si>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</si>
  <si>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</si>
  <si>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</si>
  <si>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</si>
  <si>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</si>
  <si>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</si>
  <si>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</si>
  <si>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</si>
  <si>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</si>
  <si>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</si>
  <si>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</si>
  <si>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</si>
  <si>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</si>
  <si>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</si>
  <si>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</si>
  <si>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</si>
  <si>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</si>
  <si>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</si>
  <si>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</si>
  <si>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</si>
  <si>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</si>
  <si>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</si>
  <si>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</si>
  <si>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</si>
  <si>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</si>
  <si>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</si>
  <si>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</si>
  <si>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</si>
  <si>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</si>
  <si>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</si>
  <si>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</si>
  <si>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</si>
  <si>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</si>
  <si>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</si>
  <si>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</si>
  <si>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</si>
  <si>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</si>
  <si>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</si>
  <si>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</si>
  <si>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</si>
  <si>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</si>
  <si>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</si>
  <si>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</si>
  <si>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</si>
  <si>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</si>
  <si>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</si>
  <si>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</si>
  <si>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</si>
  <si>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</si>
  <si>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</si>
  <si>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</si>
  <si>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</si>
  <si>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</si>
  <si>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</si>
  <si>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</si>
  <si>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</si>
  <si>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</si>
  <si>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</si>
  <si>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</si>
  <si>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</si>
  <si>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</si>
  <si>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</si>
  <si>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</si>
  <si>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</si>
  <si>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</si>
  <si>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</si>
  <si>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</si>
  <si>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</si>
  <si>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</si>
  <si>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</si>
  <si>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</si>
  <si>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</si>
  <si>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</si>
  <si>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</si>
  <si>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</si>
  <si>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</si>
  <si>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</si>
  <si>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</si>
  <si>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</si>
  <si>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</si>
  <si>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</si>
  <si>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</si>
  <si>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</si>
  <si>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</si>
  <si>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</si>
  <si>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</si>
  <si>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</si>
  <si>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</si>
  <si>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</si>
  <si>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</si>
  <si>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</si>
  <si>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</si>
  <si>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</si>
  <si>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</si>
  <si>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</si>
  <si>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</si>
  <si>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</si>
  <si>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</si>
  <si>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</si>
  <si>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</si>
  <si>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</si>
  <si>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</si>
  <si>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</si>
  <si>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</si>
  <si>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</si>
  <si>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</si>
  <si>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</si>
  <si>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</si>
  <si>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</si>
  <si>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</si>
  <si>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</si>
  <si>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</si>
  <si>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</si>
  <si>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</si>
  <si>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</si>
  <si>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</si>
  <si>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</si>
  <si>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</si>
  <si>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</si>
  <si>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</si>
  <si>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</si>
  <si>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</si>
  <si>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</si>
  <si>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</si>
  <si>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</si>
  <si>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</si>
  <si>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</si>
  <si>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</si>
  <si>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</si>
  <si>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</si>
  <si>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</si>
  <si>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</si>
  <si>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</si>
  <si>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</si>
  <si>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</si>
  <si>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</si>
  <si>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</si>
  <si>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</si>
  <si>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</si>
  <si>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</si>
  <si>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</si>
  <si>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</si>
  <si>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</si>
  <si>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</si>
  <si>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</si>
  <si>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</si>
  <si>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</si>
  <si>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</si>
  <si>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</si>
  <si>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</si>
  <si>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</si>
  <si>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</si>
  <si>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</si>
  <si>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</si>
  <si>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</si>
  <si>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</si>
  <si>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</si>
  <si>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</si>
  <si>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</si>
  <si>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</si>
  <si>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</si>
  <si>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</si>
  <si>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</si>
  <si>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</si>
  <si>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</si>
  <si>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</si>
  <si>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</si>
  <si>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</si>
  <si>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</si>
  <si>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</si>
  <si>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</si>
  <si>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</si>
  <si>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</si>
  <si>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</si>
  <si>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</si>
  <si>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</si>
  <si>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</si>
  <si>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</si>
  <si>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</si>
  <si>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</si>
  <si>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</si>
  <si>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</si>
  <si>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</si>
  <si>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</si>
  <si>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</si>
  <si>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</si>
  <si>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</si>
  <si>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</si>
  <si>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</si>
  <si>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</si>
  <si>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</si>
  <si>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</si>
  <si>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</si>
  <si>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</si>
  <si>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</si>
  <si>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</si>
  <si>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</si>
  <si>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</si>
  <si>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</si>
  <si>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</si>
  <si>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</si>
  <si>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</si>
  <si>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</si>
  <si>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</si>
  <si>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</si>
  <si>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</si>
  <si>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</si>
  <si>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</si>
  <si>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</si>
  <si>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</si>
  <si>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</si>
  <si>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</si>
  <si>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</si>
  <si>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</si>
  <si>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</si>
  <si>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</si>
  <si>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</si>
  <si>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</si>
  <si>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</si>
  <si>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</si>
  <si>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</si>
  <si>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</si>
  <si>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</si>
  <si>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</si>
  <si>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</si>
  <si>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</si>
  <si>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</si>
  <si>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</si>
  <si>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</si>
  <si>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</si>
  <si>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</si>
  <si>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</si>
  <si>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</si>
  <si>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</si>
  <si>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</si>
  <si>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</si>
  <si>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</si>
  <si>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</si>
  <si>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</si>
  <si>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</si>
  <si>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</si>
  <si>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</si>
  <si>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</si>
  <si>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</si>
  <si>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</si>
  <si>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</si>
  <si>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</si>
  <si>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</si>
  <si>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</si>
  <si>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</si>
  <si>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</si>
  <si>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</si>
  <si>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</si>
  <si>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</si>
  <si>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</si>
  <si>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</si>
  <si>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</si>
  <si>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</si>
  <si>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</si>
  <si>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</si>
  <si>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</si>
  <si>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</si>
  <si>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</si>
  <si>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</si>
  <si>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</si>
  <si>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</si>
  <si>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</si>
  <si>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</si>
  <si>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</si>
  <si>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</si>
  <si>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</si>
  <si>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</si>
  <si>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</si>
  <si>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</si>
  <si>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</si>
  <si>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</si>
  <si>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</si>
  <si>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</si>
  <si>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</si>
  <si>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</si>
  <si>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</si>
  <si>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</si>
  <si>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</si>
  <si>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</si>
  <si>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</si>
  <si>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</si>
  <si>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</si>
  <si>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</si>
  <si>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</si>
  <si>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</si>
  <si>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</si>
  <si>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</si>
  <si>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</si>
  <si>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</si>
  <si>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</si>
  <si>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</si>
  <si>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</si>
  <si>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</si>
  <si>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</si>
  <si>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</si>
  <si>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</si>
  <si>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</si>
  <si>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</si>
  <si>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</si>
  <si>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</si>
  <si>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</si>
  <si>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</si>
  <si>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</si>
  <si>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</si>
  <si>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</si>
  <si>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</si>
  <si>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</si>
  <si>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</si>
  <si>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</si>
  <si>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</si>
  <si>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</si>
  <si>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</si>
  <si>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</si>
  <si>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</si>
  <si>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</si>
  <si>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</si>
  <si>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</si>
  <si>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</si>
  <si>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</si>
  <si>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</si>
  <si>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</si>
  <si>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</si>
  <si>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</si>
  <si>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</si>
  <si>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</si>
  <si>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</si>
  <si>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</si>
  <si>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</si>
  <si>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</si>
  <si>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</si>
  <si>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</si>
  <si>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</si>
  <si>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</si>
  <si>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</si>
  <si>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</si>
  <si>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</si>
  <si>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</si>
  <si>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</si>
  <si>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</si>
  <si>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</si>
  <si>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</si>
  <si>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</si>
  <si>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</si>
  <si>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</si>
  <si>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</si>
  <si>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</si>
  <si>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</si>
  <si>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</si>
  <si>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</si>
  <si>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</si>
  <si>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</si>
  <si>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</si>
  <si>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</si>
  <si>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</si>
  <si>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</si>
  <si>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</si>
  <si>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</si>
  <si>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</si>
  <si>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</si>
  <si>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</si>
  <si>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</si>
  <si>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</si>
  <si>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</si>
  <si>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</si>
  <si>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</si>
  <si>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</si>
  <si>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</si>
  <si>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</si>
  <si>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</si>
  <si>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</si>
  <si>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</si>
  <si>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</si>
  <si>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</si>
  <si>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</si>
  <si>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</si>
  <si>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</si>
  <si>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</si>
  <si>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</si>
  <si>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</si>
  <si>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</si>
  <si>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</si>
  <si>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</si>
  <si>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</si>
  <si>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</si>
  <si>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</si>
  <si>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</si>
  <si>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</si>
  <si>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</si>
  <si>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</si>
  <si>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</si>
  <si>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</si>
  <si>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</si>
  <si>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</si>
  <si>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</si>
  <si>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</si>
  <si>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</si>
  <si>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</si>
  <si>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</si>
  <si>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</si>
  <si>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</si>
  <si>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</si>
  <si>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</si>
  <si>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</si>
  <si>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</si>
  <si>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</si>
  <si>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</si>
  <si>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</si>
  <si>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</si>
  <si>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</si>
  <si>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</si>
  <si>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</si>
  <si>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</si>
  <si>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</si>
  <si>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</si>
  <si>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</si>
  <si>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</si>
  <si>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</si>
  <si>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</si>
  <si>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</si>
  <si>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</si>
  <si>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</si>
  <si>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</si>
  <si>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</si>
  <si>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</si>
  <si>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</si>
  <si>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</si>
  <si>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</si>
  <si>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</si>
  <si>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</si>
  <si>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</si>
  <si>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</si>
  <si>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</si>
  <si>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</si>
  <si>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</si>
  <si>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</si>
  <si>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</si>
  <si>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</si>
  <si>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</si>
  <si>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</si>
  <si>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</si>
  <si>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</si>
  <si>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</si>
  <si>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</si>
  <si>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</si>
  <si>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</si>
  <si>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</si>
  <si>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</si>
  <si>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</si>
  <si>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</si>
  <si>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</si>
  <si>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</si>
  <si>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</si>
  <si>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</si>
  <si>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</si>
  <si>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</si>
  <si>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</si>
  <si>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</si>
  <si>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</si>
  <si>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</si>
  <si>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</si>
  <si>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</si>
  <si>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</si>
  <si>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</si>
  <si>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</si>
  <si>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</si>
  <si>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</si>
  <si>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</si>
  <si>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</si>
  <si>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</si>
  <si>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</si>
  <si>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</si>
  <si>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</si>
  <si>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</si>
  <si>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</si>
  <si>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</si>
  <si>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</si>
  <si>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</si>
  <si>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</si>
  <si>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</si>
  <si>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</si>
  <si>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</si>
  <si>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</si>
  <si>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</si>
  <si>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</si>
  <si>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</si>
  <si>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</si>
  <si>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</si>
  <si>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</si>
  <si>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</si>
  <si>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</si>
  <si>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</si>
  <si>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</si>
  <si>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</si>
  <si>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</si>
  <si>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</si>
  <si>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</si>
  <si>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</si>
  <si>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</si>
  <si>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</si>
  <si>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</si>
  <si>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</si>
  <si>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</si>
  <si>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</si>
  <si>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</si>
  <si>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</si>
  <si>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</si>
  <si>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</si>
  <si>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</si>
  <si>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</si>
  <si>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</si>
  <si>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</si>
  <si>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</si>
  <si>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</si>
  <si>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</si>
  <si>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</si>
  <si>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</si>
  <si>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</si>
  <si>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</si>
  <si>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</si>
  <si>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</si>
  <si>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</si>
  <si>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</si>
  <si>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</si>
  <si>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</si>
  <si>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</si>
  <si>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</si>
  <si>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</si>
  <si>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</si>
  <si>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</si>
  <si>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</si>
  <si>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</si>
  <si>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</si>
  <si>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</si>
  <si>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</si>
  <si>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</si>
  <si>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</si>
  <si>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</si>
  <si>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</si>
  <si>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</si>
  <si>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</si>
  <si>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</si>
  <si>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</si>
  <si>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</si>
  <si>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</si>
  <si>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</si>
  <si>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</si>
  <si>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</si>
  <si>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</si>
  <si>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</si>
  <si>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</si>
  <si>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</si>
  <si>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</si>
  <si>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</si>
  <si>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</si>
  <si>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</si>
  <si>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</si>
  <si>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</si>
  <si>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</si>
  <si>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</si>
  <si>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</si>
  <si>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</si>
  <si>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</si>
  <si>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</si>
  <si>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</si>
  <si>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</si>
  <si>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</si>
  <si>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</si>
  <si>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</si>
  <si>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</si>
  <si>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</si>
  <si>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</si>
  <si>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</si>
  <si>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</si>
  <si>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</si>
  <si>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</si>
  <si>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</si>
  <si>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</si>
  <si>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</si>
  <si>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</si>
  <si>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</si>
  <si>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</si>
  <si>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</si>
  <si>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</si>
  <si>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</si>
  <si>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</si>
  <si>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</si>
  <si>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</si>
  <si>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</si>
  <si>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</si>
  <si>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</si>
  <si>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</si>
  <si>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</si>
  <si>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</si>
  <si>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</si>
  <si>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</si>
  <si>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</si>
  <si>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</si>
  <si>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</si>
  <si>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</si>
  <si>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</si>
  <si>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</si>
  <si>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</si>
  <si>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</si>
  <si>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</si>
  <si>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</si>
  <si>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</si>
  <si>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</si>
  <si>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</si>
  <si>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</si>
  <si>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</si>
  <si>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</si>
  <si>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</si>
  <si>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</si>
  <si>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</si>
  <si>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</si>
  <si>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</si>
  <si>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</si>
  <si>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</si>
  <si>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</si>
  <si>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</si>
  <si>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</si>
  <si>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</si>
  <si>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</si>
  <si>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</si>
  <si>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</si>
  <si>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</si>
  <si>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</si>
  <si>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</si>
  <si>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</si>
  <si>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</si>
  <si>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</si>
  <si>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</si>
  <si>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</si>
  <si>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</si>
  <si>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</si>
  <si>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</si>
  <si>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</si>
  <si>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</si>
  <si>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</si>
  <si>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</si>
  <si>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</si>
  <si>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</si>
  <si>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</si>
  <si>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</si>
  <si>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</si>
  <si>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</si>
  <si>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</si>
  <si>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</si>
  <si>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</si>
  <si>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</si>
  <si>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</si>
  <si>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</si>
  <si>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</si>
  <si>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</si>
  <si>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</si>
  <si>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</si>
  <si>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</si>
  <si>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</si>
  <si>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</si>
  <si>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</si>
  <si>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</si>
  <si>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</si>
  <si>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</si>
  <si>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</si>
  <si>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</si>
  <si>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</si>
  <si>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</si>
  <si>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</si>
  <si>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</si>
  <si>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</si>
  <si>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</si>
  <si>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</si>
  <si>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</si>
  <si>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</si>
  <si>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</si>
  <si>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</si>
  <si>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</si>
  <si>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</si>
  <si>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</si>
  <si>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</si>
  <si>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</si>
  <si>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</si>
  <si>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</si>
  <si>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</si>
  <si>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</si>
  <si>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</si>
  <si>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</si>
  <si>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</si>
  <si>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</si>
  <si>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</si>
  <si>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</si>
  <si>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</si>
  <si>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</si>
  <si>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</si>
  <si>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</si>
  <si>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</si>
  <si>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</si>
  <si>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</si>
  <si>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</si>
  <si>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</si>
  <si>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</si>
  <si>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</si>
  <si>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</si>
  <si>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</si>
  <si>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</si>
  <si>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</si>
  <si>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</si>
  <si>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</si>
  <si>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</si>
  <si>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</si>
  <si>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</si>
  <si>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</si>
  <si>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</si>
  <si>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</si>
  <si>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</si>
  <si>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</si>
  <si>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</si>
  <si>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</si>
  <si>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</si>
  <si>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</si>
  <si>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</si>
  <si>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</si>
  <si>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</si>
  <si>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</si>
  <si>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</si>
  <si>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</si>
  <si>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</si>
  <si>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</si>
  <si>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</si>
  <si>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</si>
  <si>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</si>
  <si>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</si>
  <si>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</si>
  <si>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</si>
  <si>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</si>
  <si>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</si>
  <si>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</si>
  <si>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</si>
  <si>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</si>
  <si>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</si>
  <si>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</si>
  <si>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</si>
  <si>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</si>
  <si>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</si>
  <si>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</si>
  <si>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</si>
  <si>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</si>
  <si>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</si>
  <si>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</si>
  <si>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</si>
  <si>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</si>
  <si>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</si>
  <si>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</si>
  <si>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</si>
  <si>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</si>
  <si>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</si>
  <si>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</si>
  <si>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</si>
  <si>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</si>
  <si>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</si>
  <si>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</si>
  <si>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</si>
  <si>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</si>
  <si>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</si>
  <si>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</si>
  <si>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</si>
  <si>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</si>
  <si>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</si>
  <si>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</si>
  <si>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</si>
  <si>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</si>
  <si>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</si>
  <si>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</si>
  <si>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</si>
  <si>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</si>
  <si>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</si>
  <si>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</si>
  <si>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</si>
  <si>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</si>
  <si>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</si>
  <si>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</si>
  <si>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</si>
  <si>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</si>
  <si>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</si>
  <si>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</si>
  <si>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</si>
  <si>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</si>
  <si>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</si>
  <si>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</si>
  <si>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</si>
  <si>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</si>
  <si>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</si>
  <si>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</si>
  <si>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</si>
  <si>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</si>
  <si>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</si>
  <si>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</si>
  <si>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</si>
  <si>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</si>
  <si>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</si>
  <si>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</si>
  <si>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</si>
  <si>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</si>
  <si>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</si>
  <si>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</si>
  <si>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</si>
  <si>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</si>
  <si>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</si>
  <si>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</si>
  <si>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</si>
  <si>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</si>
  <si>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</si>
  <si>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</si>
  <si>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</si>
  <si>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</si>
  <si>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</si>
  <si>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</si>
  <si>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</si>
  <si>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</si>
  <si>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</si>
  <si>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</si>
  <si>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</si>
  <si>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</si>
  <si>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</si>
  <si>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</si>
  <si>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</si>
  <si>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</si>
  <si>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</si>
  <si>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</si>
  <si>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</si>
  <si>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</si>
  <si>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</si>
  <si>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</si>
  <si>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</si>
  <si>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</si>
  <si>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</si>
  <si>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</si>
  <si>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</si>
  <si>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</si>
  <si>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</si>
  <si>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</si>
  <si>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</si>
  <si>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</si>
  <si>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</si>
  <si>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</si>
  <si>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</si>
  <si>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</si>
  <si>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</si>
  <si>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</si>
  <si>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</si>
  <si>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</si>
  <si>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</si>
  <si>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</si>
  <si>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</si>
  <si>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</si>
  <si>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</si>
  <si>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</si>
  <si>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</si>
  <si>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</si>
  <si>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</si>
  <si>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</si>
  <si>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</si>
  <si>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</si>
  <si>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</si>
  <si>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</si>
  <si>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</si>
  <si>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</si>
  <si>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</si>
  <si>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</si>
  <si>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</si>
  <si>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</si>
  <si>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</si>
  <si>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</si>
  <si>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</si>
  <si>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</si>
  <si>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</si>
  <si>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</si>
  <si>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</si>
  <si>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</si>
  <si>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</si>
  <si>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</si>
  <si>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</si>
  <si>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</si>
  <si>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</si>
  <si>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</si>
  <si>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</si>
  <si>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</si>
  <si>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</si>
  <si>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</si>
  <si>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</si>
  <si>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</si>
  <si>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</si>
  <si>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</si>
  <si>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</si>
  <si>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</si>
  <si>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</si>
  <si>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</si>
  <si>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</si>
  <si>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</si>
  <si>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</si>
  <si>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</si>
  <si>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</si>
  <si>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</si>
  <si>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</si>
  <si>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</si>
  <si>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</si>
  <si>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</si>
  <si>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</si>
  <si>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</si>
  <si>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</si>
  <si>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</si>
  <si>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</si>
  <si>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</si>
  <si>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</si>
  <si>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</si>
  <si>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</si>
  <si>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</si>
  <si>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</si>
  <si>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</si>
  <si>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</si>
  <si>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</si>
  <si>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</si>
  <si>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</si>
  <si>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</si>
  <si>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</si>
  <si>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</si>
  <si>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</si>
  <si>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</si>
  <si>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</si>
  <si>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</si>
  <si>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</si>
  <si>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</si>
  <si>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</si>
  <si>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</si>
  <si>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</si>
  <si>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</si>
  <si>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</si>
  <si>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</si>
  <si>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</si>
  <si>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</si>
  <si>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</si>
  <si>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</si>
  <si>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</si>
  <si>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</si>
  <si>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</si>
  <si>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</si>
  <si>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</si>
  <si>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</si>
  <si>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</si>
  <si>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</si>
  <si>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</si>
  <si>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</si>
  <si>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</si>
  <si>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</si>
  <si>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</si>
  <si>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</si>
  <si>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</si>
  <si>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</si>
  <si>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</si>
  <si>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</si>
  <si>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</si>
  <si>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</si>
  <si>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</si>
  <si>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</si>
  <si>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</si>
  <si>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</si>
  <si>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</si>
  <si>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</si>
  <si>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</si>
  <si>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</si>
  <si>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</si>
  <si>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</si>
  <si>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</si>
  <si>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</si>
  <si>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</si>
  <si>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</si>
  <si>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</si>
  <si>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</si>
  <si>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</si>
  <si>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</si>
  <si>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</si>
  <si>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</si>
  <si>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</si>
  <si>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</si>
  <si>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</si>
  <si>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</si>
  <si>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</si>
  <si>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</si>
  <si>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</si>
  <si>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</si>
  <si>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</si>
  <si>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</si>
  <si>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</si>
  <si>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</si>
  <si>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</si>
  <si>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</si>
  <si>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</si>
  <si>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</si>
  <si>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</si>
  <si>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</si>
  <si>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</si>
  <si>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</si>
  <si>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</si>
  <si>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</si>
  <si>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</si>
  <si>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</si>
  <si>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</si>
  <si>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</si>
  <si>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</si>
  <si>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</si>
  <si>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</si>
  <si>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</si>
  <si>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</si>
  <si>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</si>
  <si>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</si>
  <si>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</si>
  <si>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</si>
  <si>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</si>
  <si>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</si>
  <si>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</si>
  <si>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</si>
  <si>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</si>
  <si>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</si>
  <si>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</si>
  <si>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</si>
  <si>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</si>
  <si>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</si>
  <si>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</si>
  <si>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</si>
  <si>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</si>
  <si>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</si>
  <si>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</si>
  <si>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</si>
  <si>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</si>
  <si>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</si>
  <si>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</si>
  <si>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</si>
  <si>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</si>
  <si>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</si>
  <si>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</si>
  <si>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</si>
  <si>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</si>
  <si>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</si>
  <si>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</si>
  <si>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</si>
  <si>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</si>
  <si>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</si>
  <si>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</si>
  <si>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</si>
  <si>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</si>
  <si>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</si>
  <si>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</si>
  <si>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</si>
  <si>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</si>
  <si>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</si>
  <si>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</si>
  <si>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</si>
  <si>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</si>
  <si>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</si>
  <si>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</si>
  <si>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</si>
  <si>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</si>
  <si>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</si>
  <si>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</si>
  <si>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</si>
  <si>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</si>
  <si>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</si>
  <si>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</si>
  <si>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</si>
  <si>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</si>
  <si>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</si>
  <si>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</si>
  <si>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</si>
  <si>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</si>
  <si>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</si>
  <si>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</si>
  <si>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</si>
  <si>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</si>
  <si>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</si>
  <si>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</si>
  <si>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</si>
  <si>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</si>
  <si>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</si>
  <si>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</si>
  <si>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</si>
  <si>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</si>
  <si>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</si>
  <si>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</si>
  <si>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</si>
  <si>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</si>
  <si>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</si>
  <si>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</si>
  <si>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</si>
  <si>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</si>
  <si>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</si>
  <si>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</si>
  <si>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</si>
  <si>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</si>
  <si>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</si>
  <si>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</si>
  <si>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</si>
  <si>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</si>
  <si>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</si>
  <si>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</si>
  <si>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</si>
  <si>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</si>
  <si>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</si>
  <si>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</si>
  <si>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</si>
  <si>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</si>
  <si>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</si>
  <si>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</si>
  <si>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</si>
  <si>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</si>
  <si>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</si>
  <si>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</si>
  <si>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</si>
  <si>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</si>
  <si>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</si>
  <si>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</si>
  <si>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</si>
  <si>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</si>
  <si>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</si>
  <si>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</si>
  <si>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</si>
  <si>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</si>
  <si>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</si>
  <si>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</si>
  <si>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</si>
  <si>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</si>
  <si>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</si>
  <si>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</si>
  <si>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</si>
  <si>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</si>
  <si>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</si>
  <si>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</si>
  <si>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</si>
  <si>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</si>
  <si>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</si>
  <si>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</si>
  <si>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</si>
  <si>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</si>
  <si>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</si>
  <si>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</si>
  <si>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</si>
  <si>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</si>
  <si>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</si>
  <si>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</si>
  <si>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</si>
  <si>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</si>
  <si>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</si>
  <si>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</si>
  <si>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</si>
  <si>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</si>
  <si>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</si>
  <si>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</si>
  <si>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</si>
  <si>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</si>
  <si>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</si>
  <si>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</si>
  <si>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</si>
  <si>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</si>
  <si>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</si>
  <si>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</si>
  <si>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</si>
  <si>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</si>
  <si>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</si>
  <si>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</si>
  <si>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</si>
  <si>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</si>
  <si>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</si>
  <si>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</si>
  <si>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</si>
  <si>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</si>
  <si>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</si>
  <si>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</si>
  <si>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</si>
  <si>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</si>
  <si>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</si>
  <si>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</si>
  <si>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</si>
  <si>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</si>
  <si>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</si>
  <si>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</si>
  <si>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</si>
  <si>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</si>
  <si>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</si>
  <si>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</si>
  <si>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</si>
  <si>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</si>
  <si>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</si>
  <si>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</si>
  <si>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</si>
  <si>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</si>
  <si>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</si>
  <si>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</si>
  <si>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</si>
  <si>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</si>
  <si>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</si>
  <si>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</si>
  <si>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</si>
  <si>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</si>
  <si>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</si>
  <si>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</si>
  <si>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</si>
  <si>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</si>
  <si>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</si>
  <si>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</si>
  <si>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</si>
  <si>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</si>
  <si>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</si>
  <si>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</si>
  <si>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</si>
  <si>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</si>
  <si>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</si>
  <si>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</si>
  <si>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</si>
  <si>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</si>
  <si>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</si>
  <si>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</si>
  <si>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</si>
  <si>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</si>
  <si>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</si>
  <si>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</si>
  <si>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</si>
  <si>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</si>
  <si>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</si>
  <si>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</si>
  <si>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</si>
  <si>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</si>
  <si>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</si>
  <si>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</si>
  <si>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</si>
  <si>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</si>
  <si>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</si>
  <si>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</si>
  <si>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</si>
  <si>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</si>
  <si>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</si>
  <si>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</si>
  <si>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</si>
  <si>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</si>
  <si>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</si>
  <si>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</si>
  <si>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</si>
  <si>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</si>
  <si>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</si>
  <si>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</si>
  <si>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</si>
  <si>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</si>
  <si>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</si>
  <si>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</si>
  <si>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</si>
  <si>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</si>
  <si>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</si>
  <si>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</si>
  <si>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</si>
  <si>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</si>
  <si>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</si>
  <si>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</si>
  <si>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</si>
  <si>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</si>
  <si>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</si>
  <si>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</si>
  <si>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</si>
  <si>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</si>
  <si>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</si>
  <si>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</si>
  <si>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</si>
  <si>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</si>
  <si>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</si>
  <si>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</si>
  <si>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</si>
  <si>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</si>
  <si>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</si>
  <si>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</si>
  <si>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</si>
  <si>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</si>
  <si>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</si>
  <si>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</si>
  <si>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</si>
  <si>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</si>
  <si>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</si>
  <si>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</si>
  <si>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</si>
  <si>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</si>
  <si>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</si>
  <si>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</si>
  <si>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</si>
  <si>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</si>
  <si>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</si>
  <si>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</si>
  <si>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</si>
  <si>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</si>
  <si>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</si>
  <si>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</si>
  <si>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</si>
  <si>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</si>
  <si>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</si>
  <si>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</si>
  <si>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</si>
  <si>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</si>
  <si>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</si>
  <si>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</si>
  <si>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</si>
  <si>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</si>
  <si>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</si>
  <si>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</si>
  <si>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</si>
  <si>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</si>
  <si>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</si>
  <si>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</si>
  <si>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</si>
  <si>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</si>
  <si>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</si>
  <si>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</si>
  <si>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</si>
  <si>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</si>
  <si>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</si>
  <si>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</si>
  <si>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</si>
  <si>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</si>
  <si>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</si>
  <si>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</si>
  <si>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</si>
  <si>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</si>
  <si>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</si>
  <si>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</si>
  <si>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</si>
  <si>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</si>
  <si>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</si>
  <si>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</si>
  <si>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</si>
  <si>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</si>
  <si>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</si>
  <si>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</si>
  <si>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</si>
  <si>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</si>
  <si>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</si>
  <si>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</si>
  <si>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</si>
  <si>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</si>
  <si>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</si>
  <si>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</si>
  <si>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</si>
  <si>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</si>
  <si>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</si>
  <si>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</si>
  <si>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</si>
  <si>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</si>
  <si>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</si>
  <si>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</si>
  <si>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</si>
  <si>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</si>
  <si>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</si>
  <si>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</si>
  <si>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</si>
  <si>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</si>
  <si>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</si>
  <si>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</si>
  <si>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</si>
  <si>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</si>
  <si>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</si>
  <si>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</si>
  <si>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</si>
  <si>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</si>
  <si>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</si>
  <si>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</si>
  <si>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</si>
  <si>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</si>
  <si>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</si>
  <si>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</si>
  <si>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</si>
  <si>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</si>
  <si>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</si>
  <si>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</si>
  <si>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</si>
  <si>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</si>
  <si>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</si>
  <si>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</si>
  <si>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</si>
  <si>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</si>
  <si>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</si>
  <si>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</si>
  <si>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</si>
  <si>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</si>
  <si>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</si>
  <si>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</si>
  <si>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</si>
  <si>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</si>
  <si>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</si>
  <si>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</si>
  <si>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</si>
  <si>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</si>
  <si>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</si>
  <si>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</si>
  <si>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</si>
  <si>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</si>
  <si>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</si>
  <si>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</si>
  <si>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</si>
  <si>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</si>
  <si>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</si>
  <si>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</si>
  <si>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</si>
  <si>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</si>
  <si>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</si>
  <si>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</si>
  <si>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</si>
  <si>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</si>
  <si>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</si>
  <si>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</si>
  <si>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</si>
  <si>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</si>
  <si>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</si>
  <si>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</si>
  <si>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</si>
  <si>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</si>
  <si>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</si>
  <si>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</si>
  <si>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</si>
  <si>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</si>
  <si>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</si>
  <si>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</si>
  <si>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</si>
  <si>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</si>
  <si>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</si>
  <si>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</si>
  <si>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</si>
  <si>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</si>
  <si>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</si>
  <si>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</si>
  <si>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</si>
  <si>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</si>
  <si>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</si>
  <si>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</si>
  <si>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</si>
  <si>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</si>
  <si>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</si>
  <si>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</si>
  <si>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</si>
  <si>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</si>
  <si>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</si>
  <si>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</si>
  <si>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</si>
  <si>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</si>
  <si>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</si>
  <si>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</si>
  <si>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</si>
  <si>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</si>
  <si>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</si>
  <si>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</si>
  <si>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</si>
  <si>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</si>
  <si>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</si>
  <si>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</si>
  <si>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</si>
  <si>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</si>
  <si>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</si>
  <si>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</si>
  <si>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</si>
  <si>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</si>
  <si>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</si>
  <si>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</si>
  <si>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</si>
  <si>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</si>
  <si>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</si>
  <si>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</si>
  <si>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</si>
  <si>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</si>
  <si>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</si>
  <si>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</si>
  <si>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</si>
  <si>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</si>
  <si>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</si>
  <si>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</si>
  <si>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</si>
  <si>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</si>
  <si>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</si>
  <si>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</si>
  <si>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</si>
  <si>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</si>
  <si>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</si>
  <si>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</si>
  <si>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</si>
  <si>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</si>
  <si>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</si>
  <si>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</si>
  <si>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</si>
  <si>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</si>
  <si>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</si>
  <si>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</si>
  <si>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</si>
  <si>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</si>
  <si>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</si>
  <si>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</si>
  <si>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</si>
  <si>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</si>
  <si>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</si>
  <si>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</si>
  <si>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</si>
  <si>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</si>
  <si>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</si>
  <si>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</si>
  <si>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</si>
  <si>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</si>
  <si>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</si>
  <si>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</si>
  <si>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</si>
  <si>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</si>
  <si>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</si>
  <si>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</si>
  <si>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</si>
  <si>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</si>
  <si>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</si>
  <si>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</si>
  <si>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</si>
  <si>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</si>
  <si>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</si>
  <si>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</si>
  <si>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</si>
  <si>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</si>
  <si>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</si>
  <si>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</si>
  <si>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</si>
  <si>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</si>
  <si>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</si>
  <si>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</si>
  <si>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</si>
  <si>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</si>
  <si>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</si>
  <si>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</si>
  <si>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</si>
  <si>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</si>
  <si>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</si>
  <si>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</si>
  <si>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</si>
  <si>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</si>
  <si>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</si>
  <si>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</si>
  <si>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</si>
  <si>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</si>
  <si>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</si>
  <si>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</si>
  <si>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</si>
  <si>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</si>
  <si>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</si>
  <si>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</si>
  <si>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抵押</t>
  </si>
  <si>
    <t>房地产抵押价值</t>
  </si>
  <si>
    <t>北京市</t>
  </si>
  <si>
    <t>企业</t>
  </si>
  <si>
    <t>通州区宋庄镇双埠头村、大庞村、大兴庄村土地</t>
    <phoneticPr fontId="6" type="noConversion"/>
  </si>
  <si>
    <t>地上</t>
  </si>
  <si>
    <t>住宅</t>
  </si>
  <si>
    <t>住宅</t>
    <phoneticPr fontId="7" type="noConversion"/>
  </si>
  <si>
    <t>是</t>
  </si>
  <si>
    <t>工程进度</t>
  </si>
  <si>
    <t>在建：金地北京壹街区；佰富苑、艺和苑等，一般</t>
    <phoneticPr fontId="40" type="noConversion"/>
  </si>
  <si>
    <t>T18\T48，较差</t>
    <phoneticPr fontId="40" type="noConversion"/>
  </si>
  <si>
    <t>七通</t>
  </si>
  <si>
    <t>七通</t>
    <phoneticPr fontId="24" type="noConversion"/>
  </si>
  <si>
    <t>新华联生活超市等；北京电影学院培训中心等，较差</t>
    <phoneticPr fontId="40" type="noConversion"/>
  </si>
  <si>
    <t>区域自然环境：；人文环境：北塘艺术区；综合评价环境状况一般</t>
    <phoneticPr fontId="40" type="noConversion"/>
  </si>
  <si>
    <t>次干道——徐宋路</t>
    <phoneticPr fontId="24" type="noConversion"/>
  </si>
  <si>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</si>
  <si>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</si>
  <si>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</si>
  <si>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</si>
  <si>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</si>
  <si>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</si>
  <si>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</si>
  <si>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</si>
  <si>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</si>
  <si>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</si>
  <si>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</si>
  <si>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</si>
  <si>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</si>
  <si>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</si>
  <si>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</si>
  <si>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</si>
  <si>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</si>
  <si>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</si>
  <si>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</si>
  <si>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</si>
  <si>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</si>
  <si>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</si>
  <si>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</si>
  <si>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</si>
  <si>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</si>
  <si>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</si>
  <si>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</si>
  <si>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</si>
  <si>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</si>
  <si>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</si>
  <si>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</si>
  <si>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</si>
  <si>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</si>
  <si>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</si>
  <si>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</si>
  <si>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</si>
  <si>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</si>
  <si>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</si>
  <si>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</si>
  <si>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</si>
  <si>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</si>
  <si>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</si>
  <si>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</si>
  <si>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</si>
  <si>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</si>
  <si>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</si>
  <si>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</si>
  <si>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</si>
  <si>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</si>
  <si>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</si>
  <si>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</si>
  <si>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</si>
  <si>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</si>
  <si>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</si>
  <si>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</si>
  <si>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</si>
  <si>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</si>
  <si>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</si>
  <si>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</si>
  <si>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</si>
  <si>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</si>
  <si>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</si>
  <si>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</si>
  <si>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</si>
  <si>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</si>
  <si>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</si>
  <si>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</si>
  <si>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</si>
  <si>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</si>
  <si>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</si>
  <si>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</si>
  <si>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</si>
  <si>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</si>
  <si>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</si>
  <si>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</si>
  <si>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</si>
  <si>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</si>
  <si>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</si>
  <si>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</si>
  <si>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</si>
  <si>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</si>
  <si>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</si>
  <si>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</si>
  <si>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</si>
  <si>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</si>
  <si>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</si>
  <si>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</si>
  <si>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</si>
  <si>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</si>
  <si>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</si>
  <si>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</si>
  <si>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</si>
  <si>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</si>
  <si>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</si>
  <si>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</si>
  <si>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</si>
  <si>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</si>
  <si>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</si>
  <si>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</si>
  <si>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</si>
  <si>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</si>
  <si>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</si>
  <si>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</si>
  <si>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</si>
  <si>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</si>
  <si>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</si>
  <si>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</si>
  <si>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</si>
  <si>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</si>
  <si>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</si>
  <si>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</si>
  <si>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</si>
  <si>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</si>
  <si>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</si>
  <si>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</si>
  <si>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</si>
  <si>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</si>
  <si>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</si>
  <si>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</si>
  <si>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</si>
  <si>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</si>
  <si>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</si>
  <si>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</si>
  <si>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</si>
  <si>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</si>
  <si>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</si>
  <si>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</si>
  <si>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</si>
  <si>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</si>
  <si>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</si>
  <si>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</si>
  <si>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</si>
  <si>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</si>
  <si>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</si>
  <si>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</si>
  <si>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</si>
  <si>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</si>
  <si>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</si>
  <si>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</si>
  <si>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</si>
  <si>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规则</t>
  </si>
  <si>
    <t>较规则</t>
  </si>
  <si>
    <t>较不规则</t>
  </si>
  <si>
    <t>不规则</t>
  </si>
  <si>
    <t>较适宜</t>
    <phoneticPr fontId="3" type="noConversion"/>
  </si>
  <si>
    <t>六通</t>
  </si>
  <si>
    <t>五通</t>
  </si>
  <si>
    <t>四通</t>
  </si>
  <si>
    <t>三通</t>
  </si>
  <si>
    <t>较好</t>
    <phoneticPr fontId="3" type="noConversion"/>
  </si>
  <si>
    <t>政府指导价</t>
  </si>
  <si>
    <t>五级</t>
    <phoneticPr fontId="30" type="noConversion"/>
  </si>
  <si>
    <t>六级</t>
    <phoneticPr fontId="30" type="noConversion"/>
  </si>
  <si>
    <t>七级</t>
    <phoneticPr fontId="30" type="noConversion"/>
  </si>
  <si>
    <t>一般</t>
  </si>
  <si>
    <t>较好</t>
  </si>
  <si>
    <t>金隅花石匠、金隅香溪家园、欣桥家园等多家</t>
    <phoneticPr fontId="30" type="noConversion"/>
  </si>
  <si>
    <t>较差</t>
  </si>
  <si>
    <r>
      <t>T107</t>
    </r>
    <r>
      <rPr>
        <sz val="11"/>
        <rFont val="宋体"/>
        <family val="3"/>
        <charset val="134"/>
      </rPr>
      <t>、</t>
    </r>
    <r>
      <rPr>
        <sz val="11"/>
        <rFont val="Arial"/>
        <family val="2"/>
      </rPr>
      <t>T6</t>
    </r>
    <r>
      <rPr>
        <sz val="11"/>
        <rFont val="宋体"/>
        <family val="3"/>
        <charset val="134"/>
      </rPr>
      <t>、</t>
    </r>
    <r>
      <rPr>
        <sz val="11"/>
        <rFont val="Arial"/>
        <family val="2"/>
      </rPr>
      <t>T115</t>
    </r>
    <r>
      <rPr>
        <sz val="11"/>
        <rFont val="宋体"/>
        <family val="3"/>
        <charset val="134"/>
      </rPr>
      <t>等多条，地铁八通线土桥站</t>
    </r>
    <phoneticPr fontId="30" type="noConversion"/>
  </si>
  <si>
    <t>北京环球度假区、城市绿心森林公园</t>
    <phoneticPr fontId="30" type="noConversion"/>
  </si>
  <si>
    <t>华远好天地；华夏银行、中国银行；通州区新华医院、北京运河中医医院；北京第二实验小学(通州分校)、临河里小学</t>
    <phoneticPr fontId="30" type="noConversion"/>
  </si>
  <si>
    <t>双面临街</t>
  </si>
  <si>
    <t>单面临街</t>
  </si>
  <si>
    <t>多面临街</t>
  </si>
  <si>
    <t>御华园、芳草园、福运佳园等</t>
    <phoneticPr fontId="30" type="noConversion"/>
  </si>
  <si>
    <r>
      <t>317</t>
    </r>
    <r>
      <rPr>
        <sz val="11"/>
        <rFont val="宋体"/>
        <family val="3"/>
        <charset val="134"/>
      </rPr>
      <t>、</t>
    </r>
    <r>
      <rPr>
        <sz val="11"/>
        <rFont val="Arial"/>
        <family val="2"/>
      </rPr>
      <t>T5</t>
    </r>
    <r>
      <rPr>
        <sz val="11"/>
        <rFont val="宋体"/>
        <family val="3"/>
        <charset val="134"/>
      </rPr>
      <t>、</t>
    </r>
    <r>
      <rPr>
        <sz val="11"/>
        <rFont val="Arial"/>
        <family val="2"/>
      </rPr>
      <t>T50</t>
    </r>
    <r>
      <rPr>
        <sz val="11"/>
        <rFont val="宋体"/>
        <family val="3"/>
        <charset val="134"/>
      </rPr>
      <t>、</t>
    </r>
    <r>
      <rPr>
        <sz val="11"/>
        <rFont val="Arial"/>
        <family val="2"/>
      </rPr>
      <t>T64</t>
    </r>
    <r>
      <rPr>
        <sz val="11"/>
        <rFont val="宋体"/>
        <family val="3"/>
        <charset val="134"/>
      </rPr>
      <t>等多条</t>
    </r>
    <phoneticPr fontId="30" type="noConversion"/>
  </si>
  <si>
    <t>北京农商银行、中国建设银行；北京通州运通中医医院；张家湾镇中心小学、张家湾中学</t>
    <phoneticPr fontId="30" type="noConversion"/>
  </si>
  <si>
    <t>未包含在土地购买价格中</t>
  </si>
  <si>
    <t>已包含在土地取得成本中</t>
  </si>
  <si>
    <t>项目模式</t>
  </si>
  <si>
    <t>售价</t>
  </si>
  <si>
    <t>北京壹街区</t>
    <phoneticPr fontId="3" type="noConversion"/>
  </si>
  <si>
    <t>60-70（含）</t>
  </si>
  <si>
    <t>50-60（含）</t>
  </si>
  <si>
    <t>40-50（含）</t>
  </si>
  <si>
    <t>30-40（含）</t>
  </si>
  <si>
    <t>小高层</t>
    <phoneticPr fontId="24" type="noConversion"/>
  </si>
  <si>
    <t>高层</t>
  </si>
  <si>
    <t>高层</t>
    <phoneticPr fontId="24"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</si>
  <si>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</si>
  <si>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</si>
  <si>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</si>
  <si>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</si>
  <si>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</si>
  <si>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</si>
  <si>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</si>
  <si>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</si>
  <si>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</si>
  <si>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</si>
  <si>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</si>
  <si>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</si>
  <si>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</si>
  <si>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</si>
  <si>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</si>
  <si>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</si>
  <si>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</si>
  <si>
    <t>低区</t>
  </si>
  <si>
    <t>高</t>
    <phoneticPr fontId="24" type="noConversion"/>
  </si>
  <si>
    <t>中</t>
    <phoneticPr fontId="24" type="noConversion"/>
  </si>
  <si>
    <t>低</t>
    <phoneticPr fontId="24" type="noConversion"/>
  </si>
  <si>
    <t>楼层</t>
    <phoneticPr fontId="24" type="noConversion"/>
  </si>
  <si>
    <t>钢混</t>
  </si>
  <si>
    <t>中高档</t>
  </si>
  <si>
    <t>精装修</t>
  </si>
  <si>
    <t>专业</t>
  </si>
  <si>
    <t>正常</t>
  </si>
  <si>
    <t>住宅</t>
    <phoneticPr fontId="24" type="noConversion"/>
  </si>
  <si>
    <t>新地国际家园</t>
    <phoneticPr fontId="3" type="noConversion"/>
  </si>
  <si>
    <t>金地格林、翠福园、朝北8080，较好</t>
    <phoneticPr fontId="24" type="noConversion"/>
  </si>
  <si>
    <r>
      <t>342</t>
    </r>
    <r>
      <rPr>
        <sz val="11"/>
        <rFont val="宋体"/>
        <family val="3"/>
        <charset val="134"/>
      </rPr>
      <t>、</t>
    </r>
    <r>
      <rPr>
        <sz val="11"/>
        <rFont val="Arial"/>
        <family val="2"/>
      </rPr>
      <t>824</t>
    </r>
    <r>
      <rPr>
        <sz val="11"/>
        <rFont val="宋体"/>
        <family val="3"/>
        <charset val="134"/>
      </rPr>
      <t>、</t>
    </r>
    <r>
      <rPr>
        <sz val="11"/>
        <rFont val="Arial"/>
        <family val="2"/>
      </rPr>
      <t>924</t>
    </r>
    <r>
      <rPr>
        <sz val="11"/>
        <rFont val="宋体"/>
        <family val="3"/>
        <charset val="134"/>
      </rPr>
      <t>等</t>
    </r>
    <phoneticPr fontId="24" type="noConversion"/>
  </si>
  <si>
    <t>北京农商银行、中国邮储银行；通州区永顺镇北马庄社区卫生服务站；北京小学通州分校(北校区)</t>
    <phoneticPr fontId="30" type="noConversion"/>
  </si>
  <si>
    <t>温榆河滨河森林公园北区、新地家园城市森林公园</t>
    <phoneticPr fontId="24" type="noConversion"/>
  </si>
  <si>
    <t>多层、小高层</t>
  </si>
  <si>
    <t>多层、小高层</t>
    <phoneticPr fontId="24" type="noConversion"/>
  </si>
  <si>
    <t>金隅花石匠</t>
    <phoneticPr fontId="3" type="noConversion"/>
  </si>
  <si>
    <t>毛坯</t>
  </si>
  <si>
    <t>在建</t>
  </si>
  <si>
    <t>项目局部</t>
  </si>
  <si>
    <t>成本法</t>
  </si>
  <si>
    <t>假设开发法</t>
  </si>
  <si>
    <t>总价</t>
  </si>
  <si>
    <t>成本比率</t>
  </si>
  <si>
    <t>部分缴纳</t>
  </si>
  <si>
    <t>是否尾盘</t>
    <phoneticPr fontId="24" type="noConversion"/>
  </si>
  <si>
    <t>否</t>
    <phoneticPr fontId="24" type="noConversion"/>
  </si>
  <si>
    <t>是</t>
    <phoneticPr fontId="24" type="noConversion"/>
  </si>
  <si>
    <t>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</si>
</sst>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0" fillId="0" borderId="0" xfId="0" applyFill="1" applyAlignment="1"/>
    <xf numFmtId="0" fontId="94" fillId="0" borderId="44"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北京市通州区宋庄镇双埠头村、大庞村、大兴庄村土地出让国有建设用地使用权及在建建筑物房地产抵押价值预评估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受贵公司委托，我公司对北京市通州区宋庄镇双埠头村、大庞村、大兴庄村土地出让国有建设用地使用权及在建建筑物房地产抵押价值进行了预评估。</v>
      </c>
    </row>
    <row r="7" spans="1:2">
      <c r="A7" s="1119" t="s">
        <v>566</v>
      </c>
      <c r="B7" s="1120" t="str">
        <f>'预评函-1'!A7</f>
        <v>估价对象为北京市通州区宋庄镇双埠头村、大庞村、大兴庄村土地出让国有建设用地使用权及在建建筑物房地产，为所有。根据《国有土地使用证》[]，估价对象（分摊）出让国有建设用地使用权面积为0平方米，建筑面积为4949.51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宋庄镇双埠头村、大庞村、大兴庄村土地出让国有建设用地使用权及在建建筑物房地产,属开发建设的，该项目尚在开发建设中。根据《国有土地使用证》[]，估价对象（分摊）出让国有建设用地使用权面积为0平方米，规划建筑面积为4949.51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宋庄镇双埠头村、大庞村、大兴庄村土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2025年1月7日（评估专业人员实地查勘之日）</v>
      </c>
    </row>
    <row r="13" spans="1:2">
      <c r="A13" s="1119" t="s">
        <v>529</v>
      </c>
      <c r="B13" s="1120" t="str">
        <f>'预评函-1'!A18</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本次评估采用的主估价方法为成本法和假设开发法。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14913</v>
      </c>
    </row>
    <row r="21" spans="1:2">
      <c r="A21" s="1119" t="s">
        <v>537</v>
      </c>
      <c r="B21" s="1120">
        <f ca="1">'预评函-2'!D7</f>
        <v>30130</v>
      </c>
    </row>
    <row r="22" spans="1:2">
      <c r="A22" s="1119" t="s">
        <v>538</v>
      </c>
      <c r="B22" s="1120" t="str">
        <f ca="1">'预评函-2'!D6</f>
        <v>壹亿肆仟玖佰壹拾叁万元整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14913</v>
      </c>
    </row>
    <row r="31" spans="1:2">
      <c r="A31" s="1119" t="s">
        <v>576</v>
      </c>
      <c r="B31" s="1120">
        <f ca="1">'预评函-2'!D15</f>
        <v>30130</v>
      </c>
    </row>
    <row r="32" spans="1:2">
      <c r="A32" s="1119" t="s">
        <v>543</v>
      </c>
      <c r="B32" s="1120" t="str">
        <f ca="1">'预评函-2'!D14</f>
        <v>壹亿肆仟玖佰壹拾叁万元整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北京市通州区宋庄镇双埠头村、大庞村、大兴庄村土地出让国有建设用地使用权及在建建筑物房地产</v>
      </c>
    </row>
    <row r="42" spans="1:2">
      <c r="A42" s="1119" t="s">
        <v>590</v>
      </c>
      <c r="B42" s="1120" t="str">
        <f>'预评函-3'!B2</f>
        <v>建筑面积</v>
      </c>
    </row>
    <row r="43" spans="1:2">
      <c r="A43" s="1119" t="s">
        <v>591</v>
      </c>
      <c r="B43" s="1120">
        <f>'预评函-3'!B4</f>
        <v>4949.5099999999966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12780</v>
      </c>
    </row>
    <row r="48" spans="1:2">
      <c r="A48" s="1119" t="s">
        <v>549</v>
      </c>
      <c r="B48" s="1120">
        <f ca="1">'预评函-3'!E4</f>
        <v>25820</v>
      </c>
    </row>
    <row r="49" spans="1:2">
      <c r="A49" s="1119" t="s">
        <v>550</v>
      </c>
      <c r="B49" s="1120" t="str">
        <f ca="1">'预评函-3'!D5</f>
        <v>壹亿贰仟柒佰捌拾万元整</v>
      </c>
    </row>
    <row r="50" spans="1:2">
      <c r="A50" s="1119" t="s">
        <v>574</v>
      </c>
      <c r="B50" s="1120" t="str">
        <f>'预评函-3'!F2</f>
        <v>在建建筑物价值</v>
      </c>
    </row>
    <row r="51" spans="1:2">
      <c r="A51" s="1119" t="s">
        <v>551</v>
      </c>
      <c r="B51" s="1120">
        <f ca="1">'预评函-3'!F4</f>
        <v>2133</v>
      </c>
    </row>
    <row r="52" spans="1:2">
      <c r="A52" s="1119" t="s">
        <v>552</v>
      </c>
      <c r="B52" s="1120">
        <f ca="1">'预评函-3'!G4</f>
        <v>4310</v>
      </c>
    </row>
    <row r="53" spans="1:2">
      <c r="A53" s="1119" t="s">
        <v>580</v>
      </c>
      <c r="B53" s="1120" t="str">
        <f ca="1">'预评函-3'!F5</f>
        <v>贰仟壹佰叁拾叁万元整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63" sqref="G63"/>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2491</v>
      </c>
      <c r="B1" s="2752"/>
      <c r="C1" s="2752"/>
      <c r="D1" s="2752"/>
      <c r="E1" s="2752"/>
      <c r="F1" s="2753"/>
      <c r="I1" s="3130" t="s">
        <v>2584</v>
      </c>
      <c r="J1" s="2778"/>
      <c r="K1" s="2778"/>
      <c r="L1" s="2778"/>
      <c r="M1" s="2778"/>
      <c r="N1" s="2963"/>
      <c r="O1" s="2963"/>
      <c r="P1" s="2963"/>
      <c r="Q1" s="2963"/>
      <c r="R1" s="2963"/>
    </row>
    <row r="2" spans="1:18">
      <c r="A2" s="2755"/>
      <c r="B2" s="2756"/>
      <c r="C2" s="2756"/>
      <c r="D2" s="2756"/>
      <c r="E2" s="2756"/>
      <c r="F2" s="2757"/>
      <c r="I2" s="3211" t="s">
        <v>2571</v>
      </c>
      <c r="J2" s="3211"/>
      <c r="K2" s="3211"/>
      <c r="L2" s="3211"/>
      <c r="M2" s="3211"/>
      <c r="N2" s="3211"/>
      <c r="O2" s="3211"/>
      <c r="P2" s="3211"/>
      <c r="Q2" s="3211"/>
      <c r="R2" s="3211"/>
    </row>
    <row r="3" spans="1:18">
      <c r="A3" s="2758" t="s">
        <v>2492</v>
      </c>
      <c r="B3" s="2759">
        <f>项目基本情况!D3</f>
        <v>45664</v>
      </c>
      <c r="C3" s="2761"/>
      <c r="D3" s="2761"/>
      <c r="E3" s="2761"/>
      <c r="F3" s="2757"/>
      <c r="I3" s="2773"/>
      <c r="J3" s="2773" t="s">
        <v>2575</v>
      </c>
      <c r="K3" s="2773" t="s">
        <v>2576</v>
      </c>
      <c r="L3" s="2773" t="s">
        <v>2577</v>
      </c>
      <c r="M3" s="2773" t="s">
        <v>2578</v>
      </c>
      <c r="N3" s="3131" t="s">
        <v>2579</v>
      </c>
      <c r="O3" s="3131" t="s">
        <v>2580</v>
      </c>
      <c r="P3" s="3131" t="s">
        <v>2581</v>
      </c>
      <c r="Q3" s="3131" t="s">
        <v>2582</v>
      </c>
      <c r="R3" s="3131"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1.94</v>
      </c>
      <c r="D5" s="2763">
        <f>IF(ISERROR(ROUND(POWER(1+E5,A5-C5)*(POWER(1+E5,C5)-1)/(POWER(1+E5,A5)-1),3)),0,ROUND(POWER(1+E5,A5-C5)*(POWER(1+E5,C5)-1)/(POWER(1+E5,A5)-1),4))</f>
        <v>9.2499999999999999E-2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11.95</v>
      </c>
      <c r="D6" s="2763">
        <f>IF(ISERROR(ROUND(POWER(1+E6,A6-C6)*(POWER(1+E6,C6)-1)/(POWER(1+E6,A6)-1),3)),0,ROUND(POWER(1+E6,A6-C6)*(POWER(1+E6,C6)-1)/(POWER(1+E6,A6)-1),4))</f>
        <v>0.4355</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31.96</v>
      </c>
      <c r="D7" s="2763">
        <f>IF(ISERROR(ROUND(POWER(1+E7,A7-C7)*(POWER(1+E7,C7)-1)/(POWER(1+E7,A7)-1),3)),0,ROUND(POWER(1+E7,A7-C7)*(POWER(1+E7,C7)-1)/(POWER(1+E7,A7)-1),4))</f>
        <v>0.76349999999999996</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4.25" thickBot="1">
      <c r="A18" s="2768" t="s">
        <v>2507</v>
      </c>
      <c r="B18" s="2769">
        <f>ROUND(B17*F11/F12,2)</f>
        <v>5541.87</v>
      </c>
      <c r="C18" s="2769">
        <f>ROUND(F11/F12,4)</f>
        <v>1.1521999999999999</v>
      </c>
      <c r="D18" s="2770"/>
      <c r="E18" s="2770"/>
      <c r="F18" s="2771"/>
    </row>
    <row r="19" spans="1:14" ht="14.25" thickBot="1"/>
    <row r="20" spans="1:14" s="2804" customFormat="1" ht="14.2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8"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8">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8">
        <v>8</v>
      </c>
    </row>
    <row r="26" spans="1:14">
      <c r="A26" s="2777"/>
      <c r="B26" s="2778"/>
      <c r="C26" s="2778"/>
      <c r="D26" s="2778"/>
      <c r="E26" s="2778"/>
      <c r="F26" s="2778"/>
      <c r="G26" s="2779"/>
      <c r="I26" s="2795">
        <v>30</v>
      </c>
      <c r="J26" s="2795">
        <v>90.5</v>
      </c>
      <c r="K26" s="2795">
        <f t="shared" si="2"/>
        <v>4.2000000000000028</v>
      </c>
      <c r="L26" s="2795" t="s">
        <v>2562</v>
      </c>
      <c r="N26" s="3148">
        <v>5</v>
      </c>
    </row>
    <row r="27" spans="1:14">
      <c r="A27" s="2777" t="s">
        <v>2521</v>
      </c>
      <c r="B27" s="2778"/>
      <c r="C27" s="2778"/>
      <c r="D27" s="2778"/>
      <c r="E27" s="2778"/>
      <c r="F27" s="2778"/>
      <c r="G27" s="2779"/>
      <c r="I27" s="2795">
        <v>35</v>
      </c>
      <c r="J27" s="2795">
        <v>93.8</v>
      </c>
      <c r="K27" s="2795">
        <f t="shared" si="2"/>
        <v>3.2999999999999972</v>
      </c>
      <c r="L27" s="2795" t="s">
        <v>2563</v>
      </c>
      <c r="N27" s="3148">
        <v>3</v>
      </c>
    </row>
    <row r="28" spans="1:14">
      <c r="A28" s="2777" t="s">
        <v>2522</v>
      </c>
      <c r="B28" s="2778"/>
      <c r="C28" s="2778"/>
      <c r="D28" s="2778"/>
      <c r="E28" s="2778"/>
      <c r="F28" s="2778"/>
      <c r="G28" s="2779"/>
      <c r="I28" s="2795">
        <v>40</v>
      </c>
      <c r="J28" s="2795">
        <v>96.4</v>
      </c>
      <c r="K28" s="2795">
        <f t="shared" si="2"/>
        <v>2.6000000000000085</v>
      </c>
      <c r="L28" s="2795" t="s">
        <v>2564</v>
      </c>
      <c r="N28" s="3148">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8" t="s">
        <v>2559</v>
      </c>
    </row>
    <row r="37" spans="1:14">
      <c r="A37" s="2777" t="s">
        <v>2531</v>
      </c>
      <c r="B37" s="2778"/>
      <c r="C37" s="2778"/>
      <c r="D37" s="2778"/>
      <c r="E37" s="2778"/>
      <c r="F37" s="2778"/>
      <c r="G37" s="2779"/>
      <c r="I37" s="2795">
        <v>20</v>
      </c>
      <c r="J37" s="2795">
        <v>83.6</v>
      </c>
      <c r="K37" s="2795">
        <f t="shared" si="3"/>
        <v>7.2999999999999972</v>
      </c>
      <c r="L37" s="2795" t="s">
        <v>2557</v>
      </c>
      <c r="N37" s="3148">
        <v>10</v>
      </c>
    </row>
    <row r="38" spans="1:14">
      <c r="A38" s="2777" t="s">
        <v>2532</v>
      </c>
      <c r="B38" s="2778"/>
      <c r="C38" s="2778"/>
      <c r="D38" s="2778"/>
      <c r="E38" s="2778"/>
      <c r="F38" s="2778"/>
      <c r="G38" s="2779"/>
      <c r="I38" s="2795">
        <v>25</v>
      </c>
      <c r="J38" s="2795">
        <v>89.3</v>
      </c>
      <c r="K38" s="2795">
        <f t="shared" si="3"/>
        <v>5.7000000000000028</v>
      </c>
      <c r="L38" s="2795" t="s">
        <v>2561</v>
      </c>
      <c r="N38" s="3148">
        <v>8</v>
      </c>
    </row>
    <row r="39" spans="1:14">
      <c r="A39" s="2777"/>
      <c r="B39" s="2778"/>
      <c r="C39" s="2778"/>
      <c r="D39" s="2778"/>
      <c r="E39" s="2778"/>
      <c r="F39" s="2778"/>
      <c r="G39" s="2779"/>
      <c r="I39" s="2795">
        <v>30</v>
      </c>
      <c r="J39" s="2795">
        <v>93.8</v>
      </c>
      <c r="K39" s="2795">
        <f t="shared" si="3"/>
        <v>4.5</v>
      </c>
      <c r="L39" s="2795" t="s">
        <v>2562</v>
      </c>
      <c r="N39" s="3148">
        <v>6</v>
      </c>
    </row>
    <row r="40" spans="1:14">
      <c r="A40" s="2780" t="s">
        <v>2533</v>
      </c>
      <c r="B40" s="2781"/>
      <c r="C40" s="2781"/>
      <c r="D40" s="2781"/>
      <c r="E40" s="2781"/>
      <c r="F40" s="2781"/>
      <c r="G40" s="2782"/>
      <c r="I40" s="2795">
        <v>35</v>
      </c>
      <c r="J40" s="2795">
        <v>97.2</v>
      </c>
      <c r="K40" s="2795">
        <f t="shared" si="3"/>
        <v>3.4000000000000057</v>
      </c>
      <c r="L40" s="2795" t="s">
        <v>2563</v>
      </c>
      <c r="N40" s="3148">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4.2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8"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9" t="str">
        <f>IF(B10="北京市","北京市",C10)&amp;F10&amp;IF(结果表!G1="在建","出让国有建设用地使用权及在建建筑物",IF(结果表!G1="土地","出让国有建设用地使用权",))&amp;B9&amp;"预评估"</f>
        <v>北京市通州区宋庄镇双埠头村、大庞村、大兴庄村土地出让国有建设用地使用权及在建建筑物房地产抵押价值预评估</v>
      </c>
      <c r="C1" s="3220"/>
      <c r="D1" s="3220"/>
      <c r="E1" s="3220"/>
      <c r="F1" s="3220"/>
      <c r="G1" s="3220"/>
      <c r="H1" s="3220"/>
      <c r="I1" s="3221"/>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北京市通州区宋庄镇双埠头村、大庞村、大兴庄村土地出让国有建设用地使用权及在建建筑物房地产抵押价值</v>
      </c>
      <c r="T1" s="1617"/>
      <c r="U1" s="1617"/>
      <c r="V1" s="1617"/>
      <c r="W1" s="1617"/>
      <c r="X1" s="1617"/>
      <c r="Y1" s="1617"/>
      <c r="Z1" s="1617"/>
      <c r="AA1" s="1617"/>
      <c r="AB1" s="1617"/>
    </row>
    <row r="2" spans="1:30">
      <c r="A2" s="2180" t="s">
        <v>2169</v>
      </c>
      <c r="B2" s="122"/>
      <c r="D2" s="2443"/>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北京市通州区宋庄镇双埠头村、大庞村、大兴庄村土地出让国有建设用地使用权及在建建筑物房地产</v>
      </c>
      <c r="T2" s="1617"/>
      <c r="U2" s="1617"/>
      <c r="V2" s="1617"/>
      <c r="W2" s="1617"/>
      <c r="X2" s="1617"/>
      <c r="Y2" s="1617"/>
      <c r="Z2" s="1617"/>
      <c r="AA2" s="1617"/>
      <c r="AB2" s="1617"/>
    </row>
    <row r="3" spans="1:30">
      <c r="A3" s="294" t="s">
        <v>2170</v>
      </c>
      <c r="B3" s="2183">
        <v>45664</v>
      </c>
      <c r="C3" s="2184" t="s">
        <v>2171</v>
      </c>
      <c r="D3" s="2183">
        <f>B3</f>
        <v>45664</v>
      </c>
      <c r="E3" s="2438"/>
      <c r="F3" s="2438"/>
      <c r="G3" s="2438"/>
      <c r="H3" s="2438"/>
      <c r="I3" s="2438"/>
      <c r="J3" s="2243"/>
      <c r="K3" s="2181"/>
      <c r="L3" s="2182"/>
      <c r="M3" s="2182"/>
      <c r="N3" s="2180"/>
      <c r="O3" s="1466"/>
      <c r="P3" s="2180"/>
      <c r="Q3" s="2180"/>
      <c r="R3" s="2180"/>
      <c r="S3" s="1561"/>
      <c r="T3" s="1617"/>
      <c r="U3" s="1617"/>
      <c r="V3" s="1617"/>
      <c r="W3" s="1617"/>
      <c r="X3" s="1617"/>
      <c r="Y3" s="1617"/>
      <c r="Z3" s="1617"/>
      <c r="AA3" s="1617"/>
      <c r="AB3" s="1617"/>
    </row>
    <row r="4" spans="1:30" ht="13.5" thickBot="1">
      <c r="A4" s="1027" t="s">
        <v>2172</v>
      </c>
      <c r="B4" s="2185" t="s">
        <v>3396</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郑燚（注册号：1120070131)、（注册号：0)</v>
      </c>
      <c r="L4" s="2182"/>
      <c r="M4" s="2182"/>
      <c r="N4" s="2180"/>
      <c r="O4" s="1466"/>
      <c r="P4" s="2180"/>
      <c r="Q4" s="2180"/>
      <c r="R4" s="2180"/>
      <c r="S4" s="1561"/>
      <c r="T4" s="1617"/>
      <c r="U4" s="1617"/>
      <c r="V4" s="1617"/>
      <c r="W4" s="1617"/>
      <c r="X4" s="1617"/>
      <c r="Y4" s="1617"/>
      <c r="Z4" s="1617"/>
      <c r="AA4" s="1617"/>
      <c r="AB4" s="1617"/>
    </row>
    <row r="5" spans="1:30" ht="13.5"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7"/>
      <c r="T5" s="1617"/>
      <c r="U5" s="1617"/>
      <c r="V5" s="1617"/>
      <c r="W5" s="1617"/>
      <c r="X5" s="1617"/>
      <c r="Y5" s="1617"/>
      <c r="Z5" s="1617"/>
      <c r="AA5" s="1617"/>
      <c r="AB5" s="1617"/>
    </row>
    <row r="6" spans="1:30">
      <c r="A6" s="2192" t="s">
        <v>2174</v>
      </c>
      <c r="B6" s="2193"/>
      <c r="C6" s="2194"/>
      <c r="D6" s="2195"/>
      <c r="E6" s="2437"/>
      <c r="F6" s="2438"/>
      <c r="G6" s="2438"/>
      <c r="H6" s="2438"/>
      <c r="I6" s="2438"/>
      <c r="J6" s="2243"/>
      <c r="K6" s="2397" t="str">
        <f>IF(COUNTIF(B6,"*上海银行*"),"上海银行","")</f>
        <v/>
      </c>
      <c r="L6" s="2395"/>
      <c r="M6" s="2395"/>
      <c r="N6" s="2243"/>
      <c r="O6" s="1669"/>
      <c r="P6" s="2243"/>
      <c r="Q6" s="2243"/>
      <c r="R6" s="2243"/>
    </row>
    <row r="7" spans="1:30">
      <c r="A7" s="2192" t="s">
        <v>2175</v>
      </c>
      <c r="B7" s="2196"/>
      <c r="C7" s="2194"/>
      <c r="D7" s="2195"/>
      <c r="E7" s="2437"/>
      <c r="F7" s="2438"/>
      <c r="G7" s="2438"/>
      <c r="H7" s="2438"/>
      <c r="I7" s="2438"/>
      <c r="J7" s="2243"/>
      <c r="K7" s="2398"/>
      <c r="L7" s="2395"/>
      <c r="M7" s="2395"/>
      <c r="N7" s="2243"/>
      <c r="O7" s="1669"/>
      <c r="P7" s="2243"/>
      <c r="Q7" s="2243"/>
      <c r="R7" s="2243"/>
    </row>
    <row r="8" spans="1:30">
      <c r="A8" s="2197" t="s">
        <v>2176</v>
      </c>
      <c r="B8" s="2198" t="s">
        <v>3397</v>
      </c>
      <c r="C8" s="2199"/>
      <c r="D8" s="3222" t="s">
        <v>2177</v>
      </c>
      <c r="E8" s="2200" t="s">
        <v>3398</v>
      </c>
      <c r="F8" s="2201"/>
      <c r="G8" s="2438"/>
      <c r="H8" s="2438"/>
      <c r="I8" s="2438"/>
      <c r="J8" s="2243"/>
      <c r="K8" s="2396"/>
      <c r="L8" s="2395"/>
      <c r="M8" s="2395"/>
      <c r="N8" s="2243"/>
      <c r="O8" s="1669"/>
      <c r="P8" s="2243"/>
      <c r="Q8" s="2243"/>
      <c r="R8" s="2243"/>
    </row>
    <row r="9" spans="1:30" ht="13.5" thickBot="1">
      <c r="A9" s="2202" t="s">
        <v>2178</v>
      </c>
      <c r="B9" s="2203" t="s">
        <v>3398</v>
      </c>
      <c r="C9" s="2204"/>
      <c r="D9" s="3223"/>
      <c r="E9" s="2203" t="s">
        <v>43</v>
      </c>
      <c r="F9" s="2205"/>
      <c r="G9" s="2439"/>
      <c r="H9" s="2439"/>
      <c r="I9" s="2439"/>
      <c r="J9" s="2243"/>
      <c r="K9" s="2398"/>
      <c r="L9" s="2395"/>
      <c r="M9" s="2395"/>
      <c r="N9" s="2243"/>
      <c r="O9" s="1669"/>
      <c r="P9" s="2243"/>
      <c r="Q9" s="2243"/>
      <c r="R9" s="2243"/>
    </row>
    <row r="10" spans="1:30" ht="13.5" thickTop="1">
      <c r="A10" s="2206" t="s">
        <v>2179</v>
      </c>
      <c r="B10" s="2207" t="s">
        <v>3399</v>
      </c>
      <c r="C10" s="2208"/>
      <c r="D10" s="2191"/>
      <c r="E10" s="2209" t="s">
        <v>2180</v>
      </c>
      <c r="F10" s="3149" t="s">
        <v>3401</v>
      </c>
      <c r="G10" s="2440"/>
      <c r="H10" s="2441"/>
      <c r="I10" s="2442"/>
      <c r="J10" s="2243"/>
      <c r="K10" s="2398"/>
      <c r="L10" s="2395"/>
      <c r="M10" s="2395"/>
      <c r="N10" s="2243"/>
      <c r="O10" s="1669"/>
      <c r="P10" s="2243"/>
      <c r="Q10" s="2243"/>
      <c r="R10" s="2243"/>
    </row>
    <row r="11" spans="1:30">
      <c r="A11" s="2210" t="s">
        <v>2181</v>
      </c>
      <c r="B11" s="2211" t="s">
        <v>3400</v>
      </c>
      <c r="C11" s="2212"/>
      <c r="D11" s="2213"/>
      <c r="E11" s="2180"/>
      <c r="F11" s="2180"/>
      <c r="G11" s="2180"/>
      <c r="H11" s="2180"/>
      <c r="I11" s="2180"/>
      <c r="J11" s="2797"/>
      <c r="K11" s="2395"/>
      <c r="L11" s="2395"/>
      <c r="M11" s="2395"/>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6" t="s">
        <v>2567</v>
      </c>
      <c r="J12" s="2798"/>
      <c r="K12" s="2395"/>
      <c r="L12" s="2395"/>
      <c r="M12" s="2243"/>
      <c r="N12" s="1669"/>
      <c r="O12" s="2243"/>
      <c r="P12" s="2243"/>
      <c r="Q12" s="2243"/>
      <c r="AD12" s="1617"/>
    </row>
    <row r="13" spans="1:30">
      <c r="A13" s="3117" t="s">
        <v>3323</v>
      </c>
      <c r="B13" s="2216" t="s">
        <v>2190</v>
      </c>
      <c r="C13" s="803">
        <v>70790</v>
      </c>
      <c r="D13" s="803">
        <v>59832</v>
      </c>
      <c r="E13" s="803">
        <v>63485</v>
      </c>
      <c r="F13" s="803"/>
      <c r="G13" s="803"/>
      <c r="H13" s="803"/>
      <c r="I13" s="803"/>
      <c r="J13" s="2798"/>
      <c r="K13" s="2395"/>
      <c r="L13" s="2395"/>
      <c r="M13" s="2243"/>
      <c r="N13" s="1669"/>
      <c r="O13" s="2243"/>
      <c r="P13" s="2243"/>
      <c r="Q13" s="2243"/>
      <c r="AD13" s="1617"/>
    </row>
    <row r="14" spans="1:30">
      <c r="A14" s="1018"/>
      <c r="B14" s="2216" t="s">
        <v>2191</v>
      </c>
      <c r="C14" s="2217">
        <v>70</v>
      </c>
      <c r="D14" s="2217">
        <v>40</v>
      </c>
      <c r="E14" s="2217">
        <v>50</v>
      </c>
      <c r="F14" s="2217"/>
      <c r="G14" s="2217"/>
      <c r="H14" s="2217"/>
      <c r="I14" s="2217"/>
      <c r="J14" s="2799"/>
      <c r="K14" s="2395"/>
      <c r="L14" s="2395"/>
      <c r="M14" s="2243"/>
      <c r="N14" s="1669"/>
      <c r="O14" s="2243"/>
      <c r="P14" s="2243"/>
      <c r="Q14" s="2243"/>
      <c r="AD14" s="1617"/>
    </row>
    <row r="15" spans="1:30">
      <c r="A15" s="312"/>
      <c r="B15" s="2218" t="s">
        <v>2192</v>
      </c>
      <c r="C15" s="2219">
        <f>IF(A13="出让",IF(C13="","",ROUNDDOWN(MIN((C13-$D$3)/365,C14),2)),C14)</f>
        <v>68.83</v>
      </c>
      <c r="D15" s="2219">
        <f>IF(A13="出让",IF(D13="","",ROUNDDOWN(MIN((D13-$D$3)/365,D14),2)),D14)</f>
        <v>38.81</v>
      </c>
      <c r="E15" s="2219">
        <f>IF(A13="出让",IF(E13="","",ROUNDDOWN(MIN((E13-$D$3)/365,E14),2)),E14)</f>
        <v>48.82</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0"/>
      <c r="K15" s="1669"/>
      <c r="L15" s="1669"/>
      <c r="M15" s="2243"/>
      <c r="N15" s="1669"/>
      <c r="O15" s="2243"/>
      <c r="P15" s="2243"/>
      <c r="Q15" s="2243"/>
      <c r="AD15" s="1617"/>
    </row>
    <row r="16" spans="1:30">
      <c r="A16" s="2209" t="s">
        <v>2193</v>
      </c>
      <c r="B16" s="3229"/>
      <c r="C16" s="3230"/>
      <c r="D16" s="3231"/>
      <c r="E16" s="2220" t="s">
        <v>2194</v>
      </c>
      <c r="F16" s="3232"/>
      <c r="G16" s="3233"/>
      <c r="H16" s="3233"/>
      <c r="I16" s="3234"/>
      <c r="J16" s="2243"/>
      <c r="K16" s="2399"/>
      <c r="L16" s="1669"/>
      <c r="M16" s="1669"/>
      <c r="N16" s="2243"/>
      <c r="O16" s="1669"/>
      <c r="P16" s="2243"/>
      <c r="Q16" s="2243"/>
      <c r="R16" s="2243"/>
    </row>
    <row r="17" spans="1:28">
      <c r="A17" s="305" t="s">
        <v>2195</v>
      </c>
      <c r="B17" s="294" t="s">
        <v>2196</v>
      </c>
      <c r="C17" s="8">
        <f>'数据-汇总表'!E3</f>
        <v>4949.5099999999966</v>
      </c>
      <c r="D17" s="1256" t="s">
        <v>2197</v>
      </c>
      <c r="E17" s="3235" t="s">
        <v>2198</v>
      </c>
      <c r="F17" s="3236"/>
      <c r="G17" s="3236"/>
      <c r="H17" s="3236"/>
      <c r="I17" s="3237"/>
      <c r="J17" s="2243"/>
      <c r="K17" s="2400"/>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38" t="s">
        <v>2202</v>
      </c>
      <c r="F18" s="3239"/>
      <c r="G18" s="3239"/>
      <c r="H18" s="3239"/>
      <c r="I18" s="3240"/>
      <c r="J18" s="2243"/>
      <c r="K18" s="2400"/>
      <c r="L18" s="1669"/>
      <c r="M18" s="1669"/>
      <c r="N18" s="2243"/>
      <c r="O18" s="1669"/>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8"/>
      <c r="I19" s="2438"/>
      <c r="J19" s="2243"/>
      <c r="K19" s="2398"/>
      <c r="L19" s="2395"/>
      <c r="M19" s="2395"/>
      <c r="N19" s="2243"/>
      <c r="O19" s="1669"/>
      <c r="P19" s="2243"/>
      <c r="Q19" s="2243"/>
      <c r="R19" s="2243"/>
      <c r="S19" s="2243"/>
      <c r="T19" s="2243"/>
      <c r="U19" s="2243"/>
      <c r="V19" s="2243"/>
    </row>
    <row r="20" spans="1:28">
      <c r="A20" s="2413" t="s">
        <v>2205</v>
      </c>
      <c r="B20" s="3225" t="s">
        <v>2206</v>
      </c>
      <c r="C20" s="3226"/>
      <c r="D20" s="3227" t="s">
        <v>2207</v>
      </c>
      <c r="E20" s="3228"/>
      <c r="F20" s="2426" t="s">
        <v>1056</v>
      </c>
      <c r="G20" s="2438"/>
      <c r="H20" s="2438"/>
      <c r="I20" s="2438"/>
      <c r="J20" s="2243"/>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7"/>
      <c r="X20" s="1617"/>
      <c r="Y20" s="1617"/>
      <c r="Z20" s="1617"/>
      <c r="AA20" s="1617"/>
      <c r="AB20" s="1617"/>
    </row>
    <row r="21" spans="1:28" ht="24.75" thickBot="1">
      <c r="A21" s="2413"/>
      <c r="B21" s="2414" t="s">
        <v>2209</v>
      </c>
      <c r="C21" s="2292" t="s">
        <v>1057</v>
      </c>
      <c r="D21" s="1460" t="s">
        <v>2210</v>
      </c>
      <c r="E21" s="2415" t="s">
        <v>1057</v>
      </c>
      <c r="F21" s="2427"/>
      <c r="G21" s="2438"/>
      <c r="H21" s="2438"/>
      <c r="I21" s="2438"/>
      <c r="J21" s="2243"/>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7"/>
      <c r="X21" s="1617"/>
      <c r="Y21" s="1617"/>
      <c r="Z21" s="1617"/>
      <c r="AA21" s="1617"/>
      <c r="AB21" s="1617"/>
    </row>
    <row r="22" spans="1:28" ht="24.75" thickBot="1">
      <c r="A22" s="2413"/>
      <c r="B22" s="2416" t="s">
        <v>2211</v>
      </c>
      <c r="C22" s="2292" t="s">
        <v>1058</v>
      </c>
      <c r="D22" s="2438"/>
      <c r="E22" s="2438"/>
      <c r="F22" s="2438"/>
      <c r="G22" s="2438"/>
      <c r="H22" s="2438"/>
      <c r="I22" s="2438"/>
      <c r="J22" s="2243"/>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7"/>
      <c r="X22" s="1617"/>
      <c r="Y22" s="1617"/>
      <c r="Z22" s="1617"/>
      <c r="AA22" s="1617"/>
      <c r="AB22" s="1617"/>
    </row>
    <row r="23" spans="1:28">
      <c r="A23" s="2417" t="s">
        <v>2212</v>
      </c>
      <c r="B23" s="2289" t="s">
        <v>2213</v>
      </c>
      <c r="C23" s="2418"/>
      <c r="D23" s="2419" t="s">
        <v>2213</v>
      </c>
      <c r="E23" s="2420"/>
      <c r="F23" s="2438"/>
      <c r="G23" s="2438"/>
      <c r="H23" s="2438"/>
      <c r="I23" s="2438"/>
      <c r="J23" s="2243"/>
      <c r="K23" s="2397"/>
      <c r="L23" s="121"/>
      <c r="M23" s="2395"/>
      <c r="N23" s="2243"/>
      <c r="O23" s="1669"/>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21"/>
      <c r="M24" s="2395"/>
      <c r="N24" s="2243"/>
      <c r="O24" s="1669"/>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9"/>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9"/>
      <c r="P26" s="2243"/>
      <c r="Q26" s="2243"/>
      <c r="R26" s="2243"/>
      <c r="S26" s="2243"/>
      <c r="T26" s="2243"/>
      <c r="U26" s="2243"/>
      <c r="V26" s="2243"/>
    </row>
    <row r="27" spans="1:28" ht="13.5" thickTop="1">
      <c r="A27" s="3213" t="s">
        <v>2214</v>
      </c>
      <c r="B27" s="312" t="s">
        <v>2215</v>
      </c>
      <c r="C27" s="2223"/>
      <c r="D27" s="2224"/>
      <c r="E27" s="2438"/>
      <c r="F27" s="2438"/>
      <c r="G27" s="2438"/>
      <c r="H27" s="2438"/>
      <c r="I27" s="2438"/>
      <c r="J27" s="2243"/>
      <c r="K27" s="2399"/>
      <c r="L27" s="1669"/>
      <c r="M27" s="1669"/>
      <c r="N27" s="2243"/>
      <c r="O27" s="1669"/>
      <c r="P27" s="2243"/>
      <c r="Q27" s="2243"/>
      <c r="R27" s="2243"/>
      <c r="S27" s="2243"/>
      <c r="T27" s="2243"/>
      <c r="U27" s="2243"/>
      <c r="V27" s="2243"/>
    </row>
    <row r="28" spans="1:28">
      <c r="A28" s="3213"/>
      <c r="B28" s="294" t="s">
        <v>2216</v>
      </c>
      <c r="C28" s="2225"/>
      <c r="D28" s="2226"/>
      <c r="E28" s="2438"/>
      <c r="F28" s="2438"/>
      <c r="G28" s="2438"/>
      <c r="H28" s="2438"/>
      <c r="I28" s="2438"/>
      <c r="J28" s="2243"/>
      <c r="K28" s="2398"/>
      <c r="L28" s="2395"/>
      <c r="M28" s="2395"/>
      <c r="N28" s="2243"/>
      <c r="O28" s="1669"/>
      <c r="P28" s="2243"/>
      <c r="Q28" s="2243"/>
      <c r="R28" s="2243"/>
      <c r="S28" s="2243"/>
      <c r="T28" s="2243"/>
      <c r="U28" s="2243"/>
      <c r="V28" s="2243"/>
    </row>
    <row r="29" spans="1:28">
      <c r="A29" s="3213"/>
      <c r="B29" s="294" t="s">
        <v>2217</v>
      </c>
      <c r="C29" s="2227"/>
      <c r="D29" s="2228"/>
      <c r="E29" s="2438"/>
      <c r="F29" s="2438"/>
      <c r="G29" s="2438"/>
      <c r="H29" s="2438"/>
      <c r="I29" s="2438"/>
      <c r="J29" s="2243"/>
      <c r="K29" s="2398"/>
      <c r="L29" s="2395"/>
      <c r="M29" s="2395"/>
      <c r="N29" s="2243"/>
      <c r="O29" s="1669"/>
      <c r="P29" s="2243"/>
      <c r="Q29" s="2243"/>
      <c r="R29" s="2243"/>
      <c r="S29" s="2243"/>
      <c r="T29" s="2243"/>
      <c r="U29" s="2243"/>
      <c r="V29" s="2243"/>
    </row>
    <row r="30" spans="1:28">
      <c r="A30" s="3214"/>
      <c r="B30" s="294" t="s">
        <v>2218</v>
      </c>
      <c r="C30" s="3215"/>
      <c r="D30" s="3216"/>
      <c r="E30" s="2438"/>
      <c r="F30" s="2438"/>
      <c r="G30" s="2438"/>
      <c r="H30" s="2438"/>
      <c r="I30" s="2438"/>
      <c r="J30" s="2243"/>
      <c r="K30" s="2398"/>
      <c r="L30" s="2395"/>
      <c r="M30" s="2395"/>
      <c r="N30" s="2243"/>
      <c r="O30" s="1669"/>
      <c r="P30" s="2243"/>
      <c r="Q30" s="2243"/>
      <c r="R30" s="2243"/>
      <c r="S30" s="2243"/>
      <c r="T30" s="2243"/>
      <c r="U30" s="2243"/>
      <c r="V30" s="2243"/>
    </row>
    <row r="31" spans="1:28">
      <c r="A31" s="3217" t="s">
        <v>2219</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69"/>
      <c r="P31" s="2243"/>
      <c r="Q31" s="2243"/>
      <c r="R31" s="2243"/>
      <c r="S31" s="2243"/>
      <c r="T31" s="2243"/>
      <c r="U31" s="2243"/>
      <c r="V31" s="2243"/>
    </row>
    <row r="32" spans="1:28">
      <c r="A32" s="3218"/>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69"/>
      <c r="P32" s="2243"/>
      <c r="Q32" s="2243"/>
      <c r="R32" s="2243"/>
      <c r="S32" s="2243"/>
      <c r="T32" s="2243"/>
      <c r="U32" s="2243"/>
      <c r="V32" s="2243"/>
    </row>
    <row r="33" spans="1:30">
      <c r="A33" s="3218"/>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69"/>
      <c r="P33" s="2243"/>
      <c r="Q33" s="2243"/>
      <c r="R33" s="2243"/>
      <c r="S33" s="2243"/>
      <c r="T33" s="2243"/>
      <c r="U33" s="2243"/>
      <c r="V33" s="2243"/>
    </row>
    <row r="34" spans="1:30">
      <c r="A34" s="294" t="s">
        <v>2220</v>
      </c>
      <c r="B34" s="1868"/>
      <c r="C34" s="1868"/>
      <c r="D34" s="1868"/>
      <c r="E34" s="1868"/>
      <c r="F34" s="1868"/>
      <c r="G34" s="1868"/>
      <c r="H34" s="1868"/>
      <c r="I34" s="2438"/>
      <c r="J34" s="2243"/>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3"/>
      <c r="V34" s="2243"/>
    </row>
    <row r="35" spans="1:30">
      <c r="A35" s="2234"/>
      <c r="B35" s="3212" t="s">
        <v>2229</v>
      </c>
      <c r="C35" s="3212"/>
      <c r="D35" s="3212"/>
      <c r="E35" s="3212"/>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3"/>
      <c r="V35" s="2243"/>
    </row>
    <row r="36" spans="1:30">
      <c r="A36" s="2181"/>
      <c r="B36" s="8" t="s">
        <v>2185</v>
      </c>
      <c r="C36" s="8" t="s">
        <v>2186</v>
      </c>
      <c r="D36" s="8" t="s">
        <v>2184</v>
      </c>
      <c r="E36" s="8" t="s">
        <v>2189</v>
      </c>
      <c r="F36" s="2796" t="s">
        <v>2570</v>
      </c>
      <c r="G36" s="2438"/>
      <c r="H36" s="2438"/>
      <c r="I36" s="2438"/>
      <c r="J36" s="2243"/>
      <c r="K36" s="2398"/>
      <c r="L36" s="2395"/>
      <c r="M36" s="2395"/>
      <c r="N36" s="2243"/>
      <c r="O36" s="1669"/>
      <c r="P36" s="2243"/>
      <c r="Q36" s="2243"/>
      <c r="R36" s="2243"/>
      <c r="S36" s="2243"/>
      <c r="T36" s="2243"/>
      <c r="U36" s="2243"/>
      <c r="V36" s="2243"/>
    </row>
    <row r="37" spans="1:30">
      <c r="A37" s="2411" t="s">
        <v>2230</v>
      </c>
      <c r="B37" s="2235" t="s">
        <v>304</v>
      </c>
      <c r="C37" s="2235" t="s">
        <v>304</v>
      </c>
      <c r="D37" s="2235" t="s">
        <v>304</v>
      </c>
      <c r="E37" s="2235"/>
      <c r="F37" s="2235"/>
      <c r="G37" s="2438"/>
      <c r="H37" s="2438"/>
      <c r="I37" s="2438"/>
      <c r="J37" s="2243"/>
      <c r="K37" s="2398"/>
      <c r="L37" s="2395"/>
      <c r="M37" s="2395"/>
      <c r="N37" s="2243"/>
      <c r="O37" s="1669"/>
      <c r="P37" s="2243"/>
      <c r="Q37" s="2243"/>
      <c r="R37" s="2243"/>
      <c r="S37" s="2243"/>
      <c r="T37" s="2243"/>
      <c r="U37" s="2243"/>
      <c r="V37" s="2243"/>
    </row>
    <row r="38" spans="1:30" ht="13.5" thickBot="1">
      <c r="A38" s="2412" t="s">
        <v>2231</v>
      </c>
      <c r="B38" s="2236"/>
      <c r="C38" s="2236"/>
      <c r="D38" s="2236"/>
      <c r="E38" s="2236"/>
      <c r="F38" s="2236"/>
      <c r="G38" s="2439"/>
      <c r="H38" s="2439"/>
      <c r="I38" s="2439"/>
      <c r="J38" s="2243"/>
      <c r="K38" s="2398"/>
      <c r="L38" s="2395"/>
      <c r="M38" s="2395"/>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69"/>
      <c r="M40" s="1669"/>
      <c r="N40" s="2243"/>
      <c r="O40" s="1669"/>
      <c r="P40" s="2243"/>
      <c r="Q40" s="2243"/>
      <c r="R40" s="2243"/>
      <c r="S40" s="2243"/>
      <c r="T40" s="2243"/>
      <c r="U40" s="2243"/>
      <c r="V40" s="2243"/>
    </row>
    <row r="41" spans="1:30">
      <c r="A41" s="2240" t="s">
        <v>2233</v>
      </c>
      <c r="B41" s="1626"/>
      <c r="C41" s="1281"/>
      <c r="D41" s="2180"/>
      <c r="E41" s="2180"/>
      <c r="F41" s="2180"/>
      <c r="G41" s="2180"/>
      <c r="H41" s="2180"/>
      <c r="I41" s="1466"/>
      <c r="J41" s="2243"/>
      <c r="K41" s="2398"/>
      <c r="L41" s="2395"/>
      <c r="M41" s="2395"/>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5"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2"/>
      <c r="B51" s="1462"/>
      <c r="C51" s="628"/>
      <c r="D51" s="628"/>
      <c r="E51" s="628"/>
      <c r="F51" s="628"/>
      <c r="G51" s="628"/>
      <c r="H51" s="628"/>
      <c r="I51" s="628"/>
      <c r="J51" s="2241"/>
      <c r="K51" s="2242"/>
      <c r="L51" s="2242"/>
      <c r="M51" s="628"/>
      <c r="N51" s="628"/>
      <c r="O51" s="628"/>
      <c r="P51" s="628"/>
      <c r="Q51" s="628"/>
      <c r="R51" s="628"/>
    </row>
    <row r="52" spans="1:22" s="1615" customFormat="1">
      <c r="A52" s="1462"/>
      <c r="B52" s="1462"/>
      <c r="C52" s="1462"/>
      <c r="D52" s="1462"/>
      <c r="E52" s="1462"/>
      <c r="F52" s="628"/>
      <c r="G52" s="1462"/>
      <c r="H52" s="1462"/>
      <c r="I52" s="1462"/>
      <c r="J52" s="2244"/>
      <c r="K52" s="2242"/>
      <c r="L52" s="2242"/>
      <c r="M52" s="2242"/>
      <c r="N52" s="1462"/>
      <c r="O52" s="1462"/>
      <c r="P52" s="1462"/>
      <c r="Q52" s="1462"/>
      <c r="R52" s="1462"/>
    </row>
    <row r="53" spans="1:22" s="1615" customFormat="1">
      <c r="A53" s="1462"/>
      <c r="B53" s="1462"/>
      <c r="C53" s="1462"/>
      <c r="D53" s="1462"/>
      <c r="E53" s="1462"/>
      <c r="F53" s="628"/>
      <c r="G53" s="1462"/>
      <c r="H53" s="1462"/>
      <c r="I53" s="1462"/>
      <c r="J53" s="2244"/>
      <c r="K53" s="2242"/>
      <c r="L53" s="2242"/>
      <c r="M53" s="2242"/>
      <c r="N53" s="1462"/>
      <c r="O53" s="1462"/>
      <c r="P53" s="1462"/>
      <c r="Q53" s="1462"/>
      <c r="R53" s="1462"/>
    </row>
    <row r="54" spans="1:22" s="1615" customFormat="1">
      <c r="A54" s="1462"/>
      <c r="B54" s="1462"/>
      <c r="C54" s="1462"/>
      <c r="D54" s="1462"/>
      <c r="E54" s="1462"/>
      <c r="F54" s="628"/>
      <c r="G54" s="1462"/>
      <c r="H54" s="1462"/>
      <c r="I54" s="1462"/>
      <c r="J54" s="2244"/>
      <c r="K54" s="2242"/>
      <c r="L54" s="2242"/>
      <c r="M54" s="2242"/>
      <c r="N54" s="1462"/>
      <c r="O54" s="1462"/>
      <c r="P54" s="1462"/>
      <c r="Q54" s="1462"/>
      <c r="R54" s="1462"/>
    </row>
    <row r="55" spans="1:22" s="1615" customFormat="1">
      <c r="A55" s="1462"/>
      <c r="B55" s="1462"/>
      <c r="C55" s="1462"/>
      <c r="D55" s="1462"/>
      <c r="E55" s="1462"/>
      <c r="F55" s="628"/>
      <c r="G55" s="1462"/>
      <c r="H55" s="1462"/>
      <c r="I55" s="1462"/>
      <c r="J55" s="2244"/>
      <c r="K55" s="2242"/>
      <c r="L55" s="2242"/>
      <c r="M55" s="2242"/>
      <c r="N55" s="1462"/>
      <c r="O55" s="1462"/>
      <c r="P55" s="1462"/>
      <c r="Q55" s="1462"/>
      <c r="R55" s="1462"/>
    </row>
    <row r="56" spans="1:22" s="1615"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4949.5099999999966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4949.5099999999966</v>
      </c>
      <c r="H5" s="13">
        <f t="shared" ref="H5:AT5" si="0">SUM(H13:H656)</f>
        <v>4949.5099999999966</v>
      </c>
      <c r="I5" s="13">
        <f t="shared" si="0"/>
        <v>4949.5099999999966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4949.5099999999966</v>
      </c>
      <c r="BA5" s="15">
        <f t="shared" si="1"/>
        <v>4949.5099999999966</v>
      </c>
      <c r="BB5" s="15">
        <f t="shared" si="1"/>
        <v>4949.5099999999966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3405</v>
      </c>
      <c r="E13" s="13">
        <f>IF($C$3="是",ROUND($A$3*G13/$B$3,2),ROUND($A$3*(G13-AT13)/$B$3,2))</f>
        <v>0</v>
      </c>
      <c r="F13" s="29"/>
      <c r="G13" s="30">
        <f>H13+AC13+AT13</f>
        <v>4949.5099999999966</v>
      </c>
      <c r="H13" s="17">
        <f>SUMIF(I$12:AB$12,"总值",I13:AB13)</f>
        <v>4949.5099999999966</v>
      </c>
      <c r="I13" s="1514">
        <v>4949.5099999999966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4949.5099999999966</v>
      </c>
      <c r="BA13" s="13">
        <f>SUM(BB13:BK13)</f>
        <v>4949.5099999999966</v>
      </c>
      <c r="BB13" s="13">
        <f>IF($D13="是",I13-J13,0)</f>
        <v>4949.5099999999966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5"/>
      <c r="G2" s="2428"/>
      <c r="H2" s="2429"/>
      <c r="I2" s="2144" t="s">
        <v>1132</v>
      </c>
      <c r="J2" s="2435"/>
      <c r="K2" s="2435"/>
      <c r="L2" s="2435"/>
      <c r="M2" s="2435"/>
      <c r="N2" s="2436"/>
      <c r="O2" s="2435"/>
      <c r="P2" s="2435"/>
    </row>
    <row r="3" spans="1:16" ht="15.75" thickBot="1">
      <c r="A3" s="3251" t="s">
        <v>1105</v>
      </c>
      <c r="B3" s="3251"/>
      <c r="C3" s="3251"/>
      <c r="D3" s="41">
        <f>'数据-基础表'!AY6</f>
        <v>0</v>
      </c>
      <c r="E3" s="41">
        <f>'数据-基础表'!AZ5</f>
        <v>4949.5099999999966</v>
      </c>
      <c r="F3" s="2435"/>
      <c r="G3" s="42"/>
      <c r="H3" s="43" t="s">
        <v>1106</v>
      </c>
      <c r="I3" s="802" t="e">
        <f>ROUND('数据-基础表'!B3/'数据-基础表'!A3,2)</f>
        <v>#DIV/0!</v>
      </c>
      <c r="J3" s="2435"/>
      <c r="K3" s="2435"/>
      <c r="L3" s="2435"/>
      <c r="M3" s="2435"/>
      <c r="N3" s="2436"/>
      <c r="O3" s="2435"/>
      <c r="P3" s="2435"/>
    </row>
    <row r="4" spans="1:16" ht="15">
      <c r="A4" s="3252"/>
      <c r="B4" s="3253"/>
      <c r="C4" s="3254"/>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5" t="s">
        <v>1110</v>
      </c>
      <c r="C5" s="3255"/>
      <c r="D5" s="43">
        <f>ROUND($D$3*E5/$E$3,2)</f>
        <v>0</v>
      </c>
      <c r="E5" s="44">
        <f>SUMIF('数据-基础表'!$11:$11,"住宅",'数据-基础表'!$5:$5)</f>
        <v>4949.5099999999966</v>
      </c>
      <c r="F5" s="2435"/>
      <c r="G5" s="42"/>
      <c r="H5" s="43" t="s">
        <v>1106</v>
      </c>
      <c r="I5" s="802" t="e">
        <f>ROUND(E31/D31,2)</f>
        <v>#DIV/0!</v>
      </c>
      <c r="J5" s="2435"/>
      <c r="K5" s="2435"/>
      <c r="L5" s="2435"/>
      <c r="M5" s="2435"/>
      <c r="N5" s="2435"/>
      <c r="O5" s="2435"/>
      <c r="P5" s="2435"/>
    </row>
    <row r="6" spans="1:16" ht="15" thickBot="1">
      <c r="A6" s="1527"/>
      <c r="B6" s="3255" t="s">
        <v>1111</v>
      </c>
      <c r="C6" s="3255"/>
      <c r="D6" s="43">
        <f>ROUND($D$3*E6/$E$3,2)</f>
        <v>0</v>
      </c>
      <c r="E6" s="44">
        <f>E3-E5</f>
        <v>0</v>
      </c>
      <c r="F6" s="2435"/>
      <c r="G6" s="1529" t="s">
        <v>1112</v>
      </c>
      <c r="H6" s="45" t="s">
        <v>1113</v>
      </c>
      <c r="I6" s="2431" t="e">
        <f>ROUND(F31/D31,2)</f>
        <v>#DIV/0!</v>
      </c>
      <c r="J6" s="2435"/>
      <c r="K6" s="2435"/>
      <c r="L6" s="2435"/>
      <c r="M6" s="2435"/>
      <c r="N6" s="2435"/>
      <c r="O6" s="2435"/>
      <c r="P6" s="2435"/>
    </row>
    <row r="7" spans="1:16" ht="15.75" thickBot="1">
      <c r="A7" s="3247"/>
      <c r="B7" s="3248"/>
      <c r="C7" s="3249"/>
      <c r="D7" s="1524" t="s">
        <v>1107</v>
      </c>
      <c r="E7" s="1528"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4949.5099999999966</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4949.5099999999966</v>
      </c>
      <c r="F16" s="2435"/>
      <c r="G16" s="2435"/>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3404</v>
      </c>
      <c r="D19" s="43">
        <f>ROUND($D$3*E19/$E$3,2)</f>
        <v>0</v>
      </c>
      <c r="E19" s="51">
        <f t="shared" ref="E19:E26" si="1">SUM(F19:G19)</f>
        <v>4949.5099999999966</v>
      </c>
      <c r="F19" s="2553">
        <f>'数据-基础表'!I13</f>
        <v>4949.5099999999966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4949.5099999999966</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4949.5099999999966</v>
      </c>
      <c r="F27" s="1072">
        <f>IF(SUM(F19:F26)=E8,SUM(F19:F26),"地上面积有误")</f>
        <v>4949.5099999999966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4949.5099999999966</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0</v>
      </c>
      <c r="E31" s="643">
        <f>E27+E30</f>
        <v>4949.5099999999966</v>
      </c>
      <c r="F31" s="644">
        <f>F27+F30</f>
        <v>4949.5099999999966</v>
      </c>
      <c r="G31" s="645">
        <f>G27+G30</f>
        <v>0</v>
      </c>
      <c r="H31" s="2435"/>
      <c r="I31" s="2435"/>
      <c r="J31" s="2435"/>
      <c r="K31" s="2435"/>
      <c r="L31" s="2435"/>
      <c r="M31" s="2435"/>
      <c r="N31" s="2435"/>
      <c r="O31" s="2435"/>
      <c r="P31" s="2435"/>
    </row>
    <row r="32" spans="1:19">
      <c r="A32" s="1526"/>
      <c r="B32" s="1526" t="s">
        <v>1159</v>
      </c>
      <c r="C32" s="1526"/>
      <c r="D32" s="1526"/>
      <c r="E32" s="990">
        <f>SUMIF(C19:C26,"*住宅*",E19:E26)</f>
        <v>4949.5099999999966</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34" sqref="D34"/>
    </sheetView>
  </sheetViews>
  <sheetFormatPr defaultColWidth="13.75" defaultRowHeight="12.75"/>
  <cols>
    <col min="1" max="1" width="20.875" style="1617" customWidth="1"/>
    <col min="2" max="2" width="12" style="1561" customWidth="1"/>
    <col min="3" max="3" width="12.75" style="1561" customWidth="1"/>
    <col min="4" max="4" width="9.125" style="1618"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1161</v>
      </c>
      <c r="B2" s="984">
        <f>项目基本情况!D3</f>
        <v>45664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3403</v>
      </c>
      <c r="D6" s="805">
        <f>SUMIF(项目基本情况!C$12:I$12,C6,项目基本情况!C$14:I$14)</f>
        <v>70</v>
      </c>
      <c r="E6" s="804">
        <f>IF(B6="","",SUMIF(项目基本情况!C$12:I$12,C6,项目基本情况!C$13:I$13))</f>
        <v>70790</v>
      </c>
      <c r="F6" s="61">
        <f>SUMIF(项目基本情况!C$12:I$12,C6,项目基本情况!C$15:I$15)</f>
        <v>68.83</v>
      </c>
      <c r="G6" s="62">
        <f>IF(ISERROR(ROUND(POWER(1+H6,D6-F6)*(POWER(1+H6,F6)-1)/(POWER(1+H6,D6)-1),3)),0,ROUND(POWER(1+H6,D6-F6)*(POWER(1+H6,F6)-1)/(POWER(1+H6,D6)-1),3))</f>
        <v>0.997</v>
      </c>
      <c r="H6" s="691">
        <v>0.04</v>
      </c>
      <c r="I6" s="691">
        <v>4.4999999999999998E-2</v>
      </c>
      <c r="J6" s="3150">
        <v>7.0000000000000007E-2</v>
      </c>
      <c r="K6" s="970">
        <f>SUMIF('数据-汇总表'!C$19:C$33,A6,'数据-汇总表'!E$19:E$33)</f>
        <v>4949.5099999999966</v>
      </c>
      <c r="L6" s="692">
        <v>6000</v>
      </c>
      <c r="M6" s="64">
        <f t="shared" ref="M6:M14" si="0">ROUND(K6*L6/10000,0)</f>
        <v>2970</v>
      </c>
      <c r="N6" s="690">
        <v>0.5</v>
      </c>
      <c r="O6" s="64">
        <f>IF($N$5="成新度","——",ROUND(M6*N6,0))</f>
        <v>1485</v>
      </c>
      <c r="P6" s="65">
        <f>IF($N$5="成新度","——",M6-O6)</f>
        <v>1485</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2"/>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29697059.999999978</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0.997</v>
      </c>
      <c r="H16" s="84">
        <f>ROUND(SUMPRODUCT(H6:H13,K6:K13)/SUMPRODUCT((H6:H13&gt;0)*(K6:K13)),3)</f>
        <v>0.04</v>
      </c>
      <c r="I16" s="85"/>
      <c r="J16" s="85"/>
      <c r="K16" s="86">
        <f>SUM(K6:K15)</f>
        <v>4949.5099999999966</v>
      </c>
      <c r="L16" s="87">
        <f>ROUND(M16*10000/SUM(K6:K14),0)</f>
        <v>6001</v>
      </c>
      <c r="M16" s="87">
        <f>SUM(M6:M14)</f>
        <v>2970</v>
      </c>
      <c r="N16" s="88">
        <f>ROUND(SUMPRODUCT(M6:M14,N6:N14)/M16,3)</f>
        <v>0.5</v>
      </c>
      <c r="O16" s="87">
        <f>SUM(O6:O14)</f>
        <v>1485</v>
      </c>
      <c r="P16" s="87">
        <f>SUM(P6:P14)</f>
        <v>1485</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1212</v>
      </c>
      <c r="B20" s="98">
        <v>2</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1213</v>
      </c>
      <c r="B21" s="98">
        <f>ROUND(B20*N16,2)</f>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1</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1220</v>
      </c>
      <c r="B27" s="101">
        <v>140</v>
      </c>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1221</v>
      </c>
      <c r="B28" s="103">
        <v>170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1222</v>
      </c>
      <c r="B29" s="105"/>
      <c r="C29" s="2559" t="s">
        <v>2285</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1225</v>
      </c>
      <c r="B32" s="639">
        <v>0</v>
      </c>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1227</v>
      </c>
      <c r="B34" s="106">
        <v>0.05</v>
      </c>
      <c r="C34" s="2560" t="s">
        <v>2286</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1228</v>
      </c>
      <c r="B35" s="103">
        <v>200</v>
      </c>
      <c r="C35" s="2560" t="s">
        <v>2287</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2301</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1236</v>
      </c>
      <c r="B44" s="112">
        <v>0.05</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2296</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1245</v>
      </c>
      <c r="B53" s="3151"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56" t="s">
        <v>2277</v>
      </c>
      <c r="B1" s="3257"/>
      <c r="C1" s="3257"/>
      <c r="D1" s="3257"/>
      <c r="E1" s="3257"/>
      <c r="F1" s="3257"/>
      <c r="G1" s="325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3152" t="s">
        <v>3407</v>
      </c>
      <c r="D3" s="2263"/>
      <c r="E3" s="2246" t="s">
        <v>2276</v>
      </c>
      <c r="F3" s="2264" t="s">
        <v>2253</v>
      </c>
      <c r="G3" s="2265"/>
      <c r="H3" s="751"/>
      <c r="I3" s="751"/>
      <c r="J3" s="751"/>
      <c r="K3" s="751"/>
      <c r="L3" s="751"/>
      <c r="M3" s="751"/>
      <c r="N3" s="751"/>
      <c r="O3" s="751"/>
      <c r="P3" s="751"/>
      <c r="Q3" s="751"/>
    </row>
    <row r="4" spans="1:29">
      <c r="A4" s="2246"/>
      <c r="B4" s="315" t="s">
        <v>2254</v>
      </c>
      <c r="C4" s="2266"/>
      <c r="D4" s="2263"/>
      <c r="E4" s="2267"/>
      <c r="F4" s="1281" t="s">
        <v>2255</v>
      </c>
      <c r="G4" s="2268"/>
      <c r="H4" s="751"/>
      <c r="I4" s="751"/>
      <c r="J4" s="751"/>
      <c r="K4" s="751"/>
      <c r="L4" s="751"/>
      <c r="M4" s="751"/>
      <c r="N4" s="751"/>
      <c r="O4" s="751"/>
      <c r="P4" s="751"/>
      <c r="Q4" s="751"/>
    </row>
    <row r="5" spans="1:29">
      <c r="A5" s="2246"/>
      <c r="B5" s="315" t="s">
        <v>2256</v>
      </c>
      <c r="C5" s="2266"/>
      <c r="D5" s="2263"/>
      <c r="E5" s="2267"/>
      <c r="F5" s="315" t="s">
        <v>2257</v>
      </c>
      <c r="G5" s="2268"/>
      <c r="H5" s="751"/>
      <c r="I5" s="751"/>
      <c r="J5" s="751"/>
      <c r="K5" s="751"/>
      <c r="L5" s="751"/>
      <c r="M5" s="751"/>
      <c r="N5" s="751"/>
      <c r="O5" s="751"/>
      <c r="P5" s="751"/>
      <c r="Q5" s="751"/>
    </row>
    <row r="6" spans="1:29">
      <c r="A6" s="2246"/>
      <c r="B6" s="315" t="s">
        <v>2258</v>
      </c>
      <c r="C6" s="3153" t="s">
        <v>3408</v>
      </c>
      <c r="D6" s="2263"/>
      <c r="E6" s="2267"/>
      <c r="F6" s="315" t="s">
        <v>2259</v>
      </c>
      <c r="G6" s="2268"/>
      <c r="H6" s="751"/>
      <c r="I6" s="751"/>
      <c r="J6" s="751"/>
      <c r="K6" s="751"/>
      <c r="L6" s="751"/>
      <c r="M6" s="751"/>
      <c r="N6" s="751"/>
      <c r="O6" s="751"/>
      <c r="P6" s="751"/>
      <c r="Q6" s="751"/>
    </row>
    <row r="7" spans="1:29" ht="24.75" thickBot="1">
      <c r="A7" s="2246"/>
      <c r="B7" s="315" t="s">
        <v>2257</v>
      </c>
      <c r="C7" s="3153" t="s">
        <v>3411</v>
      </c>
      <c r="D7" s="2243"/>
      <c r="E7" s="2269"/>
      <c r="F7" s="2270" t="s">
        <v>2260</v>
      </c>
      <c r="G7" s="2271"/>
      <c r="H7" s="751"/>
      <c r="I7" s="751"/>
      <c r="J7" s="751"/>
      <c r="K7" s="751"/>
      <c r="L7" s="751"/>
      <c r="M7" s="751"/>
      <c r="N7" s="751"/>
      <c r="O7" s="751"/>
      <c r="P7" s="751"/>
      <c r="Q7" s="751"/>
    </row>
    <row r="8" spans="1:29">
      <c r="A8" s="2246"/>
      <c r="B8" s="315" t="s">
        <v>2259</v>
      </c>
      <c r="C8" s="3153" t="s">
        <v>3410</v>
      </c>
      <c r="D8" s="2243"/>
      <c r="E8" s="2243"/>
      <c r="F8" s="121"/>
      <c r="G8" s="121"/>
      <c r="H8" s="751"/>
      <c r="I8" s="751"/>
      <c r="J8" s="751"/>
      <c r="K8" s="751"/>
      <c r="L8" s="751"/>
      <c r="M8" s="751"/>
      <c r="N8" s="751"/>
      <c r="O8" s="751"/>
      <c r="P8" s="751"/>
      <c r="Q8" s="751"/>
    </row>
    <row r="9" spans="1:29" ht="36">
      <c r="A9" s="2246"/>
      <c r="B9" s="315" t="s">
        <v>2261</v>
      </c>
      <c r="C9" s="3154" t="s">
        <v>3412</v>
      </c>
      <c r="D9" s="2263"/>
      <c r="E9" s="2243"/>
      <c r="F9" s="121"/>
      <c r="G9" s="121"/>
      <c r="H9" s="751"/>
      <c r="I9" s="751"/>
      <c r="J9" s="751"/>
      <c r="K9" s="751"/>
      <c r="L9" s="751"/>
      <c r="M9" s="751"/>
      <c r="N9" s="751"/>
      <c r="O9" s="751"/>
      <c r="P9" s="751"/>
      <c r="Q9" s="751"/>
    </row>
    <row r="10" spans="1:29" ht="15" thickBot="1">
      <c r="A10" s="2247"/>
      <c r="B10" s="2272" t="s">
        <v>2262</v>
      </c>
      <c r="C10" s="3155" t="s">
        <v>3413</v>
      </c>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2278</v>
      </c>
      <c r="B13" s="2276"/>
      <c r="C13" s="2276"/>
      <c r="D13" s="2275"/>
      <c r="E13" s="2276"/>
      <c r="F13" s="2276"/>
      <c r="G13" s="2276"/>
    </row>
    <row r="14" spans="1:29" ht="15" thickBot="1">
      <c r="A14" s="2281"/>
      <c r="B14" s="2281"/>
      <c r="C14" s="2282" t="s">
        <v>2263</v>
      </c>
      <c r="D14" s="2263"/>
      <c r="E14" s="2283"/>
      <c r="F14" s="2283"/>
      <c r="G14" s="2260" t="s">
        <v>2264</v>
      </c>
    </row>
    <row r="15" spans="1:29" ht="25.5">
      <c r="A15" s="2248" t="s">
        <v>2265</v>
      </c>
      <c r="B15" s="2284" t="s">
        <v>2252</v>
      </c>
      <c r="C15" s="2285" t="str">
        <f>C3</f>
        <v>在建：金地北京壹街区；佰富苑、艺和苑等，一般</v>
      </c>
      <c r="D15" s="2263"/>
      <c r="E15" s="2249" t="s">
        <v>2266</v>
      </c>
      <c r="F15" s="2284" t="s">
        <v>2267</v>
      </c>
      <c r="G15" s="2286">
        <f>G3</f>
        <v>0</v>
      </c>
    </row>
    <row r="16" spans="1:29">
      <c r="A16" s="2250"/>
      <c r="B16" s="2287" t="s">
        <v>2254</v>
      </c>
      <c r="C16" s="2288">
        <f>C4</f>
        <v>0</v>
      </c>
      <c r="D16" s="2263"/>
      <c r="E16" s="2251"/>
      <c r="F16" s="2289" t="s">
        <v>2255</v>
      </c>
      <c r="G16" s="2290">
        <f>G4</f>
        <v>0</v>
      </c>
    </row>
    <row r="17" spans="1:17">
      <c r="A17" s="2250"/>
      <c r="B17" s="2287" t="s">
        <v>2256</v>
      </c>
      <c r="C17" s="2288">
        <f>C5</f>
        <v>0</v>
      </c>
      <c r="D17" s="2243"/>
      <c r="E17" s="2251"/>
      <c r="F17" s="2289" t="s">
        <v>2268</v>
      </c>
      <c r="G17" s="2291"/>
    </row>
    <row r="18" spans="1:17">
      <c r="A18" s="2250"/>
      <c r="B18" s="2289" t="s">
        <v>2258</v>
      </c>
      <c r="C18" s="2290" t="str">
        <f>C6</f>
        <v>T18\T48，较差</v>
      </c>
      <c r="D18" s="2243"/>
      <c r="E18" s="2251"/>
      <c r="F18" s="2289" t="s">
        <v>2260</v>
      </c>
      <c r="G18" s="2290">
        <f>G7</f>
        <v>0</v>
      </c>
    </row>
    <row r="19" spans="1:17">
      <c r="A19" s="2250"/>
      <c r="B19" s="2289" t="s">
        <v>2269</v>
      </c>
      <c r="C19" s="2291"/>
      <c r="D19" s="2263"/>
      <c r="E19" s="2251"/>
      <c r="F19" s="315" t="s">
        <v>2257</v>
      </c>
      <c r="G19" s="2290">
        <f>G5</f>
        <v>0</v>
      </c>
    </row>
    <row r="20" spans="1:17" ht="38.25">
      <c r="A20" s="2250"/>
      <c r="B20" s="2289" t="s">
        <v>2270</v>
      </c>
      <c r="C20" s="2288" t="str">
        <f>C9</f>
        <v>区域自然环境：；人文环境：北塘艺术区；综合评价环境状况一般</v>
      </c>
      <c r="D20" s="2243"/>
      <c r="E20" s="2251"/>
      <c r="F20" s="315" t="s">
        <v>2259</v>
      </c>
      <c r="G20" s="2290">
        <f>G6</f>
        <v>0</v>
      </c>
    </row>
    <row r="21" spans="1:17" ht="25.5">
      <c r="A21" s="2250"/>
      <c r="B21" s="315" t="s">
        <v>2257</v>
      </c>
      <c r="C21" s="2290" t="str">
        <f>C7</f>
        <v>新华联生活超市等；北京电影学院培训中心等，较差</v>
      </c>
      <c r="D21" s="2263"/>
      <c r="E21" s="2251"/>
      <c r="F21" s="2289" t="s">
        <v>2271</v>
      </c>
      <c r="G21" s="2292"/>
    </row>
    <row r="22" spans="1:17" ht="13.5" customHeight="1">
      <c r="A22" s="2250"/>
      <c r="B22" s="315" t="s">
        <v>2259</v>
      </c>
      <c r="C22" s="2290" t="str">
        <f>C8</f>
        <v>七通</v>
      </c>
      <c r="D22" s="2263"/>
      <c r="E22" s="2251"/>
      <c r="F22" s="2289" t="s">
        <v>2262</v>
      </c>
      <c r="G22" s="2291"/>
    </row>
    <row r="23" spans="1:17" s="751" customFormat="1" ht="15" thickBot="1">
      <c r="A23" s="2250"/>
      <c r="B23" s="2289" t="s">
        <v>2271</v>
      </c>
      <c r="C23" s="2292"/>
      <c r="D23" s="1613"/>
      <c r="E23" s="2252"/>
      <c r="F23" s="2293" t="s">
        <v>2272</v>
      </c>
      <c r="G23" s="2294"/>
      <c r="H23" s="2273"/>
      <c r="I23" s="2273"/>
      <c r="J23" s="2273"/>
      <c r="K23" s="2273"/>
      <c r="L23" s="2273"/>
      <c r="M23" s="2273"/>
      <c r="N23" s="2273"/>
      <c r="O23" s="2273"/>
      <c r="P23" s="2273"/>
      <c r="Q23" s="2273"/>
    </row>
    <row r="24" spans="1:17" s="751" customFormat="1" ht="15" thickBot="1">
      <c r="A24" s="2253"/>
      <c r="B24" s="2293" t="s">
        <v>2273</v>
      </c>
      <c r="C24" s="2295" t="str">
        <f>C10</f>
        <v>次干道——徐宋路</v>
      </c>
      <c r="D24" s="1613"/>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0" sqref="D20"/>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4949.5099999999966</v>
      </c>
      <c r="C1" s="2457"/>
      <c r="D1" s="2457"/>
      <c r="E1" s="2457"/>
      <c r="F1" s="2457"/>
      <c r="G1" s="2458"/>
      <c r="H1" s="2458"/>
      <c r="I1" s="2458"/>
      <c r="J1" s="2458"/>
      <c r="K1" s="2458"/>
    </row>
    <row r="2" spans="1:11" ht="16.5">
      <c r="A2" s="2296" t="s">
        <v>653</v>
      </c>
      <c r="B2" s="2296">
        <f>SUM(C14:C23)</f>
        <v>0</v>
      </c>
      <c r="C2" s="2457"/>
      <c r="D2" s="2457"/>
      <c r="E2" s="2457"/>
      <c r="F2" s="2457"/>
      <c r="G2" s="2458"/>
      <c r="H2" s="2458"/>
      <c r="I2" s="2458"/>
      <c r="J2" s="2458"/>
      <c r="K2" s="2458"/>
    </row>
    <row r="3" spans="1:11" ht="16.5">
      <c r="A3" s="2296" t="s">
        <v>662</v>
      </c>
      <c r="B3" s="2298">
        <f>项目基本情况!D3</f>
        <v>45664</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14913</v>
      </c>
      <c r="C5" s="2296">
        <f ca="1">IF(B5=D14,结果表!H102,ROUND(B5*10000/$B$1,0))</f>
        <v>30130</v>
      </c>
      <c r="D5" s="2296" t="e">
        <f ca="1">ROUND(B5*10000/$B$2,0)</f>
        <v>#DIV/0!</v>
      </c>
      <c r="E5" s="2457"/>
      <c r="F5" s="2458"/>
      <c r="G5" s="2458"/>
      <c r="H5" s="2458"/>
      <c r="I5" s="2458"/>
      <c r="J5" s="2458"/>
      <c r="K5" s="2458"/>
    </row>
    <row r="6" spans="1:11" ht="16.5">
      <c r="A6" s="2296" t="s">
        <v>656</v>
      </c>
      <c r="B6" s="2296">
        <f ca="1">SUM(G14:G23)</f>
        <v>14913</v>
      </c>
      <c r="C6" s="2296">
        <f ca="1">IF(B6=G14,结果表!H108,ROUND(B6*10000/$B$1,0))</f>
        <v>30130</v>
      </c>
      <c r="D6" s="2296" t="e">
        <f ca="1">ROUND(B6*10000/$B$2,0)</f>
        <v>#DIV/0!</v>
      </c>
      <c r="E6" s="2457"/>
      <c r="F6" s="2458"/>
      <c r="G6" s="2458"/>
      <c r="H6" s="2458"/>
      <c r="I6" s="2458"/>
      <c r="J6" s="2458"/>
      <c r="K6" s="2458"/>
    </row>
    <row r="7" spans="1:11" ht="16.5">
      <c r="A7" s="2296" t="s">
        <v>664</v>
      </c>
      <c r="B7" s="2296">
        <f>SUM(H14:H23)</f>
        <v>0</v>
      </c>
      <c r="C7" s="2296" t="str">
        <f>IF(B7=H14,结果表!H110,ROUND(B7*10000/$B$1,0))</f>
        <v>——</v>
      </c>
      <c r="D7" s="2296" t="e">
        <f>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655</v>
      </c>
      <c r="B9" s="1244"/>
      <c r="C9" s="2457"/>
      <c r="D9" s="2457"/>
      <c r="E9" s="2457"/>
      <c r="F9" s="2458"/>
      <c r="G9" s="2458"/>
      <c r="H9" s="2458"/>
      <c r="I9" s="2458"/>
      <c r="J9" s="2458"/>
      <c r="K9" s="2458"/>
    </row>
    <row r="10" spans="1:11" ht="16.5">
      <c r="A10" s="2296" t="s">
        <v>654</v>
      </c>
      <c r="B10" s="2296">
        <f>IF(E10="",0,ROUND(B1*(E10*365/G10)/10000,0))</f>
        <v>0</v>
      </c>
      <c r="C10" s="2296" t="s">
        <v>3347</v>
      </c>
      <c r="D10" s="2296" t="s">
        <v>3348</v>
      </c>
      <c r="E10" s="3132"/>
      <c r="F10" s="3136" t="s">
        <v>3349</v>
      </c>
      <c r="G10" s="3133"/>
      <c r="H10" s="2458"/>
      <c r="I10" s="2458"/>
      <c r="J10" s="2458"/>
      <c r="K10" s="2458"/>
    </row>
    <row r="11" spans="1:11" ht="16.5">
      <c r="A11" s="2296"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结果表!B118</f>
        <v>4949.5099999999966</v>
      </c>
      <c r="C14" s="2302"/>
      <c r="D14" s="2302">
        <f ca="1">结果表!H118</f>
        <v>14913</v>
      </c>
      <c r="E14" s="2302">
        <f ca="1">ROUND(D14*10000/B14,0)</f>
        <v>30130</v>
      </c>
      <c r="F14" s="2302" t="e">
        <f ca="1">ROUND(D14*10000/C14,0)</f>
        <v>#DIV/0!</v>
      </c>
      <c r="G14" s="2302">
        <f ca="1">D14</f>
        <v>14913</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6.5">
      <c r="A16" s="2301" t="s">
        <v>648</v>
      </c>
      <c r="B16" s="2303"/>
      <c r="C16" s="2303"/>
      <c r="D16" s="2303"/>
      <c r="E16" s="2302" t="e">
        <f t="shared" si="0"/>
        <v>#DIV/0!</v>
      </c>
      <c r="F16" s="2302" t="e">
        <f t="shared" si="1"/>
        <v>#DIV/0!</v>
      </c>
      <c r="G16" s="1244"/>
      <c r="H16" s="1244"/>
      <c r="I16" s="2303"/>
      <c r="J16" s="2458"/>
      <c r="K16" s="2458"/>
    </row>
    <row r="17" spans="1:11" ht="16.5">
      <c r="A17" s="2301" t="s">
        <v>647</v>
      </c>
      <c r="B17" s="2303"/>
      <c r="C17" s="2303"/>
      <c r="D17" s="2303"/>
      <c r="E17" s="2302" t="e">
        <f t="shared" si="0"/>
        <v>#DIV/0!</v>
      </c>
      <c r="F17" s="2302" t="e">
        <f t="shared" si="1"/>
        <v>#DIV/0!</v>
      </c>
      <c r="G17" s="1244"/>
      <c r="H17" s="1244"/>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2"/>
    <col min="36" max="16384" width="12.625" style="1561"/>
  </cols>
  <sheetData>
    <row r="1" spans="1:12" ht="21.75" customHeight="1" thickBot="1">
      <c r="A1" s="1521" t="s">
        <v>1262</v>
      </c>
      <c r="B1" s="646"/>
      <c r="C1" s="1619" t="s">
        <v>3403</v>
      </c>
      <c r="D1" s="646"/>
      <c r="E1" s="646"/>
      <c r="F1" s="1620" t="s">
        <v>1263</v>
      </c>
      <c r="G1" s="1453" t="s">
        <v>3630</v>
      </c>
      <c r="H1" s="1620" t="str">
        <f>IF(G1="现房","——","估价对象范围")</f>
        <v>估价对象范围</v>
      </c>
      <c r="I1" s="1621" t="s">
        <v>3631</v>
      </c>
    </row>
    <row r="2" spans="1:12" ht="21.75" customHeight="1" thickBot="1">
      <c r="A2" s="3292" t="str">
        <f>项目基本情况!S2</f>
        <v>北京市通州区宋庄镇双埠头村、大庞村、大兴庄村土地出让国有建设用地使用权及在建建筑物房地产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3" t="s">
        <v>1265</v>
      </c>
      <c r="B4" s="1624" t="s">
        <v>1266</v>
      </c>
      <c r="C4" s="1625" t="s">
        <v>3632</v>
      </c>
      <c r="D4" s="1625" t="s">
        <v>3633</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72" t="s">
        <v>1268</v>
      </c>
      <c r="B5" s="3259">
        <v>25</v>
      </c>
      <c r="C5" s="3275"/>
      <c r="D5" s="3295"/>
      <c r="E5" s="123" t="s">
        <v>1269</v>
      </c>
      <c r="F5" s="1626"/>
      <c r="G5" s="1626"/>
      <c r="H5" s="1626"/>
      <c r="I5" s="1281"/>
    </row>
    <row r="6" spans="1:12" ht="12.75">
      <c r="A6" s="3272"/>
      <c r="B6" s="3259"/>
      <c r="C6" s="3276"/>
      <c r="D6" s="3295"/>
      <c r="E6" s="123" t="s">
        <v>1270</v>
      </c>
      <c r="F6" s="1626"/>
      <c r="G6" s="1626"/>
      <c r="H6" s="1626"/>
      <c r="I6" s="1281"/>
    </row>
    <row r="7" spans="1:12" ht="12.75">
      <c r="A7" s="3272"/>
      <c r="B7" s="3259"/>
      <c r="C7" s="3277"/>
      <c r="D7" s="3295"/>
      <c r="E7" s="123" t="s">
        <v>1271</v>
      </c>
      <c r="F7" s="1626"/>
      <c r="G7" s="1626"/>
      <c r="H7" s="1626"/>
      <c r="I7" s="1281"/>
    </row>
    <row r="8" spans="1:12" ht="12.75">
      <c r="A8" s="3272" t="s">
        <v>1272</v>
      </c>
      <c r="B8" s="3259">
        <v>15</v>
      </c>
      <c r="C8" s="3275"/>
      <c r="D8" s="3295"/>
      <c r="E8" s="123" t="s">
        <v>1273</v>
      </c>
      <c r="F8" s="1626"/>
      <c r="G8" s="1626"/>
      <c r="H8" s="1626"/>
      <c r="I8" s="1281"/>
    </row>
    <row r="9" spans="1:12" ht="12.75">
      <c r="A9" s="3272"/>
      <c r="B9" s="3259"/>
      <c r="C9" s="3277"/>
      <c r="D9" s="3295"/>
      <c r="E9" s="123" t="s">
        <v>1274</v>
      </c>
      <c r="F9" s="1626"/>
      <c r="G9" s="1626"/>
      <c r="H9" s="1626"/>
      <c r="I9" s="1281"/>
    </row>
    <row r="10" spans="1:12" ht="12.75">
      <c r="A10" s="3272" t="s">
        <v>1275</v>
      </c>
      <c r="B10" s="3259">
        <v>15</v>
      </c>
      <c r="C10" s="3275"/>
      <c r="D10" s="3295"/>
      <c r="E10" s="123" t="s">
        <v>1276</v>
      </c>
      <c r="F10" s="1626"/>
      <c r="G10" s="1626"/>
      <c r="H10" s="1626"/>
      <c r="I10" s="1281"/>
    </row>
    <row r="11" spans="1:12" ht="12.75">
      <c r="A11" s="3272"/>
      <c r="B11" s="3259"/>
      <c r="C11" s="3277"/>
      <c r="D11" s="3295"/>
      <c r="E11" s="123" t="s">
        <v>1277</v>
      </c>
      <c r="F11" s="1626"/>
      <c r="G11" s="1626"/>
      <c r="H11" s="1626"/>
      <c r="I11" s="1281"/>
    </row>
    <row r="12" spans="1:12" ht="12.75">
      <c r="A12" s="3272" t="s">
        <v>1278</v>
      </c>
      <c r="B12" s="3259">
        <v>15</v>
      </c>
      <c r="C12" s="3275"/>
      <c r="D12" s="3295"/>
      <c r="E12" s="123" t="s">
        <v>1279</v>
      </c>
      <c r="F12" s="1626"/>
      <c r="G12" s="1626"/>
      <c r="H12" s="1626"/>
      <c r="I12" s="1281"/>
    </row>
    <row r="13" spans="1:12" ht="12.75">
      <c r="A13" s="3272"/>
      <c r="B13" s="3259"/>
      <c r="C13" s="3277"/>
      <c r="D13" s="3295"/>
      <c r="E13" s="123" t="s">
        <v>1280</v>
      </c>
      <c r="F13" s="1626"/>
      <c r="G13" s="1626"/>
      <c r="H13" s="1626"/>
      <c r="I13" s="1281"/>
    </row>
    <row r="14" spans="1:12" ht="12.75">
      <c r="A14" s="3272" t="s">
        <v>1281</v>
      </c>
      <c r="B14" s="3259">
        <v>30</v>
      </c>
      <c r="C14" s="3275">
        <v>5</v>
      </c>
      <c r="D14" s="3295">
        <v>5</v>
      </c>
      <c r="E14" s="123" t="s">
        <v>1282</v>
      </c>
      <c r="F14" s="1626"/>
      <c r="G14" s="1626"/>
      <c r="H14" s="1626"/>
      <c r="I14" s="1281"/>
    </row>
    <row r="15" spans="1:12" ht="12.75">
      <c r="A15" s="3272"/>
      <c r="B15" s="3259"/>
      <c r="C15" s="3276"/>
      <c r="D15" s="3295"/>
      <c r="E15" s="123" t="s">
        <v>1283</v>
      </c>
      <c r="F15" s="1626"/>
      <c r="G15" s="1626"/>
      <c r="H15" s="1626"/>
      <c r="I15" s="1281"/>
    </row>
    <row r="16" spans="1:12" ht="12.75">
      <c r="A16" s="3272"/>
      <c r="B16" s="3259"/>
      <c r="C16" s="3277"/>
      <c r="D16" s="3295"/>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2"/>
      <c r="C18" s="125">
        <f>ROUND(C17/SUM(C17:D17),2)</f>
        <v>0.5</v>
      </c>
      <c r="D18" s="125">
        <f>1-C18</f>
        <v>0.5</v>
      </c>
      <c r="E18" s="3282" t="s">
        <v>2131</v>
      </c>
      <c r="F18" s="3283"/>
      <c r="G18" s="3283"/>
      <c r="H18" s="3283"/>
      <c r="I18" s="3283"/>
      <c r="K18" s="294" t="s">
        <v>1289</v>
      </c>
      <c r="L18" s="294">
        <f>IF(C1="",'数据-汇总表'!E3,SUMIF(项目类型,C1,'数据-汇总表'!E17:E26)+SUMIF(项目类型,C1,'数据-汇总表'!I17:I26))</f>
        <v>4949.5099999999966</v>
      </c>
      <c r="M18" s="294">
        <f>IF(C1="",'数据-汇总表'!E3,SUMIF(项目类型,C1,'数据-汇总表'!E17:E26))</f>
        <v>4949.5099999999966</v>
      </c>
    </row>
    <row r="19" spans="1:36" ht="15">
      <c r="A19" s="1629" t="s">
        <v>1290</v>
      </c>
      <c r="B19" s="1630" t="s">
        <v>1291</v>
      </c>
      <c r="C19" s="126">
        <f ca="1">SUMIF(INDIRECT("'"&amp;C4&amp;"'"&amp;"!A:A"),结果表!B19,INDIRECT("'"&amp;C4&amp;"'"&amp;"!B:B"))</f>
        <v>16121</v>
      </c>
      <c r="D19" s="127">
        <f ca="1">SUMIF(INDIRECT("'"&amp;D4&amp;"'"&amp;"!A:A"),结果表!B19,INDIRECT("'"&amp;D4&amp;"'"&amp;"!B:B"))</f>
        <v>13705</v>
      </c>
      <c r="E19" s="1629" t="s">
        <v>1292</v>
      </c>
      <c r="F19" s="1630" t="s">
        <v>1291</v>
      </c>
      <c r="G19" s="128">
        <f ca="1">ROUND(C19*$C$18+D19*$D$18,0)</f>
        <v>14913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32571</v>
      </c>
      <c r="D20" s="130">
        <f ca="1">SUMIF(INDIRECT("'"&amp;D4&amp;"'"&amp;"!A:A"),结果表!B20,INDIRECT("'"&amp;D4&amp;"'"&amp;"!B:B"))</f>
        <v>27690</v>
      </c>
      <c r="E20" s="1632"/>
      <c r="F20" s="43" t="s">
        <v>1295</v>
      </c>
      <c r="G20" s="131">
        <f ca="1">ROUND(C20*$C$18+D20*$D$18,0)</f>
        <v>30131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4" t="s">
        <v>1298</v>
      </c>
      <c r="B22" s="1634"/>
      <c r="C22" s="1635"/>
      <c r="D22" s="680">
        <f ca="1">IF(C19&lt;D19,D19/C19-1,C19/D19-1)</f>
        <v>0.17628602699744622</v>
      </c>
      <c r="E22" s="121"/>
      <c r="F22" s="121"/>
      <c r="G22" s="121"/>
      <c r="H22" s="121"/>
      <c r="I22" s="121"/>
    </row>
    <row r="23" spans="1:36" ht="13.5" thickBot="1">
      <c r="A23" s="646"/>
      <c r="B23" s="646"/>
      <c r="C23" s="646"/>
      <c r="D23" s="646"/>
      <c r="E23" s="121"/>
      <c r="F23" s="121"/>
      <c r="G23" s="121"/>
      <c r="H23" s="121"/>
      <c r="I23" s="121"/>
    </row>
    <row r="24" spans="1:36" ht="14.25">
      <c r="A24" s="3266" t="s">
        <v>1299</v>
      </c>
      <c r="B24" s="1630" t="s">
        <v>1291</v>
      </c>
      <c r="C24" s="128">
        <f>IF(B30=0,0,D30)</f>
        <v>0</v>
      </c>
      <c r="D24" s="1636"/>
      <c r="E24" s="121"/>
      <c r="F24" s="121"/>
      <c r="G24" s="121"/>
      <c r="H24" s="121"/>
      <c r="I24" s="121"/>
    </row>
    <row r="25" spans="1:36" ht="14.25">
      <c r="A25" s="326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5"/>
      <c r="C32" s="136">
        <f ca="1">IF(D32="总价",G19-C24,G20-C25)</f>
        <v>14913</v>
      </c>
      <c r="D32" s="1640" t="s">
        <v>3634</v>
      </c>
      <c r="E32" s="121"/>
      <c r="F32" s="121"/>
      <c r="G32" s="121"/>
      <c r="H32" s="121"/>
      <c r="I32" s="121"/>
    </row>
    <row r="33" spans="1:15" ht="15">
      <c r="A33" s="740" t="s">
        <v>1306</v>
      </c>
      <c r="B33" s="123"/>
      <c r="C33" s="1641" t="s">
        <v>3635</v>
      </c>
      <c r="D33" s="1642" t="s">
        <v>3632</v>
      </c>
      <c r="E33" s="1643" t="s">
        <v>1307</v>
      </c>
      <c r="F33" s="1644" t="str">
        <f>IF(D32="楼面单价","取值（单价）","取值（总价）")</f>
        <v>取值（总价）</v>
      </c>
      <c r="G33" s="121"/>
      <c r="H33" s="121"/>
      <c r="I33" s="121"/>
    </row>
    <row r="34" spans="1:15" ht="15">
      <c r="A34" s="1645"/>
      <c r="B34" s="1646" t="s">
        <v>1308</v>
      </c>
      <c r="C34" s="140">
        <f ca="1">IF(C33="自定义",F34,C32-C35)</f>
        <v>12780</v>
      </c>
      <c r="D34" s="808">
        <f ca="1">IF(C33="自定义",ROUND(C34/C32,3),IF(C33="收益比率",SUMIF(INDIRECT("'"&amp;D33&amp;"'"&amp;"!b:b"),"土地收益比率",INDIRECT("'"&amp;D33&amp;"'"&amp;"!c:c")),SUMIF(INDIRECT("'"&amp;D33&amp;"'"&amp;"!b:b"),"土地成本比率",INDIRECT("'"&amp;D33&amp;"'"&amp;"!c:c"))))</f>
        <v>0.85699999999999998</v>
      </c>
      <c r="E34" s="1647" t="s">
        <v>1309</v>
      </c>
      <c r="F34" s="1243"/>
      <c r="G34" s="121"/>
      <c r="H34" s="121"/>
      <c r="I34" s="121"/>
    </row>
    <row r="35" spans="1:15" ht="15.75" thickBot="1">
      <c r="A35" s="1648"/>
      <c r="B35" s="1649" t="s">
        <v>1310</v>
      </c>
      <c r="C35" s="1090">
        <f ca="1">IF(C33="自定义",F35,ROUND(C32*D35,0))</f>
        <v>2133</v>
      </c>
      <c r="D35" s="1091">
        <f ca="1">IF(C33="自定义",ROUND(C35/C32,3),IF(C33="收益比率",SUMIF(INDIRECT("'"&amp;D33&amp;"'"&amp;"!b:b"),"建筑物收益比率",INDIRECT("'"&amp;D33&amp;"'"&amp;"!c:c")),SUMIF(INDIRECT("'"&amp;D33&amp;"'"&amp;"!b:b"),"建筑物成本比率",INDIRECT("'"&amp;D33&amp;"'"&amp;"!c:c"))))</f>
        <v>0.14299999999999999</v>
      </c>
      <c r="E35" s="1650" t="s">
        <v>1311</v>
      </c>
      <c r="F35" s="146"/>
      <c r="G35" s="121"/>
      <c r="H35" s="121"/>
      <c r="I35" s="121"/>
    </row>
    <row r="36" spans="1:15" ht="15.75" thickBot="1">
      <c r="A36" s="3286" t="s">
        <v>1312</v>
      </c>
      <c r="B36" s="1651" t="s">
        <v>1313</v>
      </c>
      <c r="C36" s="137"/>
      <c r="D36" s="1652"/>
      <c r="E36" s="1567"/>
      <c r="F36" s="1653"/>
      <c r="G36" s="121"/>
      <c r="H36" s="121"/>
      <c r="I36" s="121"/>
    </row>
    <row r="37" spans="1:15" ht="15.75" thickBot="1">
      <c r="A37" s="3287"/>
      <c r="B37" s="1555" t="s">
        <v>1314</v>
      </c>
      <c r="C37" s="139"/>
      <c r="D37" s="1071"/>
      <c r="E37" s="1071"/>
      <c r="F37" s="1653"/>
      <c r="G37" s="121"/>
      <c r="H37" s="121"/>
      <c r="I37" s="121"/>
    </row>
    <row r="38" spans="1:15" ht="15.75" thickBot="1">
      <c r="A38" s="328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7"/>
      <c r="B43" s="1467"/>
      <c r="C43" s="1467"/>
      <c r="D43" s="1467"/>
      <c r="E43" s="1467"/>
      <c r="F43" s="1661"/>
      <c r="G43" s="1661"/>
      <c r="H43" s="1661"/>
      <c r="I43" s="1662"/>
    </row>
    <row r="44" spans="1:15" ht="18.75">
      <c r="A44" s="1464" t="s">
        <v>1324</v>
      </c>
      <c r="B44" s="1663"/>
      <c r="C44" s="1663"/>
      <c r="D44" s="1664"/>
      <c r="E44" s="1664"/>
      <c r="F44" s="1665"/>
      <c r="G44" s="1665"/>
      <c r="H44" s="1665"/>
      <c r="I44" s="1665"/>
      <c r="J44" s="1666" t="s">
        <v>1325</v>
      </c>
      <c r="K44" s="4"/>
      <c r="L44" s="4"/>
      <c r="M44" s="4"/>
      <c r="N44" s="4"/>
      <c r="O44" s="4"/>
    </row>
    <row r="45" spans="1:15" ht="14.25" customHeight="1" thickBot="1">
      <c r="A45" s="3263" t="s">
        <v>1326</v>
      </c>
      <c r="B45" s="3264"/>
      <c r="C45" s="3265"/>
      <c r="D45" s="147">
        <f ca="1">ROUND(H101*F45,0)</f>
        <v>14913</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7"/>
      <c r="I46" s="151"/>
      <c r="J46" s="2306">
        <v>1</v>
      </c>
      <c r="K46" s="3322" t="s">
        <v>1331</v>
      </c>
      <c r="L46" s="3322"/>
      <c r="M46" s="3342"/>
      <c r="N46" s="3342"/>
      <c r="O46" s="3342"/>
    </row>
    <row r="47" spans="1:15" ht="12" customHeight="1">
      <c r="A47" s="152" t="s">
        <v>1332</v>
      </c>
      <c r="B47" s="153"/>
      <c r="C47" s="154"/>
      <c r="D47" s="1024" t="s">
        <v>1333</v>
      </c>
      <c r="E47" s="294" t="s">
        <v>1334</v>
      </c>
      <c r="F47" s="155" t="s">
        <v>1335</v>
      </c>
      <c r="G47" s="2329" t="s">
        <v>1336</v>
      </c>
      <c r="H47" s="2330"/>
      <c r="I47" s="151"/>
      <c r="J47" s="2306">
        <v>2</v>
      </c>
      <c r="K47" s="3322" t="s">
        <v>1337</v>
      </c>
      <c r="L47" s="3322"/>
      <c r="M47" s="3343">
        <f>'数据-取费表'!B2</f>
        <v>45664</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1">
        <f>IF(H48="情况1","免征",'数据-取费表'!B41)</f>
        <v>5.5000000000000007E-2</v>
      </c>
      <c r="G48" s="2332" t="s">
        <v>1339</v>
      </c>
      <c r="H48" s="2333"/>
      <c r="I48" s="1667"/>
      <c r="J48" s="2306">
        <v>3</v>
      </c>
      <c r="K48" s="3322" t="s">
        <v>1340</v>
      </c>
      <c r="L48" s="3322"/>
      <c r="M48" s="3344">
        <f ca="1">H101</f>
        <v>14913</v>
      </c>
      <c r="N48" s="3344"/>
      <c r="O48" s="3344"/>
    </row>
    <row r="49" spans="1:35" ht="25.5" customHeight="1">
      <c r="A49" s="2150" t="s">
        <v>1341</v>
      </c>
      <c r="B49" s="3258" t="s">
        <v>1342</v>
      </c>
      <c r="C49" s="3258"/>
      <c r="D49" s="1478">
        <v>0</v>
      </c>
      <c r="E49" s="316" t="s">
        <v>1343</v>
      </c>
      <c r="F49" s="2231" t="s">
        <v>28</v>
      </c>
      <c r="G49" s="3328"/>
      <c r="H49" s="2132" t="s">
        <v>2134</v>
      </c>
      <c r="I49" s="2133"/>
      <c r="J49" s="2306">
        <v>4</v>
      </c>
      <c r="K49" s="3322" t="str">
        <f>IF(项目基本情况!E8="房地产抵押价值","房地产抵押价值","抵押担保权已注销时的房地产抵押价值")</f>
        <v>房地产抵押价值</v>
      </c>
      <c r="L49" s="3322"/>
      <c r="M49" s="3344">
        <f ca="1">IF(项目基本情况!E8="房地产抵押价值",H107,H109)</f>
        <v>14913</v>
      </c>
      <c r="N49" s="3344"/>
      <c r="O49" s="3344"/>
    </row>
    <row r="50" spans="1:35" ht="25.5" customHeight="1">
      <c r="A50" s="2334"/>
      <c r="B50" s="3258" t="s">
        <v>1344</v>
      </c>
      <c r="C50" s="3258"/>
      <c r="D50" s="2187"/>
      <c r="E50" s="323"/>
      <c r="F50" s="2231"/>
      <c r="G50" s="3329"/>
      <c r="H50" s="2134" t="s">
        <v>2135</v>
      </c>
      <c r="I50" s="2133"/>
      <c r="J50" s="3341" t="s">
        <v>1345</v>
      </c>
      <c r="K50" s="3341"/>
      <c r="L50" s="3341"/>
      <c r="M50" s="3341"/>
      <c r="N50" s="3341"/>
      <c r="O50" s="3341"/>
    </row>
    <row r="51" spans="1:35" ht="20.45" customHeight="1">
      <c r="A51" s="2335"/>
      <c r="B51" s="3258" t="s">
        <v>1346</v>
      </c>
      <c r="C51" s="3258"/>
      <c r="D51" s="1024"/>
      <c r="E51" s="319"/>
      <c r="F51" s="2231"/>
      <c r="G51" s="3330"/>
      <c r="H51" s="2134" t="s">
        <v>2136</v>
      </c>
      <c r="I51" s="2133"/>
      <c r="J51" s="2307" t="s">
        <v>1347</v>
      </c>
      <c r="K51" s="3322" t="s">
        <v>1348</v>
      </c>
      <c r="L51" s="3322"/>
      <c r="M51" s="2307" t="s">
        <v>1349</v>
      </c>
      <c r="N51" s="2307" t="s">
        <v>1350</v>
      </c>
      <c r="O51" s="2307" t="s">
        <v>1351</v>
      </c>
    </row>
    <row r="52" spans="1:35" ht="24" customHeight="1">
      <c r="A52" s="2151" t="s">
        <v>1352</v>
      </c>
      <c r="B52" s="3258" t="s">
        <v>1353</v>
      </c>
      <c r="C52" s="3258"/>
      <c r="D52" s="1024">
        <f ca="1">ROUND(D45*'数据-取费表'!B41/(1+'数据-取费表'!C42),0)</f>
        <v>781</v>
      </c>
      <c r="E52" s="1256" t="s">
        <v>1354</v>
      </c>
      <c r="F52" s="2336">
        <f>'数据-取费表'!B41</f>
        <v>5.5000000000000007E-2</v>
      </c>
      <c r="G52" s="2337"/>
      <c r="H52" s="2327"/>
      <c r="I52" s="1668"/>
      <c r="J52" s="2306">
        <v>1</v>
      </c>
      <c r="K52" s="3323" t="s">
        <v>1355</v>
      </c>
      <c r="L52" s="3323"/>
      <c r="M52" s="2308" t="b">
        <f>D48</f>
        <v>0</v>
      </c>
      <c r="N52" s="2306" t="str">
        <f>E48</f>
        <v>销售额×税（费）率</v>
      </c>
      <c r="O52" s="2309">
        <f>F48</f>
        <v>5.5000000000000007E-2</v>
      </c>
    </row>
    <row r="53" spans="1:35" ht="12" customHeight="1">
      <c r="A53" s="2151" t="s">
        <v>1356</v>
      </c>
      <c r="B53" s="3284" t="s">
        <v>2282</v>
      </c>
      <c r="C53" s="3285"/>
      <c r="D53" s="1024">
        <f ca="1">ROUND(D45*'数据-取费表'!B41/(1+'数据-取费表'!C42),0)</f>
        <v>781</v>
      </c>
      <c r="E53" s="1256" t="s">
        <v>1354</v>
      </c>
      <c r="F53" s="2336">
        <f>'数据-取费表'!B41</f>
        <v>5.5000000000000007E-2</v>
      </c>
      <c r="G53" s="2337"/>
      <c r="H53" s="2327"/>
      <c r="I53" s="1668"/>
      <c r="J53" s="2306">
        <v>2</v>
      </c>
      <c r="K53" s="3323" t="s">
        <v>1357</v>
      </c>
      <c r="L53" s="3323"/>
      <c r="M53" s="2308">
        <f t="shared" ref="M53:O54" ca="1" si="0">D55</f>
        <v>7</v>
      </c>
      <c r="N53" s="2306" t="str">
        <f t="shared" si="0"/>
        <v>销售额×税（费）率</v>
      </c>
      <c r="O53" s="2309" t="str">
        <f t="shared" si="0"/>
        <v>免征</v>
      </c>
    </row>
    <row r="54" spans="1:35" ht="12" customHeight="1">
      <c r="A54" s="2151" t="s">
        <v>1358</v>
      </c>
      <c r="B54" s="3284" t="s">
        <v>2283</v>
      </c>
      <c r="C54" s="3285"/>
      <c r="D54" s="1024">
        <f ca="1">C68</f>
        <v>781</v>
      </c>
      <c r="E54" s="319" t="s">
        <v>1359</v>
      </c>
      <c r="F54" s="2336">
        <f>'数据-取费表'!B41</f>
        <v>5.5000000000000007E-2</v>
      </c>
      <c r="G54" s="2337"/>
      <c r="H54" s="2338"/>
      <c r="I54" s="1668"/>
      <c r="J54" s="2306">
        <v>3</v>
      </c>
      <c r="K54" s="3323" t="s">
        <v>1360</v>
      </c>
      <c r="L54" s="3323"/>
      <c r="M54" s="2308">
        <f t="shared" ca="1" si="0"/>
        <v>8454</v>
      </c>
      <c r="N54" s="2306" t="str">
        <f t="shared" si="0"/>
        <v>增值额×税（费）率</v>
      </c>
      <c r="O54" s="2310" t="str">
        <f t="shared" si="0"/>
        <v>免征</v>
      </c>
    </row>
    <row r="55" spans="1:35" ht="24" customHeight="1">
      <c r="A55" s="3273" t="s">
        <v>1361</v>
      </c>
      <c r="B55" s="3274"/>
      <c r="C55" s="3274"/>
      <c r="D55" s="12">
        <f ca="1">IF(H55="个人住宅",0,ROUND(D45*I55,0))</f>
        <v>7</v>
      </c>
      <c r="E55" s="1256" t="s">
        <v>1362</v>
      </c>
      <c r="F55" s="2336" t="str">
        <f>IF(H55="正常",I55,"免征")</f>
        <v>免征</v>
      </c>
      <c r="G55" s="2337"/>
      <c r="H55" s="2333"/>
      <c r="I55" s="157">
        <f>'数据-取费表'!B49</f>
        <v>5.0000000000000001E-4</v>
      </c>
      <c r="J55" s="2306">
        <f>IF(H59="非个人房产","",4)</f>
        <v>4</v>
      </c>
      <c r="K55" s="3323" t="str">
        <f>IF(H59="非个人房产","——","个人所得税")</f>
        <v>个人所得税</v>
      </c>
      <c r="L55" s="3323"/>
      <c r="M55" s="2311">
        <f ca="1">D59</f>
        <v>142</v>
      </c>
      <c r="N55" s="1881" t="str">
        <f>E59</f>
        <v>差额计税</v>
      </c>
      <c r="O55" s="2312">
        <f>F59</f>
        <v>0.01</v>
      </c>
    </row>
    <row r="56" spans="1:35" ht="24.75">
      <c r="A56" s="3273" t="s">
        <v>1363</v>
      </c>
      <c r="B56" s="3274"/>
      <c r="C56" s="3274"/>
      <c r="D56" s="12">
        <f ca="1">IF(H56="个人住宅",D57,D58)</f>
        <v>8454</v>
      </c>
      <c r="E56" s="1256" t="s">
        <v>1364</v>
      </c>
      <c r="F56" s="2336" t="str">
        <f>IF(H56="正常",F58,"免征")</f>
        <v>免征</v>
      </c>
      <c r="G56" s="2339" t="s">
        <v>1365</v>
      </c>
      <c r="H56" s="2340"/>
      <c r="I56" s="1669"/>
      <c r="J56" s="2306" t="str">
        <f>IF(项目基本情况!K6="上海银行",IF(J55="",4,J55+1),"")</f>
        <v/>
      </c>
      <c r="K56" s="3346" t="str">
        <f>IF(项目基本情况!K6="上海银行","其他处置费用","")</f>
        <v/>
      </c>
      <c r="L56" s="3347"/>
      <c r="M56" s="2308" t="str">
        <f>IF(项目基本情况!K6="上海银行",M69,"")</f>
        <v/>
      </c>
      <c r="N56" s="3346" t="str">
        <f>IF(项目基本情况!K6="上海银行","包含处置中涉及的律师、诉讼、拍卖、评估等费用","")</f>
        <v/>
      </c>
      <c r="O56" s="3349"/>
    </row>
    <row r="57" spans="1:35" ht="12.75">
      <c r="A57" s="2151" t="s">
        <v>1341</v>
      </c>
      <c r="B57" s="3284" t="s">
        <v>1366</v>
      </c>
      <c r="C57" s="3285"/>
      <c r="D57" s="1478">
        <v>0</v>
      </c>
      <c r="E57" s="316" t="s">
        <v>1343</v>
      </c>
      <c r="F57" s="294"/>
      <c r="G57" s="2337"/>
      <c r="H57" s="2341"/>
      <c r="I57" s="1669"/>
      <c r="J57" s="3323">
        <f>IF(AND(J55="",J56=""),4,IF(项目基本情况!K6="上海银行",结果表!J56+1,结果表!J55+1))</f>
        <v>5</v>
      </c>
      <c r="K57" s="3323" t="s">
        <v>1367</v>
      </c>
      <c r="L57" s="2313" t="s">
        <v>1368</v>
      </c>
      <c r="M57" s="2314"/>
      <c r="N57" s="2315">
        <f ca="1">SUMIF(M52:M56,"&lt;9e307")</f>
        <v>8603</v>
      </c>
      <c r="O57" s="2316"/>
      <c r="P57" s="2460">
        <f ca="1">N57/M49</f>
        <v>0.57687923288406084</v>
      </c>
    </row>
    <row r="58" spans="1:35" ht="24.75">
      <c r="A58" s="2151" t="s">
        <v>1352</v>
      </c>
      <c r="B58" s="3284" t="s">
        <v>1369</v>
      </c>
      <c r="C58" s="3258"/>
      <c r="D58" s="12">
        <f ca="1">IF(H58="转让取得",C81,C97)</f>
        <v>8454</v>
      </c>
      <c r="E58" s="1256" t="s">
        <v>1364</v>
      </c>
      <c r="F58" s="294" t="s">
        <v>28</v>
      </c>
      <c r="G58" s="2337"/>
      <c r="H58" s="2340"/>
      <c r="I58" s="1669"/>
      <c r="J58" s="3323"/>
      <c r="K58" s="3323"/>
      <c r="L58" s="2313" t="s">
        <v>1370</v>
      </c>
      <c r="M58" s="2317"/>
      <c r="N58" s="2318" t="str">
        <f ca="1">NUMBERSTRING(INT(N57*10000),2)&amp;"元整"</f>
        <v>捌仟陆佰零叁万元整</v>
      </c>
      <c r="O58" s="2319"/>
    </row>
    <row r="59" spans="1:35" ht="24.75" thickBot="1">
      <c r="A59" s="3326" t="s">
        <v>1371</v>
      </c>
      <c r="B59" s="3327"/>
      <c r="C59" s="3327"/>
      <c r="D59" s="2342">
        <f ca="1">IF(H59="非个人房产","——",IF(H59="个人住宅（满五唯一有凭证）",0,IF(H59="个人其他（无凭证）",ROUND(D45*F59,0),ROUND(C67*F59,0))))</f>
        <v>142</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324">
        <f>J57+1</f>
        <v>6</v>
      </c>
      <c r="K59" s="3323" t="s">
        <v>1372</v>
      </c>
      <c r="L59" s="2306" t="s">
        <v>1368</v>
      </c>
      <c r="M59" s="2320"/>
      <c r="N59" s="2321">
        <f ca="1">M49-N57</f>
        <v>6310</v>
      </c>
      <c r="O59" s="2322"/>
    </row>
    <row r="60" spans="1:35" ht="12" customHeight="1">
      <c r="A60" s="1670"/>
      <c r="B60" s="646"/>
      <c r="C60" s="646"/>
      <c r="D60" s="646"/>
      <c r="E60" s="1466"/>
      <c r="F60" s="1669"/>
      <c r="G60" s="1669"/>
      <c r="H60" s="151"/>
      <c r="I60" s="121"/>
      <c r="J60" s="3325"/>
      <c r="K60" s="3323"/>
      <c r="L60" s="2313" t="s">
        <v>1370</v>
      </c>
      <c r="M60" s="2317"/>
      <c r="N60" s="2318" t="str">
        <f ca="1">NUMBERSTRING(INT(N59*10000),2)&amp;"元整"</f>
        <v>陆仟叁佰壹拾万元整</v>
      </c>
      <c r="O60" s="2319"/>
    </row>
    <row r="61" spans="1:35" ht="13.5" thickBot="1">
      <c r="A61" s="3271" t="s">
        <v>1373</v>
      </c>
      <c r="B61" s="3271"/>
      <c r="C61" s="3271"/>
      <c r="D61" s="3271"/>
      <c r="E61" s="3271"/>
      <c r="F61" s="1669"/>
      <c r="G61" s="1669"/>
      <c r="H61" s="151"/>
      <c r="I61" s="121"/>
      <c r="J61" s="2306">
        <f>J59+1</f>
        <v>7</v>
      </c>
      <c r="K61" s="3323" t="s">
        <v>1374</v>
      </c>
      <c r="L61" s="3323"/>
      <c r="M61" s="2323"/>
      <c r="N61" s="2324">
        <f ca="1">ROUND(N59*10000/'数据-汇总表'!E3,0)</f>
        <v>12749</v>
      </c>
      <c r="O61" s="2325"/>
    </row>
    <row r="62" spans="1:35" ht="12.75">
      <c r="A62" s="3289" t="s">
        <v>1375</v>
      </c>
      <c r="B62" s="3290"/>
      <c r="C62" s="1863"/>
      <c r="D62" s="1863" t="s">
        <v>1376</v>
      </c>
      <c r="E62" s="158" t="s">
        <v>1377</v>
      </c>
      <c r="F62" s="1669"/>
      <c r="G62" s="1669"/>
      <c r="H62" s="151"/>
      <c r="I62" s="121"/>
    </row>
    <row r="63" spans="1:35" ht="12.75">
      <c r="A63" s="165" t="s">
        <v>330</v>
      </c>
      <c r="B63" s="159" t="s">
        <v>1378</v>
      </c>
      <c r="C63" s="2346">
        <f ca="1">ROUND((C64+C65)/(1+'数据-取费表'!C42),0)</f>
        <v>14203</v>
      </c>
      <c r="D63" s="159"/>
      <c r="E63" s="160"/>
      <c r="F63" s="1669"/>
      <c r="G63" s="1669"/>
      <c r="H63" s="151"/>
      <c r="I63" s="121"/>
      <c r="J63" s="3348" t="s">
        <v>1379</v>
      </c>
      <c r="K63" s="1245" t="s">
        <v>1380</v>
      </c>
      <c r="L63" s="1245">
        <f ca="1">IF(M49&gt;10000,M49*0.5%,IF(AND(M49&gt;1000,M49&lt;=10000),M49*1%,IF(AND(M49&gt;100,M49&lt;=1000),M49*3%,IF(AND(M49&gt;10,M49&lt;=100),M49*5%,M49*8%))))</f>
        <v>74.564999999999998</v>
      </c>
      <c r="M63" s="294">
        <f ca="1">ROUND(L63,1)</f>
        <v>74.599999999999994</v>
      </c>
      <c r="N63" s="2326"/>
      <c r="Z63" s="1622"/>
      <c r="AI63" s="1561"/>
    </row>
    <row r="64" spans="1:35" ht="14.25" customHeight="1">
      <c r="A64" s="161" t="s">
        <v>325</v>
      </c>
      <c r="B64" s="162" t="s">
        <v>1381</v>
      </c>
      <c r="C64" s="2347">
        <f ca="1">D45</f>
        <v>14913</v>
      </c>
      <c r="D64" s="162" t="s">
        <v>26</v>
      </c>
      <c r="E64" s="164"/>
      <c r="F64" s="1669"/>
      <c r="G64" s="1669"/>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74.564999999999998</v>
      </c>
      <c r="M64" s="294">
        <f t="shared" ref="M64:M65" ca="1" si="1">ROUND(L64,1)</f>
        <v>74.599999999999994</v>
      </c>
      <c r="N64" s="2327" t="s">
        <v>1383</v>
      </c>
      <c r="Z64" s="1622"/>
      <c r="AI64" s="1561"/>
    </row>
    <row r="65" spans="1:35" ht="14.25" customHeight="1">
      <c r="A65" s="161" t="s">
        <v>326</v>
      </c>
      <c r="B65" s="162" t="s">
        <v>1384</v>
      </c>
      <c r="C65" s="2348"/>
      <c r="D65" s="162"/>
      <c r="E65" s="164"/>
      <c r="F65" s="1669"/>
      <c r="G65" s="1669"/>
      <c r="H65" s="151"/>
      <c r="I65" s="121"/>
      <c r="J65" s="3348"/>
      <c r="K65" s="1245" t="s">
        <v>1385</v>
      </c>
      <c r="L65" s="1245">
        <f ca="1">IF(M49&gt;1000,M49*0.1%,IF(AND(M49&gt;500,M49&lt;=1000),M49*0.5%,IF(AND(M49&gt;50,M49&lt;=500),M49*1%,IF(AND(M49&gt;1,M49&lt;=50),M49*1.5%))))</f>
        <v>14.913</v>
      </c>
      <c r="M65" s="294">
        <f t="shared" ca="1" si="1"/>
        <v>14.9</v>
      </c>
      <c r="N65" s="2327" t="s">
        <v>1383</v>
      </c>
      <c r="Z65" s="1622"/>
      <c r="AI65" s="1561"/>
    </row>
    <row r="66" spans="1:35" ht="14.25" customHeight="1">
      <c r="A66" s="165" t="s">
        <v>327</v>
      </c>
      <c r="B66" s="166" t="s">
        <v>1386</v>
      </c>
      <c r="C66" s="2349"/>
      <c r="D66" s="166" t="s">
        <v>26</v>
      </c>
      <c r="E66" s="1251" t="s">
        <v>671</v>
      </c>
      <c r="F66" s="1669"/>
      <c r="G66" s="1669"/>
      <c r="H66" s="151"/>
      <c r="I66" s="121"/>
      <c r="J66" s="3348"/>
      <c r="K66" s="1245" t="s">
        <v>1387</v>
      </c>
      <c r="L66" s="1245">
        <f ca="1">M49*0.5%</f>
        <v>74.564999999999998</v>
      </c>
      <c r="M66" s="294">
        <f ca="1">IF(L66&gt;0.5,0.5,ROUND(L66,0))</f>
        <v>0.5</v>
      </c>
      <c r="N66" s="2327" t="s">
        <v>1388</v>
      </c>
      <c r="Z66" s="1622"/>
      <c r="AI66" s="1561"/>
    </row>
    <row r="67" spans="1:35" ht="14.25" customHeight="1">
      <c r="A67" s="165" t="s">
        <v>328</v>
      </c>
      <c r="B67" s="166" t="s">
        <v>1389</v>
      </c>
      <c r="C67" s="2350">
        <f ca="1">C63-C66</f>
        <v>14203</v>
      </c>
      <c r="D67" s="162" t="s">
        <v>26</v>
      </c>
      <c r="E67" s="164"/>
      <c r="F67" s="1669"/>
      <c r="G67" s="1669"/>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8.7413000000000007</v>
      </c>
      <c r="M67" s="294">
        <f ca="1">ROUND(L67*0.9,1)</f>
        <v>7.9</v>
      </c>
      <c r="N67" s="2326"/>
      <c r="Z67" s="1622"/>
      <c r="AI67" s="1561"/>
    </row>
    <row r="68" spans="1:35" ht="14.25" customHeight="1" thickBot="1">
      <c r="A68" s="168" t="s">
        <v>329</v>
      </c>
      <c r="B68" s="169" t="s">
        <v>1391</v>
      </c>
      <c r="C68" s="2351">
        <f ca="1">IF(C67&lt;=0,0,ROUND(C67*D68,0))</f>
        <v>781</v>
      </c>
      <c r="D68" s="2352">
        <f>'数据-取费表'!B41</f>
        <v>5.5000000000000007E-2</v>
      </c>
      <c r="E68" s="170"/>
      <c r="F68" s="1669"/>
      <c r="G68" s="1669"/>
      <c r="H68" s="151"/>
      <c r="I68" s="121"/>
      <c r="J68" s="3348"/>
      <c r="K68" s="1245" t="s">
        <v>1392</v>
      </c>
      <c r="L68" s="1245">
        <f ca="1">IF(M49&gt;10000,M49*0.5%,IF(AND(M49&gt;5000,M49&lt;=10000),M49*1%,IF(AND(M49&gt;1000,M49&lt;=5000),M49*2%,IF(AND(M49&gt;200,M49&lt;=1000),M49*3%,M49*5%))))</f>
        <v>74.564999999999998</v>
      </c>
      <c r="M68" s="294">
        <f ca="1">ROUND(L68,1)</f>
        <v>74.599999999999994</v>
      </c>
      <c r="N68" s="2326"/>
      <c r="Z68" s="1622"/>
      <c r="AI68" s="1561"/>
    </row>
    <row r="69" spans="1:35" ht="16.5" customHeight="1">
      <c r="A69" s="1671"/>
      <c r="B69" s="1672"/>
      <c r="C69" s="1673"/>
      <c r="D69" s="1674"/>
      <c r="E69" s="1675"/>
      <c r="F69" s="1466"/>
      <c r="G69" s="1466"/>
      <c r="H69" s="1467"/>
      <c r="I69" s="646"/>
      <c r="J69" s="3348"/>
      <c r="K69" s="1245" t="s">
        <v>1393</v>
      </c>
      <c r="L69" s="1245"/>
      <c r="M69" s="294">
        <f ca="1">ROUND(SUM(M63:M68),0)</f>
        <v>247</v>
      </c>
      <c r="N69" s="2328">
        <f ca="1">M69/M49</f>
        <v>1.6562730503587475E-2</v>
      </c>
      <c r="Z69" s="1622"/>
      <c r="AI69" s="1561"/>
    </row>
    <row r="70" spans="1:35" s="642" customFormat="1" ht="15" thickBot="1">
      <c r="A70" s="3310" t="s">
        <v>1394</v>
      </c>
      <c r="B70" s="3311"/>
      <c r="C70" s="3311"/>
      <c r="D70" s="3311"/>
      <c r="E70" s="3311"/>
      <c r="F70" s="3311"/>
      <c r="G70" s="3311"/>
      <c r="H70" s="331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9" t="s">
        <v>1375</v>
      </c>
      <c r="B71" s="3290"/>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f ca="1">ROUND(D45/(1+'数据-取费表'!C42),0)</f>
        <v>14203</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f ca="1">C74+C78</f>
        <v>71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284" t="s">
        <v>1402</v>
      </c>
      <c r="F76" s="3258"/>
      <c r="G76" s="3258"/>
      <c r="H76" s="330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71</v>
      </c>
      <c r="D78" s="2359">
        <f>'数据-取费表'!B43</f>
        <v>5.000000000000001E-3</v>
      </c>
      <c r="E78" s="3268" t="s">
        <v>1406</v>
      </c>
      <c r="F78" s="3269"/>
      <c r="G78" s="3269"/>
      <c r="H78" s="327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f ca="1">C72-C73</f>
        <v>14132</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199.04225352112675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f ca="1">ROUND(IF(C79&lt;=0,0,IF(C80&gt;=200%,C79*60%-C73*35%,IF(C80&gt;=100%,C79*50%-C73*15%,IF(C80&gt;=50%,C79*40%-C73*5%,IF(C80&lt;50%,C79*30%,0))))),0)</f>
        <v>8454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0" t="s">
        <v>1410</v>
      </c>
      <c r="B83" s="3311"/>
      <c r="C83" s="3311"/>
      <c r="D83" s="3311"/>
      <c r="E83" s="3311"/>
      <c r="F83" s="3311"/>
      <c r="G83" s="3311"/>
      <c r="H83" s="331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9" t="s">
        <v>1375</v>
      </c>
      <c r="B84" s="3290"/>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f ca="1">ROUND(D45/(1+'数据-取费表'!C42),0)</f>
        <v>14203</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f ca="1">IF(H88="仅含出让金",C87+C90+C91+C92+C93+C94,C87+C91+C92+C93+C94)</f>
        <v>71</v>
      </c>
      <c r="D86" s="2363"/>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6"/>
      <c r="G88" s="186" t="s">
        <v>1414</v>
      </c>
      <c r="H88" s="1683"/>
      <c r="I88" s="1680"/>
      <c r="J88" s="2304"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6"/>
      <c r="G90" s="3350" t="s">
        <v>2129</v>
      </c>
      <c r="H90" s="3351"/>
      <c r="I90" s="1680"/>
      <c r="J90" s="2304"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68" t="s">
        <v>1419</v>
      </c>
      <c r="F91" s="3269"/>
      <c r="G91" s="326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68" t="s">
        <v>1422</v>
      </c>
      <c r="F92" s="3269"/>
      <c r="G92" s="3269"/>
      <c r="H92" s="3278"/>
      <c r="I92" s="1680"/>
      <c r="J92" s="2305"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71</v>
      </c>
      <c r="D93" s="2359">
        <f>'数据-取费表'!B43</f>
        <v>5.000000000000001E-3</v>
      </c>
      <c r="E93" s="3268" t="s">
        <v>1406</v>
      </c>
      <c r="F93" s="3269"/>
      <c r="G93" s="3269"/>
      <c r="H93" s="327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279" t="s">
        <v>1426</v>
      </c>
      <c r="F94" s="3280"/>
      <c r="G94" s="3280"/>
      <c r="H94" s="328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f ca="1">ROUND(C85-C86,0)</f>
        <v>14132</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199.04225352112675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f ca="1">ROUND(IF(C95&lt;=0,0,IF(C96&gt;=200%,C95*60%-C86*35%,IF(C96&gt;=100%,C95*50%-C86*15%,IF(C96&gt;=50%,C95*40%-C86*5%,IF(C96&lt;50%,C95*30%,0))))),0)</f>
        <v>8454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67" t="str">
        <f>C4</f>
        <v>成本法</v>
      </c>
      <c r="D101" s="2368" t="str">
        <f>D4</f>
        <v>假设开发法</v>
      </c>
      <c r="E101" s="3345" t="s">
        <v>1431</v>
      </c>
      <c r="F101" s="3302"/>
      <c r="G101" s="1686" t="s">
        <v>1432</v>
      </c>
      <c r="H101" s="2377">
        <f ca="1">H118</f>
        <v>14913</v>
      </c>
      <c r="I101" s="121"/>
    </row>
    <row r="102" spans="1:35" ht="18.75" customHeight="1">
      <c r="A102" s="3304" t="s">
        <v>1433</v>
      </c>
      <c r="B102" s="2366" t="s">
        <v>1432</v>
      </c>
      <c r="C102" s="2367">
        <f ca="1">IF(D32="楼面单价",ROUND(C19,0),C19)</f>
        <v>16121</v>
      </c>
      <c r="D102" s="2368">
        <f ca="1">IF(D32="楼面单价",ROUND(D19,0),D19)</f>
        <v>13705</v>
      </c>
      <c r="E102" s="3345"/>
      <c r="F102" s="3302"/>
      <c r="G102" s="1686" t="s">
        <v>1434</v>
      </c>
      <c r="H102" s="2337">
        <f ca="1">I118</f>
        <v>30130</v>
      </c>
      <c r="I102" s="121"/>
    </row>
    <row r="103" spans="1:35" ht="42.75" customHeight="1">
      <c r="A103" s="3304"/>
      <c r="B103" s="2366" t="s">
        <v>1434</v>
      </c>
      <c r="C103" s="2369">
        <f ca="1">C20</f>
        <v>32571</v>
      </c>
      <c r="D103" s="2370">
        <f ca="1">D20</f>
        <v>27690</v>
      </c>
      <c r="E103" s="3339" t="s">
        <v>1435</v>
      </c>
      <c r="F103" s="3340"/>
      <c r="G103" s="1687" t="s">
        <v>1436</v>
      </c>
      <c r="H103" s="2377">
        <f>IF(D36="正常操作",H104+H105+H106,H105+H106)</f>
        <v>0</v>
      </c>
      <c r="I103" s="121"/>
    </row>
    <row r="104" spans="1:35" ht="18.75" customHeight="1">
      <c r="A104" s="3304" t="s">
        <v>1437</v>
      </c>
      <c r="B104" s="2371" t="s">
        <v>1432</v>
      </c>
      <c r="C104" s="2372">
        <f ca="1">H118</f>
        <v>14913</v>
      </c>
      <c r="D104" s="2373"/>
      <c r="E104" s="1555" t="s">
        <v>1438</v>
      </c>
      <c r="F104" s="1548"/>
      <c r="G104" s="1687" t="s">
        <v>1436</v>
      </c>
      <c r="H104" s="2378">
        <f>IF(D36="同一抵押权人同一抵押物续贷",C36&amp;"（续贷，未扣减，详见特别提示）",C36)</f>
        <v>0</v>
      </c>
      <c r="I104" s="121"/>
    </row>
    <row r="105" spans="1:35" ht="18.75" customHeight="1" thickBot="1">
      <c r="A105" s="3305"/>
      <c r="B105" s="2374" t="s">
        <v>1434</v>
      </c>
      <c r="C105" s="2375">
        <f ca="1">I118</f>
        <v>30130</v>
      </c>
      <c r="D105" s="2376"/>
      <c r="E105" s="1555" t="s">
        <v>1439</v>
      </c>
      <c r="F105" s="1548"/>
      <c r="G105" s="1687" t="s">
        <v>1436</v>
      </c>
      <c r="H105" s="2379">
        <f>C37</f>
        <v>0</v>
      </c>
      <c r="I105" s="121"/>
    </row>
    <row r="106" spans="1:35" ht="18.75" customHeight="1">
      <c r="A106" s="646" t="s">
        <v>1440</v>
      </c>
      <c r="B106" s="646"/>
      <c r="C106" s="646"/>
      <c r="D106" s="646"/>
      <c r="E106" s="1688" t="s">
        <v>1441</v>
      </c>
      <c r="F106" s="1548"/>
      <c r="G106" s="1687" t="s">
        <v>1436</v>
      </c>
      <c r="H106" s="2379">
        <f>C38</f>
        <v>0</v>
      </c>
      <c r="I106" s="121"/>
    </row>
    <row r="107" spans="1:35" ht="18.75" customHeight="1">
      <c r="A107" s="121"/>
      <c r="B107" s="121"/>
      <c r="C107" s="121"/>
      <c r="D107" s="121"/>
      <c r="E107" s="3301" t="str">
        <f>IF(项目基本情况!E8="已注销","——","3.房地产抵押价值")</f>
        <v>3.房地产抵押价值</v>
      </c>
      <c r="F107" s="3302"/>
      <c r="G107" s="1686" t="s">
        <v>1432</v>
      </c>
      <c r="H107" s="2377">
        <f ca="1">IF(E107="——","——",H101-H103)</f>
        <v>14913</v>
      </c>
      <c r="I107" s="121"/>
    </row>
    <row r="108" spans="1:35" ht="18.75" customHeight="1">
      <c r="A108" s="121"/>
      <c r="B108" s="121"/>
      <c r="C108" s="121"/>
      <c r="D108" s="121"/>
      <c r="E108" s="3301"/>
      <c r="F108" s="3302"/>
      <c r="G108" s="1686" t="s">
        <v>1434</v>
      </c>
      <c r="H108" s="2337">
        <f ca="1">IF(H107=H101,H102,ROUND(H107*10000/'数据-汇总表'!E3,0))</f>
        <v>30130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6" t="s">
        <v>1432</v>
      </c>
      <c r="H109" s="2380" t="str">
        <f>IF(E109="——","——",H101-H105-H106)</f>
        <v>——</v>
      </c>
      <c r="I109" s="121"/>
    </row>
    <row r="110" spans="1:35" ht="18.75" customHeight="1">
      <c r="A110" s="121"/>
      <c r="B110" s="121"/>
      <c r="C110" s="121"/>
      <c r="D110" s="121"/>
      <c r="E110" s="3301"/>
      <c r="F110" s="3302"/>
      <c r="G110" s="1686" t="s">
        <v>1434</v>
      </c>
      <c r="H110" s="2337"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6" t="s">
        <v>1432</v>
      </c>
      <c r="H111" s="2377" t="str">
        <f>IF(E111="——","——",N59)</f>
        <v>——</v>
      </c>
      <c r="I111" s="121"/>
    </row>
    <row r="112" spans="1:35" ht="18.75" customHeight="1" thickBot="1">
      <c r="A112" s="121"/>
      <c r="B112" s="121"/>
      <c r="C112" s="121"/>
      <c r="D112" s="121"/>
      <c r="E112" s="3334"/>
      <c r="F112" s="3335"/>
      <c r="G112" s="1689" t="s">
        <v>1434</v>
      </c>
      <c r="H112" s="2381"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0"/>
      <c r="F114" s="1670"/>
      <c r="G114" s="1670"/>
      <c r="H114" s="1670"/>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48" t="s">
        <v>1449</v>
      </c>
      <c r="E117" s="2148" t="s">
        <v>1450</v>
      </c>
      <c r="F117" s="2148" t="s">
        <v>1449</v>
      </c>
      <c r="G117" s="2148" t="s">
        <v>1451</v>
      </c>
      <c r="H117" s="2148" t="s">
        <v>1449</v>
      </c>
      <c r="I117" s="2148" t="s">
        <v>1451</v>
      </c>
    </row>
    <row r="118" spans="1:27" ht="24.75" customHeight="1">
      <c r="A118" s="2382" t="str">
        <f>项目基本情况!S2</f>
        <v>北京市通州区宋庄镇双埠头村、大庞村、大兴庄村土地出让国有建设用地使用权及在建建筑物房地产</v>
      </c>
      <c r="B118" s="2148">
        <f>M18</f>
        <v>4949.5099999999966</v>
      </c>
      <c r="C118" s="2148">
        <f>M19</f>
        <v>0</v>
      </c>
      <c r="D118" s="2148">
        <f ca="1">ROUND(IF(D32="总价",C34,E118*B118/10000),0)</f>
        <v>12780</v>
      </c>
      <c r="E118" s="2148">
        <f ca="1">ROUND(IF(C33="自定义",IF(D32="楼面单价",C34,D118*10000/B118),I118-G118),0)</f>
        <v>25820</v>
      </c>
      <c r="F118" s="2148">
        <f ca="1">ROUND(IF(D32="总价",C35,G118*B118/10000),0)</f>
        <v>2133</v>
      </c>
      <c r="G118" s="2148">
        <f ca="1">ROUND(IF(D32="楼面单价",C35,F118*10000/B118),0)</f>
        <v>4310</v>
      </c>
      <c r="H118" s="2148">
        <f ca="1">ROUND(IF(D32="总价",C32,I118*B118/10000),0)</f>
        <v>14913</v>
      </c>
      <c r="I118" s="2148">
        <f ca="1">ROUND(IF(D32="楼面单价",C32,H118*10000/B118),0)</f>
        <v>30130</v>
      </c>
    </row>
    <row r="119" spans="1:27" ht="18.75" customHeight="1">
      <c r="A119" s="3272" t="s">
        <v>1452</v>
      </c>
      <c r="B119" s="3272"/>
      <c r="C119" s="3272"/>
      <c r="D119" s="3312" t="str">
        <f ca="1">NUMBERSTRING(INT(D118*10000),2)&amp;"元整"</f>
        <v>壹亿贰仟柒佰捌拾万元整</v>
      </c>
      <c r="E119" s="3314"/>
      <c r="F119" s="3312" t="str">
        <f ca="1">NUMBERSTRING(INT(F118*10000),2)&amp;"元整"</f>
        <v>贰仟壹佰叁拾叁万元整</v>
      </c>
      <c r="G119" s="3314"/>
      <c r="H119" s="3312" t="str">
        <f ca="1">NUMBERSTRING(INT(H118*10000),2)&amp;"元整"</f>
        <v>壹亿肆仟玖佰壹拾叁万元整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14913</v>
      </c>
      <c r="E122" s="3337"/>
      <c r="F122" s="3337"/>
      <c r="G122" s="3337"/>
      <c r="H122" s="3337"/>
      <c r="I122" s="3338"/>
      <c r="AA122" s="684"/>
    </row>
    <row r="123" spans="1:27" ht="18.75" customHeight="1">
      <c r="A123" s="3272" t="s">
        <v>1452</v>
      </c>
      <c r="B123" s="3272"/>
      <c r="C123" s="3272"/>
      <c r="D123" s="3312" t="str">
        <f ca="1">NUMBERSTRING(INT(D122*10000),2)&amp;"元整"</f>
        <v>壹亿肆仟玖佰壹拾叁万元整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
  <sheetViews>
    <sheetView topLeftCell="P1" workbookViewId="0">
      <selection activeCell="V22" sqref="V22"/>
    </sheetView>
  </sheetViews>
  <sheetFormatPr defaultColWidth="8.875" defaultRowHeight="13.5"/>
  <cols>
    <col min="1" max="1" width="37.25" style="1156" customWidth="1"/>
    <col min="2" max="2" width="22.25" style="1156" hidden="1" customWidth="1"/>
    <col min="3" max="3" width="14.5" style="1156" customWidth="1"/>
    <col min="4" max="28" width="22.25" style="1156" customWidth="1"/>
    <col min="29" max="16384" width="8.875" style="1156"/>
  </cols>
  <sheetData>
    <row r="1" spans="1:27">
      <c r="A1" s="1156" t="s">
        <v>3414</v>
      </c>
      <c r="B1" s="1156" t="s">
        <v>3415</v>
      </c>
      <c r="C1" s="1156" t="s">
        <v>3416</v>
      </c>
      <c r="D1" s="1156" t="s">
        <v>3417</v>
      </c>
      <c r="E1" s="1156" t="s">
        <v>3418</v>
      </c>
      <c r="F1" s="1156" t="s">
        <v>3419</v>
      </c>
      <c r="G1" s="1156" t="s">
        <v>3420</v>
      </c>
      <c r="H1" s="1156" t="s">
        <v>3421</v>
      </c>
      <c r="I1" s="1156" t="s">
        <v>3422</v>
      </c>
      <c r="J1" s="1156" t="s">
        <v>3423</v>
      </c>
      <c r="K1" s="1156" t="s">
        <v>3424</v>
      </c>
      <c r="L1" s="1156" t="s">
        <v>3425</v>
      </c>
      <c r="M1" s="1156" t="s">
        <v>3426</v>
      </c>
      <c r="N1" s="1156" t="s">
        <v>3427</v>
      </c>
      <c r="O1" s="1156" t="s">
        <v>3428</v>
      </c>
      <c r="P1" s="1156" t="s">
        <v>3429</v>
      </c>
      <c r="Q1" s="1156" t="s">
        <v>3430</v>
      </c>
      <c r="R1" s="1156" t="s">
        <v>3431</v>
      </c>
      <c r="S1" s="1156" t="s">
        <v>3432</v>
      </c>
      <c r="T1" s="1156" t="s">
        <v>3433</v>
      </c>
      <c r="U1" s="1156" t="s">
        <v>3434</v>
      </c>
      <c r="V1" s="1156" t="s">
        <v>3435</v>
      </c>
      <c r="W1" s="1156" t="s">
        <v>3436</v>
      </c>
      <c r="X1" s="1156" t="s">
        <v>3437</v>
      </c>
      <c r="Y1" s="1156" t="s">
        <v>3438</v>
      </c>
      <c r="Z1" s="1156" t="s">
        <v>3439</v>
      </c>
      <c r="AA1" s="1156" t="s">
        <v>3440</v>
      </c>
    </row>
    <row r="2" spans="1:27" s="3156" customFormat="1">
      <c r="A2" s="3156" t="s">
        <v>3441</v>
      </c>
      <c r="B2" s="3156" t="s">
        <v>3399</v>
      </c>
      <c r="C2" s="3156" t="s">
        <v>3442</v>
      </c>
      <c r="D2" s="3156" t="s">
        <v>3443</v>
      </c>
      <c r="E2" s="3156">
        <v>21536.1</v>
      </c>
      <c r="F2" s="3156">
        <v>47379.41</v>
      </c>
      <c r="G2" s="3156" t="s">
        <v>3444</v>
      </c>
      <c r="H2" s="3156" t="s">
        <v>3445</v>
      </c>
      <c r="I2" s="3156" t="s">
        <v>3446</v>
      </c>
      <c r="J2" s="3156" t="s">
        <v>3447</v>
      </c>
      <c r="K2" s="3156" t="s">
        <v>3448</v>
      </c>
      <c r="L2" s="3156" t="s">
        <v>3449</v>
      </c>
      <c r="M2" s="3156" t="s">
        <v>3450</v>
      </c>
      <c r="N2" s="3156" t="s">
        <v>3451</v>
      </c>
      <c r="O2" s="3156">
        <v>119600</v>
      </c>
      <c r="P2" s="3156">
        <v>24000</v>
      </c>
      <c r="Q2" s="3156" t="s">
        <v>3452</v>
      </c>
      <c r="R2" s="3156">
        <v>119600</v>
      </c>
      <c r="S2" s="3156">
        <v>55534.66</v>
      </c>
      <c r="T2" s="3156">
        <v>3702.31</v>
      </c>
      <c r="U2" s="3156">
        <v>25243</v>
      </c>
      <c r="V2" s="3156" t="s">
        <v>3448</v>
      </c>
      <c r="W2" s="3156">
        <v>0</v>
      </c>
      <c r="X2" s="3156">
        <v>137540</v>
      </c>
      <c r="Y2" s="3156">
        <v>62000</v>
      </c>
      <c r="Z2" s="3156">
        <v>62000</v>
      </c>
      <c r="AA2" s="3156" t="s">
        <v>3453</v>
      </c>
    </row>
    <row r="3" spans="1:27">
      <c r="A3" s="1156" t="s">
        <v>3454</v>
      </c>
      <c r="B3" s="1156" t="s">
        <v>3399</v>
      </c>
      <c r="C3" s="1156" t="s">
        <v>3455</v>
      </c>
      <c r="D3" s="1156" t="s">
        <v>3456</v>
      </c>
      <c r="E3" s="1156">
        <v>15992.79</v>
      </c>
      <c r="F3" s="1156">
        <v>34704.36</v>
      </c>
      <c r="G3" s="1156" t="s">
        <v>3444</v>
      </c>
      <c r="H3" s="1156" t="s">
        <v>3445</v>
      </c>
      <c r="I3" s="1156" t="s">
        <v>3457</v>
      </c>
      <c r="J3" s="1156" t="s">
        <v>3458</v>
      </c>
      <c r="K3" s="1156" t="s">
        <v>3448</v>
      </c>
      <c r="L3" s="1156" t="s">
        <v>3459</v>
      </c>
      <c r="M3" s="1156" t="s">
        <v>3450</v>
      </c>
      <c r="N3" s="1156" t="s">
        <v>3460</v>
      </c>
      <c r="O3" s="1156">
        <v>99200</v>
      </c>
      <c r="P3" s="1156">
        <v>20000</v>
      </c>
      <c r="Q3" s="1156" t="s">
        <v>3461</v>
      </c>
      <c r="R3" s="1156">
        <v>99200</v>
      </c>
      <c r="S3" s="1156">
        <v>62027.95</v>
      </c>
      <c r="T3" s="1156">
        <v>4135.2</v>
      </c>
      <c r="U3" s="1156">
        <v>28584</v>
      </c>
      <c r="V3" s="1156" t="s">
        <v>3448</v>
      </c>
      <c r="W3" s="1156">
        <v>0</v>
      </c>
      <c r="X3" s="1156">
        <v>114080</v>
      </c>
      <c r="Y3" s="1156" t="s">
        <v>3448</v>
      </c>
      <c r="Z3" s="1156" t="s">
        <v>3448</v>
      </c>
      <c r="AA3" s="1156" t="s">
        <v>3453</v>
      </c>
    </row>
    <row r="4" spans="1:27" s="3156" customFormat="1">
      <c r="A4" s="3156" t="s">
        <v>3462</v>
      </c>
      <c r="B4" s="3156" t="s">
        <v>3399</v>
      </c>
      <c r="C4" s="3156" t="s">
        <v>3463</v>
      </c>
      <c r="D4" s="3156" t="s">
        <v>3464</v>
      </c>
      <c r="E4" s="3156">
        <v>46815.8</v>
      </c>
      <c r="F4" s="3156">
        <v>80213.66</v>
      </c>
      <c r="G4" s="3156" t="s">
        <v>3465</v>
      </c>
      <c r="H4" s="3156" t="s">
        <v>3466</v>
      </c>
      <c r="I4" s="3156" t="s">
        <v>3467</v>
      </c>
      <c r="J4" s="3156" t="s">
        <v>3447</v>
      </c>
      <c r="K4" s="3156" t="s">
        <v>3448</v>
      </c>
      <c r="L4" s="3156" t="s">
        <v>3468</v>
      </c>
      <c r="M4" s="3156" t="s">
        <v>3450</v>
      </c>
      <c r="N4" s="3156" t="s">
        <v>3469</v>
      </c>
      <c r="O4" s="3156">
        <v>159600</v>
      </c>
      <c r="P4" s="3156">
        <v>32000</v>
      </c>
      <c r="Q4" s="3156" t="s">
        <v>3470</v>
      </c>
      <c r="R4" s="3156">
        <v>159600</v>
      </c>
      <c r="S4" s="3156">
        <v>34091.050000000003</v>
      </c>
      <c r="T4" s="3156">
        <v>2272.7399999999998</v>
      </c>
      <c r="U4" s="3156">
        <v>19897</v>
      </c>
      <c r="V4" s="3156" t="s">
        <v>3448</v>
      </c>
      <c r="W4" s="3156">
        <v>0</v>
      </c>
      <c r="X4" s="3156">
        <v>183540</v>
      </c>
      <c r="Y4" s="3156" t="s">
        <v>3448</v>
      </c>
      <c r="Z4" s="3156" t="s">
        <v>3448</v>
      </c>
      <c r="AA4" s="3156" t="s">
        <v>3471</v>
      </c>
    </row>
    <row r="5" spans="1:27" s="3157" customFormat="1">
      <c r="A5" s="3157" t="s">
        <v>3472</v>
      </c>
      <c r="B5" s="3157" t="s">
        <v>3399</v>
      </c>
      <c r="C5" s="3157" t="s">
        <v>3463</v>
      </c>
      <c r="D5" s="3157" t="s">
        <v>3473</v>
      </c>
      <c r="E5" s="3157">
        <v>33463.35</v>
      </c>
      <c r="F5" s="3157">
        <v>57222.59</v>
      </c>
      <c r="G5" s="3157" t="s">
        <v>3444</v>
      </c>
      <c r="H5" s="3157" t="s">
        <v>3474</v>
      </c>
      <c r="I5" s="3157" t="s">
        <v>3475</v>
      </c>
      <c r="J5" s="3157" t="s">
        <v>3458</v>
      </c>
      <c r="K5" s="3157" t="s">
        <v>3448</v>
      </c>
      <c r="L5" s="3157" t="s">
        <v>3476</v>
      </c>
      <c r="M5" s="3157" t="s">
        <v>3450</v>
      </c>
      <c r="N5" s="3157" t="s">
        <v>3477</v>
      </c>
      <c r="O5" s="3157">
        <v>129000</v>
      </c>
      <c r="P5" s="3157">
        <v>26000</v>
      </c>
      <c r="Q5" s="3157" t="s">
        <v>3448</v>
      </c>
      <c r="R5" s="3157">
        <v>130400</v>
      </c>
      <c r="S5" s="3157">
        <v>38968</v>
      </c>
      <c r="T5" s="3157">
        <v>2597.87</v>
      </c>
      <c r="U5" s="3157">
        <v>22788</v>
      </c>
      <c r="V5" s="3157" t="s">
        <v>3448</v>
      </c>
      <c r="W5" s="3157">
        <v>1.0900000000000001</v>
      </c>
      <c r="X5" s="3157">
        <v>148350</v>
      </c>
      <c r="Y5" s="3157">
        <v>47000</v>
      </c>
      <c r="Z5" s="3157">
        <v>47000</v>
      </c>
      <c r="AA5" s="3157" t="s">
        <v>3471</v>
      </c>
    </row>
    <row r="6" spans="1:27">
      <c r="A6" s="1156" t="s">
        <v>3478</v>
      </c>
      <c r="B6" s="1156" t="s">
        <v>3399</v>
      </c>
      <c r="C6" s="1156" t="s">
        <v>3479</v>
      </c>
      <c r="D6" s="1156" t="s">
        <v>3480</v>
      </c>
      <c r="E6" s="1156">
        <v>42365.62</v>
      </c>
      <c r="F6" s="1156">
        <v>78552.52</v>
      </c>
      <c r="G6" s="1156" t="s">
        <v>3465</v>
      </c>
      <c r="H6" s="1156" t="s">
        <v>3466</v>
      </c>
      <c r="I6" s="1156" t="s">
        <v>3481</v>
      </c>
      <c r="J6" s="1156" t="s">
        <v>3458</v>
      </c>
      <c r="K6" s="1156" t="s">
        <v>3448</v>
      </c>
      <c r="L6" s="1156" t="s">
        <v>3482</v>
      </c>
      <c r="M6" s="1156" t="s">
        <v>3450</v>
      </c>
      <c r="N6" s="1156" t="s">
        <v>3483</v>
      </c>
      <c r="O6" s="1156">
        <v>249000</v>
      </c>
      <c r="P6" s="1156">
        <v>50000</v>
      </c>
      <c r="Q6" s="1156" t="s">
        <v>3484</v>
      </c>
      <c r="R6" s="1156">
        <v>274000</v>
      </c>
      <c r="S6" s="1156">
        <v>64675.08</v>
      </c>
      <c r="T6" s="1156">
        <v>4311.67</v>
      </c>
      <c r="U6" s="1156">
        <v>34881</v>
      </c>
      <c r="V6" s="1156" t="s">
        <v>3448</v>
      </c>
      <c r="W6" s="1156">
        <v>10.039999999999999</v>
      </c>
      <c r="X6" s="1156">
        <v>286350</v>
      </c>
      <c r="Y6" s="1156">
        <v>65000</v>
      </c>
      <c r="Z6" s="1156">
        <v>65000</v>
      </c>
      <c r="AA6" s="1156" t="s">
        <v>3485</v>
      </c>
    </row>
    <row r="7" spans="1:27" s="3156" customFormat="1">
      <c r="A7" s="3156" t="s">
        <v>3486</v>
      </c>
      <c r="B7" s="3156" t="s">
        <v>3399</v>
      </c>
      <c r="C7" s="3156" t="s">
        <v>3487</v>
      </c>
      <c r="D7" s="3156" t="s">
        <v>3488</v>
      </c>
      <c r="E7" s="3156">
        <v>45880.63</v>
      </c>
      <c r="F7" s="3156">
        <v>100937.39</v>
      </c>
      <c r="G7" s="3156" t="s">
        <v>3444</v>
      </c>
      <c r="H7" s="3156" t="s">
        <v>3445</v>
      </c>
      <c r="I7" s="3156" t="s">
        <v>3446</v>
      </c>
      <c r="J7" s="3156" t="s">
        <v>3458</v>
      </c>
      <c r="K7" s="3156" t="s">
        <v>3448</v>
      </c>
      <c r="L7" s="3156" t="s">
        <v>3489</v>
      </c>
      <c r="M7" s="3156" t="s">
        <v>3450</v>
      </c>
      <c r="N7" s="3156" t="s">
        <v>3490</v>
      </c>
      <c r="O7" s="3156">
        <v>259000</v>
      </c>
      <c r="P7" s="3156">
        <v>52000</v>
      </c>
      <c r="Q7" s="3156" t="s">
        <v>3448</v>
      </c>
      <c r="R7" s="3156">
        <v>259000</v>
      </c>
      <c r="S7" s="3156">
        <v>56450.83</v>
      </c>
      <c r="T7" s="3156">
        <v>3763.39</v>
      </c>
      <c r="U7" s="3156">
        <v>25659</v>
      </c>
      <c r="V7" s="3156" t="s">
        <v>3448</v>
      </c>
      <c r="W7" s="3156">
        <v>0</v>
      </c>
      <c r="X7" s="3156">
        <v>297850</v>
      </c>
      <c r="Y7" s="3156">
        <v>55000</v>
      </c>
      <c r="Z7" s="3156">
        <v>55000</v>
      </c>
      <c r="AA7" s="3156" t="s">
        <v>3485</v>
      </c>
    </row>
    <row r="8" spans="1:27" s="3161" customFormat="1">
      <c r="A8" s="3161" t="s">
        <v>3491</v>
      </c>
      <c r="B8" s="3161" t="s">
        <v>3399</v>
      </c>
      <c r="C8" s="3161" t="s">
        <v>3492</v>
      </c>
      <c r="D8" s="3161" t="s">
        <v>3493</v>
      </c>
      <c r="E8" s="3161">
        <v>33107.69</v>
      </c>
      <c r="F8" s="3161">
        <v>73704.72</v>
      </c>
      <c r="G8" s="3161" t="s">
        <v>3465</v>
      </c>
      <c r="H8" s="3161" t="s">
        <v>3494</v>
      </c>
      <c r="I8" s="3161" t="s">
        <v>3495</v>
      </c>
      <c r="J8" s="3161" t="s">
        <v>3458</v>
      </c>
      <c r="K8" s="3161" t="s">
        <v>3448</v>
      </c>
      <c r="L8" s="3161" t="s">
        <v>3489</v>
      </c>
      <c r="M8" s="3161" t="s">
        <v>3450</v>
      </c>
      <c r="N8" s="3161" t="s">
        <v>3496</v>
      </c>
      <c r="O8" s="3161">
        <v>143000</v>
      </c>
      <c r="P8" s="3161">
        <v>28600</v>
      </c>
      <c r="Q8" s="3161" t="s">
        <v>3448</v>
      </c>
      <c r="R8" s="3161">
        <v>143000</v>
      </c>
      <c r="S8" s="3161">
        <v>43192.38</v>
      </c>
      <c r="T8" s="3161">
        <v>2879.49</v>
      </c>
      <c r="U8" s="3161">
        <v>19402</v>
      </c>
      <c r="V8" s="3161" t="s">
        <v>3448</v>
      </c>
      <c r="W8" s="3161">
        <v>0</v>
      </c>
      <c r="X8" s="3161">
        <v>164450</v>
      </c>
      <c r="Y8" s="3161">
        <v>62000</v>
      </c>
      <c r="Z8" s="3161">
        <v>62000</v>
      </c>
      <c r="AA8" s="3161" t="s">
        <v>3485</v>
      </c>
    </row>
    <row r="9" spans="1:27">
      <c r="A9" s="1156" t="s">
        <v>3497</v>
      </c>
      <c r="B9" s="1156" t="s">
        <v>3399</v>
      </c>
      <c r="C9" s="1156" t="s">
        <v>3492</v>
      </c>
      <c r="D9" s="1156" t="s">
        <v>3498</v>
      </c>
      <c r="E9" s="1156">
        <v>29561.58</v>
      </c>
      <c r="F9" s="1156">
        <v>65035.47</v>
      </c>
      <c r="G9" s="1156" t="s">
        <v>3444</v>
      </c>
      <c r="H9" s="1156" t="s">
        <v>3445</v>
      </c>
      <c r="I9" s="1156" t="s">
        <v>3446</v>
      </c>
      <c r="J9" s="1156" t="s">
        <v>3458</v>
      </c>
      <c r="K9" s="1156" t="s">
        <v>3448</v>
      </c>
      <c r="L9" s="1156" t="s">
        <v>3499</v>
      </c>
      <c r="M9" s="1156" t="s">
        <v>3450</v>
      </c>
      <c r="N9" s="1156" t="s">
        <v>3460</v>
      </c>
      <c r="O9" s="1156">
        <v>202000</v>
      </c>
      <c r="P9" s="1156">
        <v>41000</v>
      </c>
      <c r="Q9" s="1156" t="s">
        <v>3500</v>
      </c>
      <c r="R9" s="1156">
        <v>232000</v>
      </c>
      <c r="S9" s="1156">
        <v>78480.240000000005</v>
      </c>
      <c r="T9" s="1156">
        <v>5232.0200000000004</v>
      </c>
      <c r="U9" s="1156">
        <v>35673</v>
      </c>
      <c r="V9" s="1156" t="s">
        <v>3448</v>
      </c>
      <c r="W9" s="1156">
        <v>14.85</v>
      </c>
      <c r="X9" s="1156">
        <v>232000</v>
      </c>
      <c r="Y9" s="1156">
        <v>62000</v>
      </c>
      <c r="Z9" s="1156">
        <v>62000</v>
      </c>
      <c r="AA9" s="1156" t="s">
        <v>3485</v>
      </c>
    </row>
    <row r="10" spans="1:27">
      <c r="A10" s="1156" t="s">
        <v>3501</v>
      </c>
      <c r="B10" s="1156" t="s">
        <v>3399</v>
      </c>
      <c r="C10" s="1156" t="s">
        <v>3492</v>
      </c>
      <c r="D10" s="1156" t="s">
        <v>3502</v>
      </c>
      <c r="E10" s="1156">
        <v>28612.54</v>
      </c>
      <c r="F10" s="1156">
        <v>66536.039999999994</v>
      </c>
      <c r="G10" s="1156" t="s">
        <v>3465</v>
      </c>
      <c r="H10" s="1156" t="s">
        <v>3503</v>
      </c>
      <c r="I10" s="1156" t="s">
        <v>3504</v>
      </c>
      <c r="J10" s="1156" t="s">
        <v>3458</v>
      </c>
      <c r="K10" s="1156" t="s">
        <v>3505</v>
      </c>
      <c r="L10" s="1156" t="s">
        <v>3506</v>
      </c>
      <c r="M10" s="1156" t="s">
        <v>3450</v>
      </c>
      <c r="N10" s="1156" t="s">
        <v>3507</v>
      </c>
      <c r="O10" s="1156">
        <v>104000</v>
      </c>
      <c r="P10" s="1156">
        <v>20800</v>
      </c>
      <c r="Q10" s="1156" t="s">
        <v>3508</v>
      </c>
      <c r="R10" s="1156">
        <v>104000</v>
      </c>
      <c r="S10" s="1156">
        <v>36347.699999999997</v>
      </c>
      <c r="T10" s="1156">
        <v>2423.1799999999998</v>
      </c>
      <c r="U10" s="1156">
        <v>15631</v>
      </c>
      <c r="V10" s="1156" t="s">
        <v>3448</v>
      </c>
      <c r="W10" s="1156">
        <v>0</v>
      </c>
      <c r="X10" s="1156">
        <v>119600</v>
      </c>
      <c r="Y10" s="1156">
        <v>62000</v>
      </c>
      <c r="Z10" s="1156">
        <v>62000</v>
      </c>
      <c r="AA10" s="1156" t="s">
        <v>3485</v>
      </c>
    </row>
    <row r="11" spans="1:27">
      <c r="A11" s="1156" t="s">
        <v>3509</v>
      </c>
      <c r="B11" s="1156" t="s">
        <v>3399</v>
      </c>
      <c r="C11" s="1156" t="s">
        <v>3479</v>
      </c>
      <c r="D11" s="1156" t="s">
        <v>3510</v>
      </c>
      <c r="E11" s="1156">
        <v>24837.200000000001</v>
      </c>
      <c r="F11" s="1156">
        <v>49674.400000000001</v>
      </c>
      <c r="G11" s="1156" t="s">
        <v>3444</v>
      </c>
      <c r="H11" s="1156" t="s">
        <v>3445</v>
      </c>
      <c r="I11" s="1156" t="s">
        <v>3511</v>
      </c>
      <c r="J11" s="1156" t="s">
        <v>3458</v>
      </c>
      <c r="K11" s="1156" t="s">
        <v>3512</v>
      </c>
      <c r="L11" s="1156" t="s">
        <v>3513</v>
      </c>
      <c r="M11" s="1156" t="s">
        <v>3450</v>
      </c>
      <c r="N11" s="1156" t="s">
        <v>3514</v>
      </c>
      <c r="O11" s="1156">
        <v>166000</v>
      </c>
      <c r="P11" s="1156">
        <v>34000</v>
      </c>
      <c r="Q11" s="1156" t="s">
        <v>3515</v>
      </c>
      <c r="R11" s="1156">
        <v>166900</v>
      </c>
      <c r="S11" s="1156">
        <v>67197.59</v>
      </c>
      <c r="T11" s="1156">
        <v>4479.84</v>
      </c>
      <c r="U11" s="1156">
        <v>33599</v>
      </c>
      <c r="V11" s="1156" t="s">
        <v>3448</v>
      </c>
      <c r="W11" s="1156">
        <v>0.54</v>
      </c>
      <c r="X11" s="1156">
        <v>190900</v>
      </c>
      <c r="Y11" s="1156">
        <v>65000</v>
      </c>
      <c r="Z11" s="1156">
        <v>65000</v>
      </c>
      <c r="AA11" s="1156" t="s">
        <v>3485</v>
      </c>
    </row>
    <row r="12" spans="1:27">
      <c r="A12" s="1156" t="s">
        <v>3516</v>
      </c>
      <c r="B12" s="1156" t="s">
        <v>3399</v>
      </c>
      <c r="C12" s="1156" t="s">
        <v>3492</v>
      </c>
      <c r="D12" s="1156" t="s">
        <v>3517</v>
      </c>
      <c r="E12" s="1156">
        <v>24601.759999999998</v>
      </c>
      <c r="F12" s="1156">
        <v>56395.59</v>
      </c>
      <c r="G12" s="1156" t="s">
        <v>3465</v>
      </c>
      <c r="H12" s="1156" t="s">
        <v>3466</v>
      </c>
      <c r="I12" s="1156" t="s">
        <v>3518</v>
      </c>
      <c r="J12" s="1156" t="s">
        <v>3458</v>
      </c>
      <c r="K12" s="1156" t="s">
        <v>3519</v>
      </c>
      <c r="L12" s="1156" t="s">
        <v>3520</v>
      </c>
      <c r="M12" s="1156" t="s">
        <v>3450</v>
      </c>
      <c r="N12" s="1156" t="s">
        <v>3521</v>
      </c>
      <c r="O12" s="1156">
        <v>165000</v>
      </c>
      <c r="P12" s="1156">
        <v>33000</v>
      </c>
      <c r="Q12" s="1156" t="s">
        <v>3522</v>
      </c>
      <c r="R12" s="1156">
        <v>165000</v>
      </c>
      <c r="S12" s="1156">
        <v>67068.37</v>
      </c>
      <c r="T12" s="1156">
        <v>4471.22</v>
      </c>
      <c r="U12" s="1156">
        <v>29258</v>
      </c>
      <c r="V12" s="1156" t="s">
        <v>3448</v>
      </c>
      <c r="W12" s="1156">
        <v>0</v>
      </c>
      <c r="X12" s="1156">
        <v>189700</v>
      </c>
      <c r="Y12" s="1156">
        <v>62000</v>
      </c>
      <c r="Z12" s="1156">
        <v>62000</v>
      </c>
      <c r="AA12" s="1156" t="s">
        <v>3485</v>
      </c>
    </row>
    <row r="13" spans="1:27">
      <c r="A13" s="1156" t="s">
        <v>3523</v>
      </c>
      <c r="B13" s="1156" t="s">
        <v>3399</v>
      </c>
      <c r="C13" s="1156" t="s">
        <v>3524</v>
      </c>
      <c r="D13" s="1156" t="s">
        <v>3525</v>
      </c>
      <c r="E13" s="1156">
        <v>33141.01</v>
      </c>
      <c r="F13" s="1156">
        <v>61339.02</v>
      </c>
      <c r="G13" s="1156" t="s">
        <v>3465</v>
      </c>
      <c r="H13" s="1156" t="s">
        <v>3526</v>
      </c>
      <c r="I13" s="1156" t="s">
        <v>3527</v>
      </c>
      <c r="J13" s="1156" t="s">
        <v>3458</v>
      </c>
      <c r="K13" s="1156" t="s">
        <v>3528</v>
      </c>
      <c r="L13" s="1156" t="s">
        <v>3529</v>
      </c>
      <c r="M13" s="1156" t="s">
        <v>3450</v>
      </c>
      <c r="N13" s="1156" t="s">
        <v>3530</v>
      </c>
      <c r="O13" s="1156">
        <v>133000</v>
      </c>
      <c r="P13" s="1156">
        <v>27000</v>
      </c>
      <c r="Q13" s="1156" t="s">
        <v>3531</v>
      </c>
      <c r="R13" s="1156">
        <v>133000</v>
      </c>
      <c r="S13" s="1156">
        <v>40131.54</v>
      </c>
      <c r="T13" s="1156">
        <v>2675.44</v>
      </c>
      <c r="U13" s="1156">
        <v>21683</v>
      </c>
      <c r="V13" s="1156" t="s">
        <v>3448</v>
      </c>
      <c r="W13" s="1156">
        <v>0</v>
      </c>
      <c r="X13" s="1156">
        <v>152950</v>
      </c>
      <c r="Y13" s="1156">
        <v>55000</v>
      </c>
      <c r="Z13" s="1156">
        <v>55000</v>
      </c>
      <c r="AA13" s="1156" t="s">
        <v>3485</v>
      </c>
    </row>
    <row r="14" spans="1:27">
      <c r="A14" s="1156" t="s">
        <v>3532</v>
      </c>
      <c r="B14" s="1156" t="s">
        <v>3399</v>
      </c>
      <c r="C14" s="1156" t="s">
        <v>3533</v>
      </c>
      <c r="D14" s="1156" t="s">
        <v>3534</v>
      </c>
      <c r="E14" s="1156">
        <v>25189.62</v>
      </c>
      <c r="F14" s="1156">
        <v>37104</v>
      </c>
      <c r="G14" s="1156" t="s">
        <v>3465</v>
      </c>
      <c r="H14" s="1156" t="s">
        <v>3466</v>
      </c>
      <c r="I14" s="1156" t="s">
        <v>3535</v>
      </c>
      <c r="J14" s="1156" t="s">
        <v>3458</v>
      </c>
      <c r="K14" s="1156" t="s">
        <v>3536</v>
      </c>
      <c r="L14" s="1156" t="s">
        <v>3537</v>
      </c>
      <c r="M14" s="1156" t="s">
        <v>3450</v>
      </c>
      <c r="N14" s="1156" t="s">
        <v>3496</v>
      </c>
      <c r="O14" s="1156">
        <v>29500</v>
      </c>
      <c r="P14" s="1156">
        <v>5900</v>
      </c>
      <c r="Q14" s="1156" t="s">
        <v>3538</v>
      </c>
      <c r="R14" s="1156">
        <v>29500</v>
      </c>
      <c r="S14" s="1156">
        <v>11711.17</v>
      </c>
      <c r="T14" s="1156">
        <v>780.74</v>
      </c>
      <c r="U14" s="1156">
        <v>7951</v>
      </c>
      <c r="V14" s="1156" t="s">
        <v>3448</v>
      </c>
      <c r="W14" s="1156">
        <v>0</v>
      </c>
      <c r="X14" s="1156">
        <v>32450</v>
      </c>
      <c r="Y14" s="1156">
        <v>31000</v>
      </c>
      <c r="Z14" s="1156">
        <v>31000</v>
      </c>
      <c r="AA14" s="1156" t="s">
        <v>3539</v>
      </c>
    </row>
    <row r="15" spans="1:27">
      <c r="A15" s="1156" t="s">
        <v>3540</v>
      </c>
      <c r="B15" s="1156" t="s">
        <v>3399</v>
      </c>
      <c r="C15" s="1156" t="s">
        <v>3463</v>
      </c>
      <c r="D15" s="1156" t="s">
        <v>3541</v>
      </c>
      <c r="E15" s="1156">
        <v>104979.3</v>
      </c>
      <c r="F15" s="1156">
        <v>177256.92</v>
      </c>
      <c r="G15" s="1156" t="s">
        <v>3465</v>
      </c>
      <c r="H15" s="1156" t="s">
        <v>3542</v>
      </c>
      <c r="I15" s="1156" t="s">
        <v>3543</v>
      </c>
      <c r="J15" s="1156" t="s">
        <v>3458</v>
      </c>
      <c r="K15" s="1156" t="s">
        <v>3544</v>
      </c>
      <c r="L15" s="1156" t="s">
        <v>3545</v>
      </c>
      <c r="M15" s="1156" t="s">
        <v>3450</v>
      </c>
      <c r="N15" s="1156" t="s">
        <v>3546</v>
      </c>
      <c r="O15" s="1156">
        <v>447000</v>
      </c>
      <c r="P15" s="1156">
        <v>90000</v>
      </c>
      <c r="Q15" s="1156" t="s">
        <v>3547</v>
      </c>
      <c r="R15" s="1156">
        <v>451600</v>
      </c>
      <c r="S15" s="1156">
        <v>43018</v>
      </c>
      <c r="T15" s="1156">
        <v>2867.87</v>
      </c>
      <c r="U15" s="1156">
        <v>25477</v>
      </c>
      <c r="V15" s="1156" t="s">
        <v>3448</v>
      </c>
      <c r="W15" s="1156">
        <v>1.03</v>
      </c>
      <c r="X15" s="1156">
        <v>491500</v>
      </c>
      <c r="Y15" s="1156" t="s">
        <v>3448</v>
      </c>
      <c r="Z15" s="1156" t="s">
        <v>3448</v>
      </c>
      <c r="AA15" s="1156" t="s">
        <v>3471</v>
      </c>
    </row>
    <row r="16" spans="1:27">
      <c r="A16" s="1156" t="s">
        <v>3548</v>
      </c>
      <c r="B16" s="1156" t="s">
        <v>3399</v>
      </c>
      <c r="C16" s="1156" t="s">
        <v>3492</v>
      </c>
      <c r="D16" s="1156" t="s">
        <v>3549</v>
      </c>
      <c r="E16" s="1156">
        <v>124063.23</v>
      </c>
      <c r="F16" s="1156">
        <v>240662.81</v>
      </c>
      <c r="G16" s="1156" t="s">
        <v>3465</v>
      </c>
      <c r="H16" s="1156" t="s">
        <v>3550</v>
      </c>
      <c r="I16" s="1156" t="s">
        <v>3551</v>
      </c>
      <c r="J16" s="1156" t="s">
        <v>3458</v>
      </c>
      <c r="K16" s="1156" t="s">
        <v>3544</v>
      </c>
      <c r="L16" s="1156" t="s">
        <v>3552</v>
      </c>
      <c r="M16" s="1156" t="s">
        <v>3450</v>
      </c>
      <c r="N16" s="1156" t="s">
        <v>3553</v>
      </c>
      <c r="O16" s="1156">
        <v>358000</v>
      </c>
      <c r="P16" s="1156">
        <v>72000</v>
      </c>
      <c r="Q16" s="1156" t="s">
        <v>3547</v>
      </c>
      <c r="R16" s="1156">
        <v>411500</v>
      </c>
      <c r="S16" s="1156">
        <v>33168.57</v>
      </c>
      <c r="T16" s="1156">
        <v>2211.2399999999998</v>
      </c>
      <c r="U16" s="1156">
        <v>17099</v>
      </c>
      <c r="V16" s="1156" t="s">
        <v>3448</v>
      </c>
      <c r="W16" s="1156">
        <v>14.94</v>
      </c>
      <c r="X16" s="1156">
        <v>411500</v>
      </c>
      <c r="Y16" s="1156" t="s">
        <v>3448</v>
      </c>
      <c r="Z16" s="1156" t="s">
        <v>3448</v>
      </c>
      <c r="AA16" s="1156" t="s">
        <v>3485</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北京市通州区宋庄镇双埠头村、大庞村、大兴庄村土地出让国有建设用地使用权及在建建筑物房地产抵押价值预评估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9" zoomScale="85" zoomScaleNormal="60" zoomScaleSheetLayoutView="85" workbookViewId="0">
      <selection activeCell="C47" sqref="C47"/>
    </sheetView>
  </sheetViews>
  <sheetFormatPr defaultColWidth="9" defaultRowHeight="14.25"/>
  <cols>
    <col min="1" max="1" width="14.375" style="347" customWidth="1"/>
    <col min="2" max="2" width="15.75" style="347" customWidth="1"/>
    <col min="3" max="3" width="17.875" style="347" customWidth="1"/>
    <col min="4" max="4" width="14.125" style="347" customWidth="1"/>
    <col min="5" max="5" width="18.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10762</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21744</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371" t="s">
        <v>1775</v>
      </c>
      <c r="Q4" s="3372"/>
      <c r="R4" s="3377" t="s">
        <v>1771</v>
      </c>
      <c r="S4" s="3378"/>
      <c r="T4" s="3377" t="s">
        <v>1772</v>
      </c>
      <c r="U4" s="3378"/>
      <c r="V4" s="3364" t="s">
        <v>1773</v>
      </c>
      <c r="W4" s="3364"/>
      <c r="X4" s="1265"/>
      <c r="Y4" s="3377" t="s">
        <v>1775</v>
      </c>
      <c r="Z4" s="3378"/>
      <c r="AA4" s="3365" t="s">
        <v>1771</v>
      </c>
      <c r="AB4" s="3366" t="s">
        <v>1772</v>
      </c>
      <c r="AC4" s="3365" t="s">
        <v>1773</v>
      </c>
    </row>
    <row r="5" spans="1:29" ht="97.9" customHeight="1">
      <c r="A5" s="348"/>
      <c r="B5" s="349"/>
      <c r="C5" s="3385" t="s">
        <v>1673</v>
      </c>
      <c r="D5" s="3386"/>
      <c r="E5" s="3392" t="str">
        <f>Sheet1!A2</f>
        <v>通州区土桥中路西侧棚户区改造项目FZX-0202-6025地块R2二类居住用地</v>
      </c>
      <c r="F5" s="3393"/>
      <c r="G5" s="3385" t="str">
        <f>Sheet1!A4</f>
        <v>北京市通州区宋庄镇双埠头村、大庞村、大兴庄村土地一级开发项目TZ03-0403- 6008、6015地块R2二类居住用地、 TZ03-0403-6012地块A334托幼用地</v>
      </c>
      <c r="H5" s="3386"/>
      <c r="I5" s="3385" t="str">
        <f>Sheet1!A7</f>
        <v>北京市通州经济开发区西区南扩区三、五、六期 棚户区改造项目北京城市副中心1102街区FZX-1102-6003、6004地块R2二类居住用地</v>
      </c>
      <c r="J5" s="3386"/>
      <c r="K5" s="537"/>
      <c r="L5" s="2482"/>
      <c r="M5" s="2483"/>
      <c r="N5" s="2483"/>
      <c r="O5" s="2483"/>
      <c r="P5" s="3373"/>
      <c r="Q5" s="3374"/>
      <c r="R5" s="3379"/>
      <c r="S5" s="3380"/>
      <c r="T5" s="3379"/>
      <c r="U5" s="3380"/>
      <c r="V5" s="3364"/>
      <c r="W5" s="3364"/>
      <c r="X5" s="1265"/>
      <c r="Y5" s="3379"/>
      <c r="Z5" s="3380"/>
      <c r="AA5" s="3366"/>
      <c r="AB5" s="3366"/>
      <c r="AC5" s="3366"/>
    </row>
    <row r="6" spans="1:29" ht="15.75" thickBot="1">
      <c r="A6" s="350"/>
      <c r="B6" s="351"/>
      <c r="C6" s="3383" t="s">
        <v>1677</v>
      </c>
      <c r="D6" s="3384"/>
      <c r="E6" s="3390" t="s">
        <v>1677</v>
      </c>
      <c r="F6" s="3391"/>
      <c r="G6" s="3383" t="s">
        <v>1677</v>
      </c>
      <c r="H6" s="3384"/>
      <c r="I6" s="3383" t="s">
        <v>1677</v>
      </c>
      <c r="J6" s="3384"/>
      <c r="K6" s="537" t="s">
        <v>1678</v>
      </c>
      <c r="L6" s="2482"/>
      <c r="M6" s="2483"/>
      <c r="N6" s="2483"/>
      <c r="O6" s="2483"/>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t="str">
        <f>Sheet1!L2</f>
        <v>2024-11-05</v>
      </c>
      <c r="F7" s="357">
        <f>SUMIF(69:69,YEAR(E7)&amp;"-"&amp;INT((MONTH(E7)+2)/3),70:70)</f>
        <v>100</v>
      </c>
      <c r="G7" s="1820" t="str">
        <f>Sheet1!L4</f>
        <v>2024-09-27</v>
      </c>
      <c r="H7" s="355">
        <f>SUMIF(69:69,YEAR(G7)&amp;"-"&amp;INT((MONTH(G7)+2)/3),70:70)</f>
        <v>100</v>
      </c>
      <c r="I7" s="1820" t="str">
        <f>Sheet1!L7</f>
        <v>2023-06-20</v>
      </c>
      <c r="J7" s="355">
        <f>SUMIF(69:69,YEAR(I7)&amp;"-"&amp;INT((MONTH(I7)+2)/3),70:70)</f>
        <v>100</v>
      </c>
      <c r="K7" s="38"/>
      <c r="L7" s="2484"/>
      <c r="M7" s="2436"/>
      <c r="N7" s="2436"/>
      <c r="O7" s="2436"/>
      <c r="P7" s="3387" t="s">
        <v>1680</v>
      </c>
      <c r="Q7" s="3389"/>
      <c r="R7" s="664" t="s">
        <v>14</v>
      </c>
      <c r="S7" s="665">
        <f t="shared" ref="S7:S15" si="0">F7</f>
        <v>100</v>
      </c>
      <c r="T7" s="664" t="s">
        <v>14</v>
      </c>
      <c r="U7" s="665">
        <f t="shared" ref="U7:U15" si="1">H7</f>
        <v>100</v>
      </c>
      <c r="V7" s="664" t="s">
        <v>14</v>
      </c>
      <c r="W7" s="665">
        <f t="shared" ref="W7:W15" si="2">J7</f>
        <v>100</v>
      </c>
      <c r="X7" s="666"/>
      <c r="Y7" s="3387" t="s">
        <v>1680</v>
      </c>
      <c r="Z7" s="3388"/>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4"/>
      <c r="M8" s="2436"/>
      <c r="N8" s="2436"/>
      <c r="O8" s="2436"/>
      <c r="P8" s="3387" t="s">
        <v>1683</v>
      </c>
      <c r="Q8" s="3388"/>
      <c r="R8" s="664" t="s">
        <v>14</v>
      </c>
      <c r="S8" s="665">
        <f t="shared" si="0"/>
        <v>100</v>
      </c>
      <c r="T8" s="664" t="s">
        <v>14</v>
      </c>
      <c r="U8" s="665">
        <f t="shared" si="1"/>
        <v>100</v>
      </c>
      <c r="V8" s="664" t="s">
        <v>14</v>
      </c>
      <c r="W8" s="665">
        <f t="shared" si="2"/>
        <v>100</v>
      </c>
      <c r="X8" s="666"/>
      <c r="Y8" s="3387" t="s">
        <v>1683</v>
      </c>
      <c r="Z8" s="3388"/>
      <c r="AA8" s="50">
        <f t="shared" ref="AA8:AA45" si="3">D8/F8</f>
        <v>1</v>
      </c>
      <c r="AB8" s="50">
        <f t="shared" ref="AB8:AB45" si="4">D8/H8</f>
        <v>1</v>
      </c>
      <c r="AC8" s="50">
        <f t="shared" ref="AC8:AC45" si="5">D8/J8</f>
        <v>1</v>
      </c>
    </row>
    <row r="9" spans="1:29" s="102" customFormat="1">
      <c r="A9" s="359" t="s">
        <v>1684</v>
      </c>
      <c r="B9" s="60" t="s">
        <v>1685</v>
      </c>
      <c r="C9" s="1823" t="s">
        <v>3403</v>
      </c>
      <c r="D9" s="59">
        <v>100</v>
      </c>
      <c r="E9" s="1823" t="s">
        <v>3403</v>
      </c>
      <c r="F9" s="59">
        <f>SUMIF(74:74,E9,75:75)-SUMIF(74:74,C9,75:75)+100</f>
        <v>100</v>
      </c>
      <c r="G9" s="1823" t="s">
        <v>3403</v>
      </c>
      <c r="H9" s="59">
        <f>SUMIF(74:74,G9,75:75)-SUMIF(74:74,C9,75:75)+100</f>
        <v>100</v>
      </c>
      <c r="I9" s="1823" t="s">
        <v>3403</v>
      </c>
      <c r="J9" s="59">
        <f>SUMIF(74:74,I9,75:75)-SUMIF(74:74,C9,75:75)+100</f>
        <v>100</v>
      </c>
      <c r="K9" s="38"/>
      <c r="L9" s="2484"/>
      <c r="M9" s="2436"/>
      <c r="N9" s="2436"/>
      <c r="O9" s="2536"/>
      <c r="P9" s="3359"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359"/>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v>1.8</v>
      </c>
      <c r="D11" s="119">
        <v>100</v>
      </c>
      <c r="E11" s="368">
        <v>2.2000000000000002</v>
      </c>
      <c r="F11" s="119">
        <f>LOOKUP(E11,79:79,80:80)-LOOKUP(C11,79:79,80:80)+100</f>
        <v>98</v>
      </c>
      <c r="G11" s="369">
        <v>1.8</v>
      </c>
      <c r="H11" s="119">
        <f>LOOKUP(G11,79:79,80:80)-LOOKUP(C11,79:79,80:80)+100</f>
        <v>100</v>
      </c>
      <c r="I11" s="368">
        <v>2.2000000000000002</v>
      </c>
      <c r="J11" s="119">
        <f>LOOKUP(I11,79:79,80:80)-LOOKUP(C11,79:79,80:80)+100</f>
        <v>98</v>
      </c>
      <c r="K11" s="593">
        <v>2</v>
      </c>
      <c r="L11" s="2487"/>
      <c r="M11" s="2483"/>
      <c r="N11" s="2483"/>
      <c r="O11" s="2538"/>
      <c r="P11" s="3359"/>
      <c r="Q11" s="530" t="str">
        <f t="shared" si="6"/>
        <v>容积率</v>
      </c>
      <c r="R11" s="664" t="s">
        <v>14</v>
      </c>
      <c r="S11" s="665">
        <f t="shared" si="0"/>
        <v>98</v>
      </c>
      <c r="T11" s="664" t="s">
        <v>14</v>
      </c>
      <c r="U11" s="665">
        <f t="shared" si="1"/>
        <v>100</v>
      </c>
      <c r="V11" s="664" t="s">
        <v>14</v>
      </c>
      <c r="W11" s="665">
        <f t="shared" si="2"/>
        <v>98</v>
      </c>
      <c r="X11" s="666"/>
      <c r="Y11" s="3259"/>
      <c r="Z11" s="50" t="str">
        <f t="shared" si="7"/>
        <v>容积率</v>
      </c>
      <c r="AA11" s="50">
        <f t="shared" si="3"/>
        <v>1.0204081632653061</v>
      </c>
      <c r="AB11" s="50">
        <f t="shared" si="4"/>
        <v>1</v>
      </c>
      <c r="AC11" s="50">
        <f t="shared" si="5"/>
        <v>1.0204081632653061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59"/>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t="s">
        <v>3564</v>
      </c>
      <c r="C13" s="373">
        <f>Sheet1!Y5</f>
        <v>47000</v>
      </c>
      <c r="D13" s="374">
        <v>100</v>
      </c>
      <c r="E13" s="480">
        <f>Sheet1!Y2</f>
        <v>62000</v>
      </c>
      <c r="F13" s="119">
        <f>SUMIF(83:83,E13,84:84)-SUMIF(83:83,C13,84:84)+100</f>
        <v>104</v>
      </c>
      <c r="G13" s="594">
        <f>C13</f>
        <v>47000</v>
      </c>
      <c r="H13" s="374">
        <f>SUMIF(83:83,G13,84:84)-SUMIF(83:83,C13,84:84)+100</f>
        <v>100</v>
      </c>
      <c r="I13" s="594">
        <f>Sheet1!Z7</f>
        <v>55000</v>
      </c>
      <c r="J13" s="374">
        <f>SUMIF(83:83,I13,84:84)-SUMIF(83:83,C13,84:84)+100</f>
        <v>102</v>
      </c>
      <c r="K13" s="592"/>
      <c r="L13" s="2488"/>
      <c r="M13" s="2483"/>
      <c r="N13" s="2483"/>
      <c r="O13" s="2538"/>
      <c r="P13" s="3359"/>
      <c r="Q13" s="530" t="str">
        <f t="shared" si="6"/>
        <v>政府指导价</v>
      </c>
      <c r="R13" s="664" t="s">
        <v>14</v>
      </c>
      <c r="S13" s="665">
        <f t="shared" si="0"/>
        <v>104</v>
      </c>
      <c r="T13" s="664" t="s">
        <v>14</v>
      </c>
      <c r="U13" s="665">
        <f t="shared" si="1"/>
        <v>100</v>
      </c>
      <c r="V13" s="664" t="s">
        <v>14</v>
      </c>
      <c r="W13" s="665">
        <f t="shared" si="2"/>
        <v>102</v>
      </c>
      <c r="X13" s="666"/>
      <c r="Y13" s="3259"/>
      <c r="Z13" s="50" t="str">
        <f t="shared" si="7"/>
        <v>政府指导价</v>
      </c>
      <c r="AA13" s="50">
        <f>D13/F13</f>
        <v>0.96153846153846156</v>
      </c>
      <c r="AB13" s="50">
        <f>D13/H13</f>
        <v>1</v>
      </c>
      <c r="AC13" s="50">
        <f>D13/J13</f>
        <v>0.98039215686274506</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59"/>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42.75">
      <c r="A15" s="379" t="s">
        <v>1690</v>
      </c>
      <c r="B15" s="58" t="s">
        <v>1257</v>
      </c>
      <c r="C15" s="1749" t="str">
        <f>估价对象房地状况!C15</f>
        <v>在建：金地北京壹街区；佰富苑、艺和苑等，一般</v>
      </c>
      <c r="D15" s="380">
        <v>100</v>
      </c>
      <c r="E15" s="3163" t="s">
        <v>3570</v>
      </c>
      <c r="F15" s="380">
        <f>SUMIF(87:87,E16,88:88)-SUMIF(87:87,C16,88:88)+100</f>
        <v>103</v>
      </c>
      <c r="G15" s="381"/>
      <c r="H15" s="380">
        <f>SUMIF(87:87,G16,88:88)-SUMIF(87:87,C16,88:88)+100</f>
        <v>100</v>
      </c>
      <c r="I15" s="3165" t="s">
        <v>3578</v>
      </c>
      <c r="J15" s="380">
        <f>SUMIF(87:87,I16,88:88)-SUMIF(87:87,C16,88:88)+100</f>
        <v>100</v>
      </c>
      <c r="K15" s="593">
        <v>3</v>
      </c>
      <c r="L15" s="2488"/>
      <c r="M15" s="2483"/>
      <c r="N15" s="2483"/>
      <c r="O15" s="2538"/>
      <c r="P15" s="3360" t="s">
        <v>1691</v>
      </c>
      <c r="Q15" s="1263" t="str">
        <f t="shared" si="6"/>
        <v>居住社区成熟度</v>
      </c>
      <c r="R15" s="667" t="s">
        <v>14</v>
      </c>
      <c r="S15" s="668">
        <f t="shared" si="0"/>
        <v>103</v>
      </c>
      <c r="T15" s="667" t="s">
        <v>14</v>
      </c>
      <c r="U15" s="668">
        <f t="shared" si="1"/>
        <v>100</v>
      </c>
      <c r="V15" s="667" t="s">
        <v>14</v>
      </c>
      <c r="W15" s="668">
        <f t="shared" si="2"/>
        <v>100</v>
      </c>
      <c r="X15" s="1265"/>
      <c r="Y15" s="3360" t="s">
        <v>1691</v>
      </c>
      <c r="Z15" s="1264" t="str">
        <f t="shared" si="7"/>
        <v>居住社区成熟度</v>
      </c>
      <c r="AA15" s="1264">
        <f t="shared" si="3"/>
        <v>0.970873786407767</v>
      </c>
      <c r="AB15" s="1264">
        <f t="shared" si="4"/>
        <v>1</v>
      </c>
      <c r="AC15" s="1264">
        <f t="shared" si="5"/>
        <v>1</v>
      </c>
    </row>
    <row r="16" spans="1:29" ht="15">
      <c r="A16" s="367"/>
      <c r="B16" s="385"/>
      <c r="C16" s="386" t="s">
        <v>3568</v>
      </c>
      <c r="D16" s="387"/>
      <c r="E16" s="1751" t="s">
        <v>3569</v>
      </c>
      <c r="F16" s="387"/>
      <c r="G16" s="1751" t="s">
        <v>3568</v>
      </c>
      <c r="H16" s="389"/>
      <c r="I16" s="1751" t="s">
        <v>3568</v>
      </c>
      <c r="J16" s="387"/>
      <c r="K16" s="592"/>
      <c r="L16" s="2488"/>
      <c r="M16" s="2483"/>
      <c r="N16" s="2483"/>
      <c r="O16" s="2538"/>
      <c r="P16" s="3361"/>
      <c r="Q16" s="1263"/>
      <c r="R16" s="667"/>
      <c r="S16" s="668"/>
      <c r="T16" s="667"/>
      <c r="U16" s="668"/>
      <c r="V16" s="667"/>
      <c r="W16" s="668"/>
      <c r="X16" s="1265"/>
      <c r="Y16" s="3361"/>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61"/>
      <c r="Q17" s="1263" t="str">
        <f>B17</f>
        <v>商业繁华度</v>
      </c>
      <c r="R17" s="667" t="s">
        <v>14</v>
      </c>
      <c r="S17" s="668">
        <f>F17</f>
        <v>100</v>
      </c>
      <c r="T17" s="667" t="s">
        <v>14</v>
      </c>
      <c r="U17" s="668">
        <f>H17</f>
        <v>100</v>
      </c>
      <c r="V17" s="667" t="s">
        <v>14</v>
      </c>
      <c r="W17" s="668">
        <f>J17</f>
        <v>100</v>
      </c>
      <c r="X17" s="1265"/>
      <c r="Y17" s="3361"/>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88"/>
      <c r="M18" s="2483"/>
      <c r="N18" s="2483"/>
      <c r="O18" s="2538"/>
      <c r="P18" s="3361"/>
      <c r="Q18" s="1263"/>
      <c r="R18" s="667"/>
      <c r="S18" s="668"/>
      <c r="T18" s="667"/>
      <c r="U18" s="668"/>
      <c r="V18" s="667"/>
      <c r="W18" s="668"/>
      <c r="X18" s="1265"/>
      <c r="Y18" s="3361"/>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61"/>
      <c r="Q19" s="1263" t="str">
        <f>B19</f>
        <v>办公集聚程度</v>
      </c>
      <c r="R19" s="667" t="s">
        <v>14</v>
      </c>
      <c r="S19" s="668">
        <f>F19</f>
        <v>100</v>
      </c>
      <c r="T19" s="667" t="s">
        <v>14</v>
      </c>
      <c r="U19" s="668">
        <f>H19</f>
        <v>100</v>
      </c>
      <c r="V19" s="667" t="s">
        <v>14</v>
      </c>
      <c r="W19" s="668">
        <f>J19</f>
        <v>100</v>
      </c>
      <c r="X19" s="1265"/>
      <c r="Y19" s="3361"/>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88"/>
      <c r="M20" s="2483"/>
      <c r="N20" s="2483"/>
      <c r="O20" s="2538"/>
      <c r="P20" s="3361"/>
      <c r="Q20" s="1263"/>
      <c r="R20" s="667"/>
      <c r="S20" s="668"/>
      <c r="T20" s="667"/>
      <c r="U20" s="668"/>
      <c r="V20" s="667"/>
      <c r="W20" s="668"/>
      <c r="X20" s="1265"/>
      <c r="Y20" s="3361"/>
      <c r="Z20" s="1264"/>
      <c r="AA20" s="1264">
        <v>1</v>
      </c>
      <c r="AB20" s="1264">
        <v>1</v>
      </c>
      <c r="AC20" s="1264">
        <v>1</v>
      </c>
    </row>
    <row r="21" spans="1:29" ht="41.25">
      <c r="A21" s="367"/>
      <c r="B21" s="390" t="s">
        <v>1833</v>
      </c>
      <c r="C21" s="1753" t="str">
        <f>估价对象房地状况!C18</f>
        <v>T18\T48，较差</v>
      </c>
      <c r="D21" s="389">
        <v>100</v>
      </c>
      <c r="E21" s="391" t="s">
        <v>3572</v>
      </c>
      <c r="F21" s="394">
        <f>SUMIF(93:93,E22,94:94)-SUMIF(93:93,C22,94:94)+100</f>
        <v>106</v>
      </c>
      <c r="G21" s="391"/>
      <c r="H21" s="389">
        <f>SUMIF(93:93,G22,94:94)-SUMIF(93:93,C22,94:94)+100</f>
        <v>100</v>
      </c>
      <c r="I21" s="393" t="s">
        <v>3579</v>
      </c>
      <c r="J21" s="389">
        <f>SUMIF(93:93,I22,94:94)-SUMIF(93:93,C22,94:94)+100</f>
        <v>103</v>
      </c>
      <c r="K21" s="593">
        <v>3</v>
      </c>
      <c r="L21" s="2488"/>
      <c r="M21" s="2483"/>
      <c r="N21" s="2483"/>
      <c r="O21" s="2538"/>
      <c r="P21" s="3361"/>
      <c r="Q21" s="1263" t="str">
        <f>B21</f>
        <v>交通便捷度</v>
      </c>
      <c r="R21" s="667" t="s">
        <v>14</v>
      </c>
      <c r="S21" s="668">
        <f>F21</f>
        <v>106</v>
      </c>
      <c r="T21" s="667" t="s">
        <v>14</v>
      </c>
      <c r="U21" s="668">
        <f>H21</f>
        <v>100</v>
      </c>
      <c r="V21" s="667" t="s">
        <v>14</v>
      </c>
      <c r="W21" s="668">
        <f>J21</f>
        <v>103</v>
      </c>
      <c r="X21" s="1265"/>
      <c r="Y21" s="3361"/>
      <c r="Z21" s="1264" t="str">
        <f>Q21</f>
        <v>交通便捷度</v>
      </c>
      <c r="AA21" s="1264">
        <f t="shared" si="3"/>
        <v>0.94339622641509435</v>
      </c>
      <c r="AB21" s="1264">
        <f t="shared" si="4"/>
        <v>1</v>
      </c>
      <c r="AC21" s="1264">
        <f t="shared" si="5"/>
        <v>0.970873786407767</v>
      </c>
    </row>
    <row r="22" spans="1:29" ht="15">
      <c r="A22" s="367"/>
      <c r="B22" s="586"/>
      <c r="C22" s="386" t="s">
        <v>3571</v>
      </c>
      <c r="D22" s="389"/>
      <c r="E22" s="1751" t="s">
        <v>3569</v>
      </c>
      <c r="F22" s="387"/>
      <c r="G22" s="386" t="s">
        <v>3571</v>
      </c>
      <c r="H22" s="387"/>
      <c r="I22" s="1750" t="s">
        <v>3568</v>
      </c>
      <c r="J22" s="387"/>
      <c r="K22" s="592"/>
      <c r="L22" s="2488"/>
      <c r="M22" s="2483"/>
      <c r="N22" s="2483"/>
      <c r="O22" s="2538"/>
      <c r="P22" s="3361"/>
      <c r="Q22" s="1263"/>
      <c r="R22" s="667"/>
      <c r="S22" s="668"/>
      <c r="T22" s="667"/>
      <c r="U22" s="668"/>
      <c r="V22" s="667"/>
      <c r="W22" s="668"/>
      <c r="X22" s="1265"/>
      <c r="Y22" s="336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61"/>
      <c r="Q23" s="1263" t="str">
        <f t="shared" ref="Q23:Q37" si="8">B23</f>
        <v>区域土地利用方向</v>
      </c>
      <c r="R23" s="667" t="s">
        <v>14</v>
      </c>
      <c r="S23" s="668">
        <f>F23</f>
        <v>100</v>
      </c>
      <c r="T23" s="667" t="s">
        <v>14</v>
      </c>
      <c r="U23" s="668">
        <f>H23</f>
        <v>100</v>
      </c>
      <c r="V23" s="667" t="s">
        <v>14</v>
      </c>
      <c r="W23" s="668">
        <f>J23</f>
        <v>100</v>
      </c>
      <c r="X23" s="1265"/>
      <c r="Y23" s="3361"/>
      <c r="Z23" s="1264" t="str">
        <f>Q23</f>
        <v>区域土地利用方向</v>
      </c>
      <c r="AA23" s="1264">
        <f t="shared" si="3"/>
        <v>1</v>
      </c>
      <c r="AB23" s="1264">
        <f t="shared" si="4"/>
        <v>1</v>
      </c>
      <c r="AC23" s="1264">
        <f t="shared" si="5"/>
        <v>1</v>
      </c>
    </row>
    <row r="24" spans="1:29" ht="15">
      <c r="A24" s="348"/>
      <c r="B24" s="395"/>
      <c r="C24" s="542" t="s">
        <v>3569</v>
      </c>
      <c r="D24" s="387"/>
      <c r="E24" s="542" t="s">
        <v>3569</v>
      </c>
      <c r="F24" s="387"/>
      <c r="G24" s="542" t="s">
        <v>3569</v>
      </c>
      <c r="H24" s="387"/>
      <c r="I24" s="542" t="s">
        <v>3569</v>
      </c>
      <c r="J24" s="387"/>
      <c r="K24" s="698"/>
      <c r="L24" s="2488"/>
      <c r="M24" s="2483"/>
      <c r="N24" s="2483"/>
      <c r="O24" s="2538"/>
      <c r="P24" s="3361"/>
      <c r="Q24" s="1263"/>
      <c r="R24" s="667"/>
      <c r="S24" s="668"/>
      <c r="T24" s="667"/>
      <c r="U24" s="668"/>
      <c r="V24" s="667"/>
      <c r="W24" s="668"/>
      <c r="X24" s="1265"/>
      <c r="Y24" s="3361"/>
      <c r="Z24" s="1264"/>
      <c r="AA24" s="1264"/>
      <c r="AB24" s="1264"/>
      <c r="AC24" s="1264"/>
    </row>
    <row r="25" spans="1:29" ht="57">
      <c r="A25" s="348"/>
      <c r="B25" s="586" t="s">
        <v>1872</v>
      </c>
      <c r="C25" s="1804" t="str">
        <f>估价对象房地状况!C20</f>
        <v>区域自然环境：；人文环境：北塘艺术区；综合评价环境状况一般</v>
      </c>
      <c r="D25" s="389">
        <v>100</v>
      </c>
      <c r="E25" s="3164" t="s">
        <v>3573</v>
      </c>
      <c r="F25" s="389">
        <f>SUMIF(97:97,E26,98:98)-SUMIF(97:97,C26,98:98)+100</f>
        <v>102</v>
      </c>
      <c r="G25" s="391"/>
      <c r="H25" s="389">
        <f>SUMIF(97:97,G26,98:98)-SUMIF(97:97,C26,98:98)+100</f>
        <v>100</v>
      </c>
      <c r="I25" s="3164" t="s">
        <v>3573</v>
      </c>
      <c r="J25" s="389">
        <f>SUMIF(97:97,I26,98:98)-SUMIF(97:97,C26,98:98)+100</f>
        <v>102</v>
      </c>
      <c r="K25" s="593">
        <v>2</v>
      </c>
      <c r="L25" s="2488"/>
      <c r="M25" s="2483"/>
      <c r="N25" s="2483"/>
      <c r="O25" s="2538"/>
      <c r="P25" s="3361"/>
      <c r="Q25" s="1263" t="str">
        <f t="shared" si="8"/>
        <v>自然及人文环境状况</v>
      </c>
      <c r="R25" s="667" t="s">
        <v>14</v>
      </c>
      <c r="S25" s="668">
        <f>F25</f>
        <v>102</v>
      </c>
      <c r="T25" s="667" t="s">
        <v>14</v>
      </c>
      <c r="U25" s="668">
        <f>H25</f>
        <v>100</v>
      </c>
      <c r="V25" s="667" t="s">
        <v>14</v>
      </c>
      <c r="W25" s="668">
        <f>J25</f>
        <v>102</v>
      </c>
      <c r="X25" s="1265"/>
      <c r="Y25" s="3361"/>
      <c r="Z25" s="1264" t="str">
        <f>Q25</f>
        <v>自然及人文环境状况</v>
      </c>
      <c r="AA25" s="1264">
        <f t="shared" si="3"/>
        <v>0.98039215686274506</v>
      </c>
      <c r="AB25" s="1264">
        <f t="shared" si="4"/>
        <v>1</v>
      </c>
      <c r="AC25" s="1264">
        <f t="shared" si="5"/>
        <v>0.98039215686274506</v>
      </c>
    </row>
    <row r="26" spans="1:29" ht="15">
      <c r="A26" s="348"/>
      <c r="B26" s="395"/>
      <c r="C26" s="386" t="s">
        <v>3568</v>
      </c>
      <c r="D26" s="387"/>
      <c r="E26" s="1757" t="s">
        <v>3569</v>
      </c>
      <c r="F26" s="387"/>
      <c r="G26" s="386" t="s">
        <v>3568</v>
      </c>
      <c r="H26" s="387"/>
      <c r="I26" s="1757" t="s">
        <v>3569</v>
      </c>
      <c r="J26" s="387"/>
      <c r="K26" s="592"/>
      <c r="L26" s="2488"/>
      <c r="M26" s="2483"/>
      <c r="N26" s="2483"/>
      <c r="O26" s="2538"/>
      <c r="P26" s="3361"/>
      <c r="Q26" s="1263"/>
      <c r="R26" s="667"/>
      <c r="S26" s="668"/>
      <c r="T26" s="667"/>
      <c r="U26" s="668"/>
      <c r="V26" s="667"/>
      <c r="W26" s="668"/>
      <c r="X26" s="1265"/>
      <c r="Y26" s="3361"/>
      <c r="Z26" s="1264"/>
      <c r="AA26" s="1264">
        <v>1</v>
      </c>
      <c r="AB26" s="1264">
        <v>1</v>
      </c>
      <c r="AC26" s="1264">
        <v>1</v>
      </c>
    </row>
    <row r="27" spans="1:29" s="102" customFormat="1" ht="81">
      <c r="A27" s="443"/>
      <c r="B27" s="586" t="s">
        <v>1778</v>
      </c>
      <c r="C27" s="1753" t="str">
        <f>估价对象房地状况!C21</f>
        <v>新华联生活超市等；北京电影学院培训中心等，较差</v>
      </c>
      <c r="D27" s="389">
        <v>100</v>
      </c>
      <c r="E27" s="3164" t="s">
        <v>3574</v>
      </c>
      <c r="F27" s="389">
        <f>SUMIF(99:99,E28,100:100)-SUMIF(99:99,C28,100:100)+100</f>
        <v>104</v>
      </c>
      <c r="G27" s="391"/>
      <c r="H27" s="389">
        <f>SUMIF(99:99,G28,100:100)-SUMIF(99:99,C28,100:100)+100</f>
        <v>100</v>
      </c>
      <c r="I27" s="3164" t="s">
        <v>3580</v>
      </c>
      <c r="J27" s="389">
        <f>SUMIF(99:99,I28,100:100)-SUMIF(99:99,C28,100:100)+100</f>
        <v>102</v>
      </c>
      <c r="K27" s="593">
        <v>2</v>
      </c>
      <c r="L27" s="2484"/>
      <c r="M27" s="2436"/>
      <c r="N27" s="2436"/>
      <c r="O27" s="2536"/>
      <c r="P27" s="3361"/>
      <c r="Q27" s="530" t="str">
        <f t="shared" si="8"/>
        <v>公共配套设施</v>
      </c>
      <c r="R27" s="664" t="s">
        <v>14</v>
      </c>
      <c r="S27" s="665">
        <f>F27</f>
        <v>104</v>
      </c>
      <c r="T27" s="664" t="s">
        <v>14</v>
      </c>
      <c r="U27" s="665">
        <f>H27</f>
        <v>100</v>
      </c>
      <c r="V27" s="664" t="s">
        <v>14</v>
      </c>
      <c r="W27" s="665">
        <f>J27</f>
        <v>102</v>
      </c>
      <c r="X27" s="666"/>
      <c r="Y27" s="3361"/>
      <c r="Z27" s="50" t="str">
        <f>Q27</f>
        <v>公共配套设施</v>
      </c>
      <c r="AA27" s="1264">
        <f>D27/F27</f>
        <v>0.96153846153846156</v>
      </c>
      <c r="AB27" s="1264">
        <f>D27/H27</f>
        <v>1</v>
      </c>
      <c r="AC27" s="1264">
        <f>D27/J27</f>
        <v>0.98039215686274506</v>
      </c>
    </row>
    <row r="28" spans="1:29" s="102" customFormat="1" ht="15">
      <c r="A28" s="443"/>
      <c r="B28" s="395"/>
      <c r="C28" s="1824" t="s">
        <v>3571</v>
      </c>
      <c r="D28" s="387"/>
      <c r="E28" s="1824" t="s">
        <v>3569</v>
      </c>
      <c r="F28" s="387"/>
      <c r="G28" s="1824" t="s">
        <v>3571</v>
      </c>
      <c r="H28" s="387"/>
      <c r="I28" s="386" t="s">
        <v>3568</v>
      </c>
      <c r="J28" s="387"/>
      <c r="K28" s="592"/>
      <c r="L28" s="2484"/>
      <c r="M28" s="2436"/>
      <c r="N28" s="2436"/>
      <c r="O28" s="2536"/>
      <c r="P28" s="3361"/>
      <c r="Q28" s="530"/>
      <c r="R28" s="664"/>
      <c r="S28" s="665"/>
      <c r="T28" s="664"/>
      <c r="U28" s="665"/>
      <c r="V28" s="664"/>
      <c r="W28" s="665"/>
      <c r="X28" s="666"/>
      <c r="Y28" s="3361"/>
      <c r="Z28" s="50"/>
      <c r="AA28" s="1264">
        <v>1</v>
      </c>
      <c r="AB28" s="1264">
        <v>1</v>
      </c>
      <c r="AC28" s="1264">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61"/>
      <c r="Q29" s="530" t="str">
        <f t="shared" ref="Q29" si="9">B29</f>
        <v>基础设施水平</v>
      </c>
      <c r="R29" s="664" t="s">
        <v>14</v>
      </c>
      <c r="S29" s="665">
        <f>F29</f>
        <v>100</v>
      </c>
      <c r="T29" s="664" t="s">
        <v>14</v>
      </c>
      <c r="U29" s="665">
        <f>H29</f>
        <v>100</v>
      </c>
      <c r="V29" s="664" t="s">
        <v>14</v>
      </c>
      <c r="W29" s="665">
        <f>J29</f>
        <v>100</v>
      </c>
      <c r="X29" s="666"/>
      <c r="Y29" s="3361"/>
      <c r="Z29" s="50" t="str">
        <f>Q29</f>
        <v>基础设施水平</v>
      </c>
      <c r="AA29" s="1264">
        <f>D29/F29</f>
        <v>1</v>
      </c>
      <c r="AB29" s="1264">
        <f>D29/H29</f>
        <v>1</v>
      </c>
      <c r="AC29" s="1264">
        <f>D29/J29</f>
        <v>1</v>
      </c>
    </row>
    <row r="30" spans="1:29" s="102" customFormat="1" ht="15">
      <c r="A30" s="443"/>
      <c r="B30" s="395"/>
      <c r="C30" s="1824" t="s">
        <v>3409</v>
      </c>
      <c r="D30" s="387"/>
      <c r="E30" s="1824" t="s">
        <v>3409</v>
      </c>
      <c r="F30" s="387"/>
      <c r="G30" s="1824" t="s">
        <v>3409</v>
      </c>
      <c r="H30" s="387"/>
      <c r="I30" s="1824" t="s">
        <v>3409</v>
      </c>
      <c r="J30" s="387"/>
      <c r="K30" s="592"/>
      <c r="L30" s="2484"/>
      <c r="M30" s="2436"/>
      <c r="N30" s="2436"/>
      <c r="O30" s="2536"/>
      <c r="P30" s="3361"/>
      <c r="Q30" s="530"/>
      <c r="R30" s="664"/>
      <c r="S30" s="665"/>
      <c r="T30" s="664"/>
      <c r="U30" s="665"/>
      <c r="V30" s="664"/>
      <c r="W30" s="665"/>
      <c r="X30" s="666"/>
      <c r="Y30" s="3361"/>
      <c r="Z30" s="50"/>
      <c r="AA30" s="1264">
        <v>1</v>
      </c>
      <c r="AB30" s="1264">
        <v>1</v>
      </c>
      <c r="AC30" s="1264">
        <v>1</v>
      </c>
    </row>
    <row r="31" spans="1:29" ht="15">
      <c r="A31" s="367"/>
      <c r="B31" s="395" t="s">
        <v>1780</v>
      </c>
      <c r="C31" s="542" t="s">
        <v>3575</v>
      </c>
      <c r="D31" s="374">
        <v>100</v>
      </c>
      <c r="E31" s="542" t="s">
        <v>3575</v>
      </c>
      <c r="F31" s="374">
        <f>SUMIF(103:103,E31,104:104)-SUMIF(103:103,C31,104:104)+100</f>
        <v>100</v>
      </c>
      <c r="G31" s="558" t="s">
        <v>3576</v>
      </c>
      <c r="H31" s="374">
        <f>SUMIF(103:103,G31,104:104)-SUMIF(103:103,C31,104:104)+100</f>
        <v>98</v>
      </c>
      <c r="I31" s="558" t="s">
        <v>3577</v>
      </c>
      <c r="J31" s="374">
        <f>SUMIF(103:103,I31,104:104)-SUMIF(103:103,C31,104:104)+100</f>
        <v>102</v>
      </c>
      <c r="K31" s="593">
        <v>2</v>
      </c>
      <c r="L31" s="2488"/>
      <c r="M31" s="2483"/>
      <c r="N31" s="2483"/>
      <c r="O31" s="2538"/>
      <c r="P31" s="3361"/>
      <c r="Q31" s="1263" t="str">
        <f t="shared" si="8"/>
        <v>临街状况</v>
      </c>
      <c r="R31" s="667" t="s">
        <v>14</v>
      </c>
      <c r="S31" s="668">
        <f t="shared" ref="S31:S45" si="10">F31</f>
        <v>100</v>
      </c>
      <c r="T31" s="667" t="s">
        <v>14</v>
      </c>
      <c r="U31" s="668">
        <f t="shared" ref="U31:U45" si="11">H31</f>
        <v>98</v>
      </c>
      <c r="V31" s="667" t="s">
        <v>14</v>
      </c>
      <c r="W31" s="668">
        <f t="shared" ref="W31:W45" si="12">J31</f>
        <v>102</v>
      </c>
      <c r="X31" s="1265"/>
      <c r="Y31" s="3361"/>
      <c r="Z31" s="1264" t="str">
        <f t="shared" ref="Z31:Z45" si="13">Q31</f>
        <v>临街状况</v>
      </c>
      <c r="AA31" s="1264">
        <f t="shared" si="3"/>
        <v>1</v>
      </c>
      <c r="AB31" s="1264">
        <f t="shared" si="4"/>
        <v>1.0204081632653061</v>
      </c>
      <c r="AC31" s="1264">
        <f t="shared" si="5"/>
        <v>0.98039215686274506</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61"/>
      <c r="Q32" s="1263" t="str">
        <f t="shared" si="8"/>
        <v>毗邻道路的类型与等级</v>
      </c>
      <c r="R32" s="667" t="s">
        <v>14</v>
      </c>
      <c r="S32" s="668">
        <f t="shared" si="10"/>
        <v>100</v>
      </c>
      <c r="T32" s="667" t="s">
        <v>14</v>
      </c>
      <c r="U32" s="668">
        <f t="shared" si="11"/>
        <v>100</v>
      </c>
      <c r="V32" s="667" t="s">
        <v>14</v>
      </c>
      <c r="W32" s="668">
        <f t="shared" si="12"/>
        <v>100</v>
      </c>
      <c r="X32" s="1265"/>
      <c r="Y32" s="3361"/>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88"/>
      <c r="M33" s="2483"/>
      <c r="N33" s="2483"/>
      <c r="O33" s="2538"/>
      <c r="P33" s="3361"/>
      <c r="Q33" s="1263"/>
      <c r="R33" s="667"/>
      <c r="S33" s="668"/>
      <c r="T33" s="667"/>
      <c r="U33" s="668"/>
      <c r="V33" s="667"/>
      <c r="W33" s="668"/>
      <c r="X33" s="1265"/>
      <c r="Y33" s="3361"/>
      <c r="Z33" s="1264"/>
      <c r="AA33" s="1264">
        <v>1</v>
      </c>
      <c r="AB33" s="1264">
        <v>1</v>
      </c>
      <c r="AC33" s="1264">
        <v>1</v>
      </c>
    </row>
    <row r="34" spans="1:29" ht="15">
      <c r="A34" s="367"/>
      <c r="B34" s="364" t="s">
        <v>1873</v>
      </c>
      <c r="C34" s="542" t="s">
        <v>304</v>
      </c>
      <c r="D34" s="374">
        <v>100</v>
      </c>
      <c r="E34" s="558" t="s">
        <v>303</v>
      </c>
      <c r="F34" s="374">
        <f>SUMIF(107:107,E34,108:108)-SUMIF(107:107,C34,108:108)+100</f>
        <v>104</v>
      </c>
      <c r="G34" s="558" t="s">
        <v>304</v>
      </c>
      <c r="H34" s="374">
        <f>SUMIF(107:107,G34,108:108)-SUMIF(107:107,C34,108:108)+100</f>
        <v>100</v>
      </c>
      <c r="I34" s="542" t="s">
        <v>29</v>
      </c>
      <c r="J34" s="374">
        <f>SUMIF(107:107,I34,108:108)-SUMIF(107:107,C34,108:108)+100</f>
        <v>102</v>
      </c>
      <c r="K34" s="538">
        <v>2</v>
      </c>
      <c r="L34" s="2488"/>
      <c r="M34" s="2483"/>
      <c r="N34" s="2483"/>
      <c r="O34" s="2538"/>
      <c r="P34" s="3361"/>
      <c r="Q34" s="1263" t="str">
        <f t="shared" si="8"/>
        <v>土地级别</v>
      </c>
      <c r="R34" s="667" t="s">
        <v>14</v>
      </c>
      <c r="S34" s="668">
        <f t="shared" si="10"/>
        <v>104</v>
      </c>
      <c r="T34" s="667" t="s">
        <v>14</v>
      </c>
      <c r="U34" s="668">
        <f t="shared" si="11"/>
        <v>100</v>
      </c>
      <c r="V34" s="667" t="s">
        <v>14</v>
      </c>
      <c r="W34" s="668">
        <f t="shared" si="12"/>
        <v>102</v>
      </c>
      <c r="X34" s="1265"/>
      <c r="Y34" s="3361"/>
      <c r="Z34" s="1264" t="str">
        <f t="shared" si="13"/>
        <v>土地级别</v>
      </c>
      <c r="AA34" s="1264">
        <f t="shared" si="3"/>
        <v>0.96153846153846156</v>
      </c>
      <c r="AB34" s="1264">
        <f t="shared" si="4"/>
        <v>1</v>
      </c>
      <c r="AC34" s="1264">
        <f t="shared" si="5"/>
        <v>0.98039215686274506</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61"/>
      <c r="Q35" s="1263">
        <f t="shared" si="8"/>
        <v>111</v>
      </c>
      <c r="R35" s="667" t="s">
        <v>14</v>
      </c>
      <c r="S35" s="668">
        <f t="shared" si="10"/>
        <v>100</v>
      </c>
      <c r="T35" s="667" t="s">
        <v>14</v>
      </c>
      <c r="U35" s="668">
        <f t="shared" si="11"/>
        <v>100</v>
      </c>
      <c r="V35" s="667" t="s">
        <v>14</v>
      </c>
      <c r="W35" s="668">
        <f t="shared" si="12"/>
        <v>100</v>
      </c>
      <c r="X35" s="1265"/>
      <c r="Y35" s="336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62" t="s">
        <v>1696</v>
      </c>
      <c r="Q36" s="1263">
        <f t="shared" si="8"/>
        <v>111</v>
      </c>
      <c r="R36" s="667" t="s">
        <v>14</v>
      </c>
      <c r="S36" s="668">
        <f t="shared" si="10"/>
        <v>100</v>
      </c>
      <c r="T36" s="667" t="s">
        <v>14</v>
      </c>
      <c r="U36" s="668">
        <f t="shared" si="11"/>
        <v>100</v>
      </c>
      <c r="V36" s="667" t="s">
        <v>14</v>
      </c>
      <c r="W36" s="668">
        <f t="shared" si="12"/>
        <v>100</v>
      </c>
      <c r="X36" s="1265"/>
      <c r="Y36" s="336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63"/>
      <c r="Q37" s="1263">
        <f t="shared" si="8"/>
        <v>111</v>
      </c>
      <c r="R37" s="669" t="s">
        <v>14</v>
      </c>
      <c r="S37" s="670">
        <f t="shared" si="10"/>
        <v>100</v>
      </c>
      <c r="T37" s="669" t="s">
        <v>14</v>
      </c>
      <c r="U37" s="670">
        <f t="shared" si="11"/>
        <v>100</v>
      </c>
      <c r="V37" s="669" t="s">
        <v>14</v>
      </c>
      <c r="W37" s="670">
        <f t="shared" si="12"/>
        <v>100</v>
      </c>
      <c r="X37" s="671"/>
      <c r="Y37" s="3363"/>
      <c r="Z37" s="672">
        <f t="shared" si="13"/>
        <v>111</v>
      </c>
      <c r="AA37" s="1264">
        <f t="shared" si="3"/>
        <v>1</v>
      </c>
      <c r="AB37" s="1264">
        <f t="shared" si="4"/>
        <v>1</v>
      </c>
      <c r="AC37" s="1264">
        <f t="shared" si="5"/>
        <v>1</v>
      </c>
    </row>
    <row r="38" spans="1:29" ht="15">
      <c r="A38" s="409" t="s">
        <v>1694</v>
      </c>
      <c r="B38" s="395" t="s">
        <v>1874</v>
      </c>
      <c r="C38" s="599">
        <f>Sheet1!E5</f>
        <v>33463.35</v>
      </c>
      <c r="D38" s="405">
        <v>100</v>
      </c>
      <c r="E38" s="599">
        <f>Sheet1!E2</f>
        <v>21536.1</v>
      </c>
      <c r="F38" s="405">
        <f>LOOKUP(E38,116:116,117:117)-LOOKUP(C38,116:116,117:117)+100</f>
        <v>100</v>
      </c>
      <c r="G38" s="599">
        <f>Sheet1!E4</f>
        <v>46815.8</v>
      </c>
      <c r="H38" s="405">
        <f>LOOKUP(G38,116:116,117:117)-LOOKUP(C38,116:116,117:117)+100</f>
        <v>101</v>
      </c>
      <c r="I38" s="462">
        <f>Sheet1!E7</f>
        <v>45880.63</v>
      </c>
      <c r="J38" s="405">
        <f>LOOKUP(I38,116:116,117:117)-LOOKUP(C38,116:116,117:117)+100</f>
        <v>101</v>
      </c>
      <c r="K38" s="539"/>
      <c r="L38" s="2488"/>
      <c r="M38" s="2483"/>
      <c r="N38" s="2483"/>
      <c r="O38" s="2538"/>
      <c r="P38" s="3363"/>
      <c r="Q38" s="1263" t="str">
        <f>B38</f>
        <v>宗地面积</v>
      </c>
      <c r="R38" s="667" t="s">
        <v>14</v>
      </c>
      <c r="S38" s="668">
        <f t="shared" si="10"/>
        <v>100</v>
      </c>
      <c r="T38" s="667" t="s">
        <v>14</v>
      </c>
      <c r="U38" s="668">
        <f t="shared" si="11"/>
        <v>101</v>
      </c>
      <c r="V38" s="667" t="s">
        <v>14</v>
      </c>
      <c r="W38" s="668">
        <f t="shared" si="12"/>
        <v>101</v>
      </c>
      <c r="X38" s="1265"/>
      <c r="Y38" s="3363"/>
      <c r="Z38" s="1264" t="str">
        <f t="shared" si="13"/>
        <v>宗地面积</v>
      </c>
      <c r="AA38" s="1264">
        <f t="shared" si="3"/>
        <v>1</v>
      </c>
      <c r="AB38" s="1264">
        <f t="shared" si="4"/>
        <v>0.99009900990099009</v>
      </c>
      <c r="AC38" s="1264">
        <f t="shared" si="5"/>
        <v>0.99009900990099009</v>
      </c>
    </row>
    <row r="39" spans="1:29" ht="15">
      <c r="A39" s="409"/>
      <c r="B39" s="364" t="s">
        <v>1875</v>
      </c>
      <c r="C39" s="1759" t="s">
        <v>3556</v>
      </c>
      <c r="D39" s="374">
        <v>100</v>
      </c>
      <c r="E39" s="1759" t="s">
        <v>3555</v>
      </c>
      <c r="F39" s="374">
        <f>SUMIF(118:118,E39,119:119)-SUMIF(118:118,C39,119:119)+100</f>
        <v>101</v>
      </c>
      <c r="G39" s="1759" t="s">
        <v>3555</v>
      </c>
      <c r="H39" s="374">
        <f>SUMIF(118:118,G39,119:119)-SUMIF(118:118,C39,119:119)+100</f>
        <v>101</v>
      </c>
      <c r="I39" s="1759" t="s">
        <v>3555</v>
      </c>
      <c r="J39" s="374">
        <f>SUMIF(118:118,I39,119:119)-SUMIF(118:118,C39,119:119)+100</f>
        <v>101</v>
      </c>
      <c r="K39" s="538">
        <v>1</v>
      </c>
      <c r="L39" s="2488"/>
      <c r="M39" s="2483"/>
      <c r="N39" s="2483"/>
      <c r="O39" s="2538"/>
      <c r="P39" s="3363"/>
      <c r="Q39" s="1263" t="str">
        <f t="shared" ref="Q39:Q45" si="14">B39</f>
        <v>宗地形状</v>
      </c>
      <c r="R39" s="667" t="s">
        <v>14</v>
      </c>
      <c r="S39" s="668">
        <f t="shared" si="10"/>
        <v>101</v>
      </c>
      <c r="T39" s="667" t="s">
        <v>14</v>
      </c>
      <c r="U39" s="668">
        <f t="shared" si="11"/>
        <v>101</v>
      </c>
      <c r="V39" s="667" t="s">
        <v>14</v>
      </c>
      <c r="W39" s="668">
        <f t="shared" si="12"/>
        <v>101</v>
      </c>
      <c r="X39" s="1265"/>
      <c r="Y39" s="3363"/>
      <c r="Z39" s="1264" t="str">
        <f t="shared" si="13"/>
        <v>宗地形状</v>
      </c>
      <c r="AA39" s="1264">
        <f t="shared" si="3"/>
        <v>0.99009900990099009</v>
      </c>
      <c r="AB39" s="1264">
        <f t="shared" si="4"/>
        <v>0.99009900990099009</v>
      </c>
      <c r="AC39" s="1264">
        <f t="shared" si="5"/>
        <v>0.99009900990099009</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63"/>
      <c r="Q40" s="1263" t="str">
        <f t="shared" si="14"/>
        <v>临街宽度及深度</v>
      </c>
      <c r="R40" s="667" t="s">
        <v>14</v>
      </c>
      <c r="S40" s="668">
        <f t="shared" si="10"/>
        <v>100</v>
      </c>
      <c r="T40" s="667" t="s">
        <v>14</v>
      </c>
      <c r="U40" s="668">
        <f t="shared" si="11"/>
        <v>100</v>
      </c>
      <c r="V40" s="667" t="s">
        <v>14</v>
      </c>
      <c r="W40" s="668">
        <f t="shared" si="12"/>
        <v>100</v>
      </c>
      <c r="X40" s="1265"/>
      <c r="Y40" s="3363"/>
      <c r="Z40" s="1264" t="str">
        <f t="shared" si="13"/>
        <v>临街宽度及深度</v>
      </c>
      <c r="AA40" s="1264">
        <f t="shared" si="3"/>
        <v>1</v>
      </c>
      <c r="AB40" s="1264">
        <f t="shared" si="4"/>
        <v>1</v>
      </c>
      <c r="AC40" s="1264">
        <f t="shared" si="5"/>
        <v>1</v>
      </c>
    </row>
    <row r="41" spans="1:29" s="102" customFormat="1" ht="15">
      <c r="A41" s="410"/>
      <c r="B41" s="364" t="s">
        <v>1877</v>
      </c>
      <c r="C41" s="1826" t="s">
        <v>3559</v>
      </c>
      <c r="D41" s="119">
        <v>100</v>
      </c>
      <c r="E41" s="1826" t="s">
        <v>3562</v>
      </c>
      <c r="F41" s="374">
        <f>SUMIF(122:122,E41,123:123)-SUMIF(122:122,C41,123:123)+100</f>
        <v>97</v>
      </c>
      <c r="G41" s="1826" t="s">
        <v>3560</v>
      </c>
      <c r="H41" s="374">
        <f>SUMIF(122:122,G41,123:123)-SUMIF(122:122,C41,123:123)+100</f>
        <v>99</v>
      </c>
      <c r="I41" s="1826" t="s">
        <v>3559</v>
      </c>
      <c r="J41" s="374">
        <f>SUMIF(122:122,I41,123:123)-SUMIF(122:122,C41,123:123)+100</f>
        <v>100</v>
      </c>
      <c r="K41" s="538">
        <v>1</v>
      </c>
      <c r="L41" s="2484"/>
      <c r="M41" s="2436"/>
      <c r="N41" s="2436"/>
      <c r="O41" s="2536"/>
      <c r="P41" s="3363"/>
      <c r="Q41" s="1263" t="str">
        <f t="shared" si="14"/>
        <v>宗地开发程度</v>
      </c>
      <c r="R41" s="664" t="s">
        <v>14</v>
      </c>
      <c r="S41" s="665">
        <f t="shared" si="10"/>
        <v>97</v>
      </c>
      <c r="T41" s="664" t="s">
        <v>14</v>
      </c>
      <c r="U41" s="665">
        <f t="shared" si="11"/>
        <v>99</v>
      </c>
      <c r="V41" s="664" t="s">
        <v>14</v>
      </c>
      <c r="W41" s="665">
        <f t="shared" si="12"/>
        <v>100</v>
      </c>
      <c r="X41" s="666"/>
      <c r="Y41" s="3363"/>
      <c r="Z41" s="50" t="str">
        <f t="shared" si="13"/>
        <v>宗地开发程度</v>
      </c>
      <c r="AA41" s="50">
        <f t="shared" si="3"/>
        <v>1.0309278350515463</v>
      </c>
      <c r="AB41" s="50">
        <f t="shared" si="4"/>
        <v>1.0101010101010102</v>
      </c>
      <c r="AC41" s="50">
        <f t="shared" si="5"/>
        <v>1</v>
      </c>
    </row>
    <row r="42" spans="1:29" ht="15">
      <c r="A42" s="409"/>
      <c r="B42" s="364" t="s">
        <v>1878</v>
      </c>
      <c r="C42" s="1759" t="s">
        <v>3569</v>
      </c>
      <c r="D42" s="374">
        <v>100</v>
      </c>
      <c r="E42" s="1759" t="s">
        <v>3569</v>
      </c>
      <c r="F42" s="374">
        <f>SUMIF(124:124,E42,125:125)-SUMIF(124:124,C42,125:125)+100</f>
        <v>100</v>
      </c>
      <c r="G42" s="1759" t="s">
        <v>3569</v>
      </c>
      <c r="H42" s="374">
        <f>SUMIF(124:124,G42,125:125)-SUMIF(124:124,C42,125:125)+100</f>
        <v>100</v>
      </c>
      <c r="I42" s="1759" t="s">
        <v>3569</v>
      </c>
      <c r="J42" s="374">
        <f>SUMIF(124:124,I42,125:125)-SUMIF(124:124,C42,125:125)+100</f>
        <v>100</v>
      </c>
      <c r="K42" s="538">
        <v>2</v>
      </c>
      <c r="L42" s="2488"/>
      <c r="M42" s="2483"/>
      <c r="N42" s="2483"/>
      <c r="O42" s="2538"/>
      <c r="P42" s="3363" t="s">
        <v>1696</v>
      </c>
      <c r="Q42" s="1263" t="str">
        <f t="shared" si="14"/>
        <v>工程地质条件</v>
      </c>
      <c r="R42" s="667" t="s">
        <v>14</v>
      </c>
      <c r="S42" s="668">
        <f t="shared" si="10"/>
        <v>100</v>
      </c>
      <c r="T42" s="667" t="s">
        <v>14</v>
      </c>
      <c r="U42" s="668">
        <f t="shared" si="11"/>
        <v>100</v>
      </c>
      <c r="V42" s="667" t="s">
        <v>14</v>
      </c>
      <c r="W42" s="668">
        <f t="shared" si="12"/>
        <v>100</v>
      </c>
      <c r="X42" s="1265"/>
      <c r="Y42" s="336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63"/>
      <c r="Q43" s="1263">
        <f t="shared" si="14"/>
        <v>111</v>
      </c>
      <c r="R43" s="667" t="s">
        <v>14</v>
      </c>
      <c r="S43" s="668">
        <f t="shared" si="10"/>
        <v>100</v>
      </c>
      <c r="T43" s="667" t="s">
        <v>14</v>
      </c>
      <c r="U43" s="668">
        <f t="shared" si="11"/>
        <v>100</v>
      </c>
      <c r="V43" s="667" t="s">
        <v>14</v>
      </c>
      <c r="W43" s="668">
        <f t="shared" si="12"/>
        <v>100</v>
      </c>
      <c r="X43" s="1265"/>
      <c r="Y43" s="336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63"/>
      <c r="Q44" s="1263">
        <f t="shared" si="14"/>
        <v>111</v>
      </c>
      <c r="R44" s="667" t="s">
        <v>14</v>
      </c>
      <c r="S44" s="668">
        <f t="shared" si="10"/>
        <v>100</v>
      </c>
      <c r="T44" s="667" t="s">
        <v>14</v>
      </c>
      <c r="U44" s="668">
        <f t="shared" si="11"/>
        <v>100</v>
      </c>
      <c r="V44" s="667" t="s">
        <v>14</v>
      </c>
      <c r="W44" s="668">
        <f t="shared" si="12"/>
        <v>100</v>
      </c>
      <c r="X44" s="1265"/>
      <c r="Y44" s="3363"/>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63"/>
      <c r="Q45" s="1263">
        <f t="shared" si="14"/>
        <v>111</v>
      </c>
      <c r="R45" s="669" t="s">
        <v>14</v>
      </c>
      <c r="S45" s="670">
        <f t="shared" si="10"/>
        <v>100</v>
      </c>
      <c r="T45" s="669" t="s">
        <v>14</v>
      </c>
      <c r="U45" s="670">
        <f t="shared" si="11"/>
        <v>100</v>
      </c>
      <c r="V45" s="669" t="s">
        <v>14</v>
      </c>
      <c r="W45" s="670">
        <f t="shared" si="12"/>
        <v>100</v>
      </c>
      <c r="X45" s="671"/>
      <c r="Y45" s="3363"/>
      <c r="Z45" s="672">
        <f t="shared" si="13"/>
        <v>111</v>
      </c>
      <c r="AA45" s="1264">
        <f t="shared" si="3"/>
        <v>1</v>
      </c>
      <c r="AB45" s="1264">
        <f t="shared" si="4"/>
        <v>1</v>
      </c>
      <c r="AC45" s="1264">
        <f t="shared" si="5"/>
        <v>1</v>
      </c>
    </row>
    <row r="46" spans="1:29" ht="15">
      <c r="A46" s="416" t="s">
        <v>1844</v>
      </c>
      <c r="B46" s="1828" t="s">
        <v>1879</v>
      </c>
      <c r="C46" s="602" t="s">
        <v>0</v>
      </c>
      <c r="D46" s="418"/>
      <c r="E46" s="419">
        <v>26012</v>
      </c>
      <c r="F46" s="420"/>
      <c r="G46" s="421">
        <v>20817</v>
      </c>
      <c r="H46" s="422"/>
      <c r="I46" s="419">
        <f>Sheet1!U7</f>
        <v>25659</v>
      </c>
      <c r="J46" s="422"/>
      <c r="K46" s="674"/>
      <c r="L46" s="2490"/>
      <c r="M46" s="2483"/>
      <c r="N46" s="2483"/>
      <c r="O46" s="2483"/>
      <c r="P46" s="3359" t="str">
        <f>A46</f>
        <v>成交单价</v>
      </c>
      <c r="Q46" s="3359"/>
      <c r="R46" s="3364">
        <f>E46</f>
        <v>26012</v>
      </c>
      <c r="S46" s="3364"/>
      <c r="T46" s="3364">
        <f>G46</f>
        <v>20817</v>
      </c>
      <c r="U46" s="3364"/>
      <c r="V46" s="3364">
        <f>I46</f>
        <v>25659</v>
      </c>
      <c r="W46" s="3364"/>
      <c r="X46" s="385"/>
      <c r="Y46" s="673"/>
      <c r="Z46" s="385"/>
      <c r="AA46" s="385"/>
      <c r="AB46" s="385"/>
      <c r="AC46" s="385"/>
    </row>
    <row r="47" spans="1:29" ht="15.75" thickBot="1">
      <c r="A47" s="423" t="s">
        <v>1793</v>
      </c>
      <c r="B47" s="603"/>
      <c r="C47" s="426">
        <f>R48</f>
        <v>21744</v>
      </c>
      <c r="D47" s="2139" t="s">
        <v>2138</v>
      </c>
      <c r="E47" s="426">
        <f>R47</f>
        <v>21628</v>
      </c>
      <c r="F47" s="2140"/>
      <c r="G47" s="425">
        <f>T47</f>
        <v>21034</v>
      </c>
      <c r="H47" s="2140"/>
      <c r="I47" s="426">
        <f>V47</f>
        <v>22570</v>
      </c>
      <c r="J47" s="2140"/>
      <c r="K47" s="2142">
        <f>F47+H47+J47</f>
        <v>0</v>
      </c>
      <c r="L47" s="2490"/>
      <c r="M47" s="2483"/>
      <c r="N47" s="2483"/>
      <c r="O47" s="2483"/>
      <c r="P47" s="3359" t="str">
        <f>A47</f>
        <v>比较价值（元/平方米）</v>
      </c>
      <c r="Q47" s="3359"/>
      <c r="R47" s="3352">
        <f>ROUND(PRODUCT(R46,AA7:AA45),0)</f>
        <v>21628</v>
      </c>
      <c r="S47" s="3352"/>
      <c r="T47" s="3352">
        <f>ROUND(PRODUCT(T46,AB7:AB45),0)</f>
        <v>21034</v>
      </c>
      <c r="U47" s="3352"/>
      <c r="V47" s="3352">
        <f>ROUND(PRODUCT(V46,AC7:AC45),0)</f>
        <v>22570</v>
      </c>
      <c r="W47" s="3352"/>
      <c r="X47" s="385"/>
      <c r="Y47" s="385"/>
      <c r="Z47" s="385"/>
      <c r="AA47" s="385"/>
      <c r="AB47" s="385"/>
      <c r="AC47" s="385"/>
    </row>
    <row r="48" spans="1:29" ht="15.75" thickBot="1">
      <c r="A48" s="427" t="s">
        <v>1880</v>
      </c>
      <c r="B48" s="428"/>
      <c r="C48" s="429">
        <f>R48</f>
        <v>21744</v>
      </c>
      <c r="D48" s="429"/>
      <c r="E48" s="429"/>
      <c r="F48" s="429"/>
      <c r="G48" s="429"/>
      <c r="H48" s="429"/>
      <c r="I48" s="429"/>
      <c r="J48" s="429"/>
      <c r="K48" s="675"/>
      <c r="L48" s="2490"/>
      <c r="M48" s="2483"/>
      <c r="N48" s="2483"/>
      <c r="O48" s="2483"/>
      <c r="P48" s="3353" t="str">
        <f>A48</f>
        <v>估价对象XX用房的比较价值（楼面单价，元/平方米）</v>
      </c>
      <c r="Q48" s="3354"/>
      <c r="R48" s="3355">
        <f>ROUND(IF(D47="简单平均",AVERAGE(R47:W47),R47*F47+T47*H47+V47*J47),0)</f>
        <v>21744</v>
      </c>
      <c r="S48" s="3355"/>
      <c r="T48" s="3355"/>
      <c r="U48" s="3355"/>
      <c r="V48" s="3355"/>
      <c r="W48" s="335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f>IF(E46&lt;E47,E47/E46-1,E46/E47-1)</f>
        <v>0.20270020343998518</v>
      </c>
      <c r="F51" s="435" t="str">
        <f>IF(OR(E51&gt;=0.3,E51&lt;=-0.3),"超过30%","")</f>
        <v/>
      </c>
      <c r="G51" s="434">
        <f>IF(G46&lt;G47,G47/G46-1,G46/G47-1)</f>
        <v>1.0424172551280142E-2</v>
      </c>
      <c r="H51" s="435" t="str">
        <f>IF(OR(G51&gt;=0.3,G51&lt;=-0.3),"超过30%","")</f>
        <v/>
      </c>
      <c r="I51" s="434">
        <f>IF(I46&lt;I47,I47/I46-1,I46/I47-1)</f>
        <v>0.13686309260079743</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f>IF(E47&lt;G47,G47/E47-1,E47/G47-1)</f>
        <v>2.8239992393268132E-2</v>
      </c>
      <c r="F52" s="435" t="str">
        <f>IF(OR(E52&gt;=0.2,E52&lt;=-0.2),"超过20%","")</f>
        <v/>
      </c>
      <c r="G52" s="434">
        <f>IF(G47&lt;I47,I47/G47-1,G47/I47-1)</f>
        <v>7.3024626794713221E-2</v>
      </c>
      <c r="H52" s="435" t="str">
        <f>IF(OR(G52&gt;=0.2,G52&lt;=-0.2),"超过20%","")</f>
        <v/>
      </c>
      <c r="I52" s="434">
        <f>IF(I47&lt;E47,E47/I47-1,I47/E47-1)</f>
        <v>4.3554651377843534E-2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f>IF(E46&lt;G46,G46/E46-1,E46/G46-1)</f>
        <v>0.24955565163087856</v>
      </c>
      <c r="F53" s="435" t="str">
        <f>IF(OR(E53&gt;=0.3,E53&lt;=-0.3),"超过30%","")</f>
        <v/>
      </c>
      <c r="G53" s="434">
        <f>IF(G46&lt;I46,I46/G46-1,G46/I46-1)</f>
        <v>0.23259835711197585</v>
      </c>
      <c r="H53" s="435" t="str">
        <f>IF(OR(G53&gt;=0.3,G53&lt;=-0.3),"超过30%","")</f>
        <v/>
      </c>
      <c r="I53" s="434">
        <f>IF(I46&lt;E46,E46/I46-1,I46/E46-1)</f>
        <v>1.3757356093378581E-2</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356" t="s">
        <v>1887</v>
      </c>
      <c r="H55" s="3357"/>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f>C48</f>
        <v>21744</v>
      </c>
      <c r="C56" s="610">
        <v>1</v>
      </c>
      <c r="D56" s="890">
        <v>1</v>
      </c>
      <c r="E56" s="610">
        <f>'数据-汇总表'!E8+'数据-汇总表'!E9</f>
        <v>4949.5099999999966</v>
      </c>
      <c r="F56" s="833">
        <f t="shared" ref="F56:F64" si="15">ROUND(B56*E56/10000,0)</f>
        <v>10762</v>
      </c>
      <c r="G56" s="3358"/>
      <c r="H56" s="335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f>ROUND($C$48*C57*D57,0)</f>
        <v>3262</v>
      </c>
      <c r="C57" s="163">
        <f t="shared" ref="C57:C64" si="16">IF($C$55="北京市系数",I57,J57)</f>
        <v>0.6</v>
      </c>
      <c r="D57" s="891">
        <v>0.25</v>
      </c>
      <c r="E57" s="614"/>
      <c r="F57" s="833">
        <f t="shared" si="15"/>
        <v>0</v>
      </c>
      <c r="G57" s="2746" t="s">
        <v>1892</v>
      </c>
      <c r="H57" s="834" t="str">
        <f>项目基本情况!B37</f>
        <v>七级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f t="shared" ref="B58:B64" si="17">ROUND($C$48*C58*D58,0)</f>
        <v>1631</v>
      </c>
      <c r="C58" s="163">
        <f t="shared" si="16"/>
        <v>0.3</v>
      </c>
      <c r="D58" s="891">
        <v>0.25</v>
      </c>
      <c r="E58" s="614"/>
      <c r="F58" s="833">
        <f t="shared" si="15"/>
        <v>0</v>
      </c>
      <c r="G58" s="2747"/>
      <c r="H58" s="834" t="str">
        <f>项目基本情况!B37</f>
        <v>七级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f t="shared" si="17"/>
        <v>1359</v>
      </c>
      <c r="C59" s="163">
        <f t="shared" si="16"/>
        <v>0.25</v>
      </c>
      <c r="D59" s="891">
        <v>0.25</v>
      </c>
      <c r="E59" s="614"/>
      <c r="F59" s="833">
        <f t="shared" si="15"/>
        <v>0</v>
      </c>
      <c r="G59" s="2747"/>
      <c r="H59" s="834" t="str">
        <f>项目基本情况!B37</f>
        <v>七级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f t="shared" si="17"/>
        <v>1359</v>
      </c>
      <c r="C60" s="163">
        <f t="shared" si="16"/>
        <v>0.25</v>
      </c>
      <c r="D60" s="891">
        <v>0.25</v>
      </c>
      <c r="E60" s="209">
        <f>'数据-汇总表'!E11</f>
        <v>0</v>
      </c>
      <c r="F60" s="833">
        <f t="shared" si="15"/>
        <v>0</v>
      </c>
      <c r="G60" s="1833" t="s">
        <v>1896</v>
      </c>
      <c r="H60" s="834" t="str">
        <f>项目基本情况!C37</f>
        <v>七级</v>
      </c>
      <c r="I60" s="838">
        <f>SUMIF(修正!A57:A68,H60,修正!E57:E68)</f>
        <v>0.25</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f t="shared" si="17"/>
        <v>1359</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七级</v>
      </c>
      <c r="I61" s="838">
        <f>SUMIF(修正!A57:A68,H61,修正!F57:F68)</f>
        <v>0.25</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f t="shared" si="17"/>
        <v>815</v>
      </c>
      <c r="C62" s="163">
        <f t="shared" si="16"/>
        <v>0.15</v>
      </c>
      <c r="D62" s="891">
        <v>0.25</v>
      </c>
      <c r="E62" s="209">
        <f>'数据-汇总表'!E13</f>
        <v>0</v>
      </c>
      <c r="F62" s="833">
        <f t="shared" si="15"/>
        <v>0</v>
      </c>
      <c r="G62" s="839" t="s">
        <v>1900</v>
      </c>
      <c r="H62" s="834" t="str">
        <f>IF(G62="商业",项目基本情况!B37,IF(G62="办公",项目基本情况!C37,IF(G62="住宅",项目基本情况!D37,项目基本情况!E37)))</f>
        <v>七级</v>
      </c>
      <c r="I62" s="838">
        <f>SUMIF(修正!A57:A68,H62,修正!G57:G68)</f>
        <v>0.15</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f t="shared" si="17"/>
        <v>815</v>
      </c>
      <c r="C63" s="163">
        <f t="shared" si="16"/>
        <v>0.15</v>
      </c>
      <c r="D63" s="891">
        <v>0.25</v>
      </c>
      <c r="E63" s="209">
        <f>'数据-汇总表'!E14</f>
        <v>0</v>
      </c>
      <c r="F63" s="833">
        <f t="shared" si="15"/>
        <v>0</v>
      </c>
      <c r="G63" s="1833" t="s">
        <v>1892</v>
      </c>
      <c r="H63" s="834" t="str">
        <f>项目基本情况!B37</f>
        <v>七级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f t="shared" si="17"/>
        <v>815</v>
      </c>
      <c r="C64" s="163">
        <f t="shared" si="16"/>
        <v>0.15</v>
      </c>
      <c r="D64" s="891">
        <v>0.25</v>
      </c>
      <c r="E64" s="209">
        <f>'数据-汇总表'!E15</f>
        <v>0</v>
      </c>
      <c r="F64" s="833">
        <f t="shared" si="15"/>
        <v>0</v>
      </c>
      <c r="G64" s="1834" t="s">
        <v>1896</v>
      </c>
      <c r="H64" s="844" t="str">
        <f>项目基本情况!C37</f>
        <v>七级</v>
      </c>
      <c r="I64" s="840">
        <f>SUMIF(修正!A57:A68,H64,修正!G57:G68)</f>
        <v>0.15</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4949.5099999999966</v>
      </c>
      <c r="F65" s="617">
        <f>IF(B46="楼面地价",SUM(F56:F64),ROUND(C48*E65/10000,0))</f>
        <v>10762</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3158" t="s">
        <v>308</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0（含）-1</v>
      </c>
      <c r="D78" s="478" t="str">
        <f t="shared" ref="D78:L78" si="20">D79&amp;"（含）"&amp;"-"&amp;E79</f>
        <v>1（含）-2</v>
      </c>
      <c r="E78" s="478" t="str">
        <f t="shared" si="20"/>
        <v>2（含）-3</v>
      </c>
      <c r="F78" s="478" t="str">
        <f t="shared" si="20"/>
        <v>3（含）-4</v>
      </c>
      <c r="G78" s="478" t="str">
        <f t="shared" si="20"/>
        <v>4（含）-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0</v>
      </c>
      <c r="D79" s="480">
        <v>1</v>
      </c>
      <c r="E79" s="480">
        <v>2</v>
      </c>
      <c r="F79" s="480">
        <v>3</v>
      </c>
      <c r="G79" s="480">
        <v>4</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t="str">
        <f>B13</f>
        <v>政府指导价</v>
      </c>
      <c r="C83" s="485">
        <v>47000</v>
      </c>
      <c r="D83" s="485">
        <v>55000</v>
      </c>
      <c r="E83" s="485">
        <v>62000</v>
      </c>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v>100</v>
      </c>
      <c r="D84" s="491">
        <f>C84+2</f>
        <v>102</v>
      </c>
      <c r="E84" s="491">
        <f>D84+2</f>
        <v>104</v>
      </c>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97</v>
      </c>
      <c r="E88" s="475">
        <f>D88-$K15</f>
        <v>94</v>
      </c>
      <c r="F88" s="475">
        <f>E88-$K15</f>
        <v>91</v>
      </c>
      <c r="G88" s="475">
        <f>F88-$K15</f>
        <v>88</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97</v>
      </c>
      <c r="E94" s="475">
        <f>D94-$K21</f>
        <v>94</v>
      </c>
      <c r="F94" s="475">
        <f>E94-$K21</f>
        <v>91</v>
      </c>
      <c r="G94" s="475">
        <f>F94-$K21</f>
        <v>88</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3162" t="s">
        <v>3565</v>
      </c>
      <c r="D107" s="3162" t="s">
        <v>3566</v>
      </c>
      <c r="E107" s="3162" t="s">
        <v>3567</v>
      </c>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1913</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20000</v>
      </c>
      <c r="E116" s="6">
        <v>40000</v>
      </c>
      <c r="F116" s="6">
        <v>60000</v>
      </c>
      <c r="G116" s="6">
        <v>80000</v>
      </c>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t="s">
        <v>3554</v>
      </c>
      <c r="D118" s="513" t="s">
        <v>3555</v>
      </c>
      <c r="E118" s="513" t="s">
        <v>3556</v>
      </c>
      <c r="F118" s="513" t="s">
        <v>3557</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3159" t="s">
        <v>3558</v>
      </c>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3160" t="s">
        <v>3409</v>
      </c>
      <c r="D122" s="3160" t="s">
        <v>3559</v>
      </c>
      <c r="E122" s="3160" t="s">
        <v>3560</v>
      </c>
      <c r="F122" s="3160" t="s">
        <v>3561</v>
      </c>
      <c r="G122" s="3160" t="s">
        <v>3562</v>
      </c>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3159" t="s">
        <v>3563</v>
      </c>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N49" sqref="N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3403</v>
      </c>
      <c r="C1" s="190"/>
      <c r="D1" s="190"/>
      <c r="E1" s="190"/>
      <c r="F1" s="190"/>
      <c r="G1" s="1062">
        <f>MATCH(B1,'数据-取费表'!A6:A16,0)+5</f>
        <v>6</v>
      </c>
    </row>
    <row r="2" spans="1:9" s="192" customFormat="1" ht="18" customHeight="1">
      <c r="A2" s="193" t="s">
        <v>1462</v>
      </c>
      <c r="B2" s="194">
        <f ca="1">IF(D2="——",C52,C52-E2)</f>
        <v>16121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32571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11090</v>
      </c>
      <c r="D5" s="203" t="s">
        <v>1469</v>
      </c>
      <c r="E5" s="204" t="s">
        <v>1470</v>
      </c>
      <c r="F5" s="204" t="s">
        <v>1471</v>
      </c>
      <c r="G5" s="205"/>
    </row>
    <row r="6" spans="1:9" s="206" customFormat="1" ht="13.5" customHeight="1">
      <c r="A6" s="732" t="s">
        <v>1472</v>
      </c>
      <c r="B6" s="207" t="s">
        <v>1473</v>
      </c>
      <c r="C6" s="208">
        <f>'土地比较法-住宅、综合'!F56</f>
        <v>10762</v>
      </c>
      <c r="D6" s="209"/>
      <c r="E6" s="210"/>
      <c r="F6" s="210"/>
      <c r="G6" s="211"/>
    </row>
    <row r="7" spans="1:9" s="206" customFormat="1" ht="13.5" customHeight="1">
      <c r="A7" s="732" t="s">
        <v>1474</v>
      </c>
      <c r="B7" s="207" t="s">
        <v>1475</v>
      </c>
      <c r="C7" s="212">
        <f>ROUND(C6*F7,0)</f>
        <v>328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t="s">
        <v>3581</v>
      </c>
    </row>
    <row r="9" spans="1:9" s="206" customFormat="1" ht="13.5" customHeight="1">
      <c r="A9" s="733" t="s">
        <v>355</v>
      </c>
      <c r="B9" s="216" t="s">
        <v>1478</v>
      </c>
      <c r="C9" s="217">
        <f ca="1">ROUND(D9*E9/10000,0)</f>
        <v>69</v>
      </c>
      <c r="D9" s="795">
        <f ca="1">IF(B1="",'数据-汇总表'!E5,IF(INDIRECT("'数据-取费表'!c"&amp;$G$1)="住宅",INDIRECT("'数据-取费表'!k"&amp;$G$1),0))</f>
        <v>4949.5099999999966</v>
      </c>
      <c r="E9" s="217">
        <f>'数据-取费表'!B27</f>
        <v>140</v>
      </c>
      <c r="F9" s="213"/>
      <c r="G9" s="1714" t="s">
        <v>3636</v>
      </c>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170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4949.5099999999966</v>
      </c>
      <c r="E19" s="203">
        <f>'数据-取费表'!B31</f>
        <v>200</v>
      </c>
      <c r="F19" s="223"/>
      <c r="G19" s="1713" t="s">
        <v>3582</v>
      </c>
    </row>
    <row r="20" spans="1:7" s="206" customFormat="1" ht="13.5" customHeight="1">
      <c r="A20" s="247" t="s">
        <v>1493</v>
      </c>
      <c r="B20" s="202" t="s">
        <v>1494</v>
      </c>
      <c r="C20" s="224">
        <f>ROUND((C5+C19)*F20,0)</f>
        <v>222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347</v>
      </c>
      <c r="D22" s="227">
        <f ca="1">C26</f>
        <v>2.9999999999999997E-4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344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1131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1131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13823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1485</v>
      </c>
      <c r="D34" s="209"/>
      <c r="E34" s="212"/>
      <c r="F34" s="249">
        <f ca="1">IF('数据-取费表'!B24=0,1,IF(B1="",'数据-取费表'!N16,INDIRECT("'数据-取费表'!n"&amp;$G$1)))</f>
        <v>0.5</v>
      </c>
      <c r="G34" s="211" t="s">
        <v>1526</v>
      </c>
    </row>
    <row r="35" spans="1:7" ht="13.5" customHeight="1">
      <c r="A35" s="734" t="s">
        <v>351</v>
      </c>
      <c r="B35" s="207" t="s">
        <v>1527</v>
      </c>
      <c r="C35" s="212">
        <f ca="1">ROUND(C34*F35,0)</f>
        <v>74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74</v>
      </c>
      <c r="D36" s="212"/>
      <c r="E36" s="212"/>
      <c r="F36" s="251">
        <f>'数据-取费表'!B34</f>
        <v>0.05</v>
      </c>
      <c r="G36" s="252" t="s">
        <v>1530</v>
      </c>
    </row>
    <row r="37" spans="1:7" s="250" customFormat="1" ht="13.5" customHeight="1">
      <c r="A37" s="734" t="s">
        <v>353</v>
      </c>
      <c r="B37" s="207" t="s">
        <v>1531</v>
      </c>
      <c r="C37" s="241">
        <f ca="1">ROUND(E37*D37*F34/10000,0)</f>
        <v>49</v>
      </c>
      <c r="D37" s="209">
        <f ca="1">D19</f>
        <v>4949.5099999999966</v>
      </c>
      <c r="E37" s="241">
        <f>'数据-取费表'!B35</f>
        <v>200</v>
      </c>
      <c r="F37" s="251"/>
      <c r="G37" s="253" t="s">
        <v>1532</v>
      </c>
    </row>
    <row r="38" spans="1:7" ht="13.5" customHeight="1">
      <c r="A38" s="734" t="s">
        <v>354</v>
      </c>
      <c r="B38" s="207" t="s">
        <v>1533</v>
      </c>
      <c r="C38" s="212">
        <f ca="1">ROUND(C34*F38,0)</f>
        <v>30</v>
      </c>
      <c r="D38" s="212"/>
      <c r="E38" s="212"/>
      <c r="F38" s="251">
        <f>'数据-取费表'!B36</f>
        <v>0.02</v>
      </c>
      <c r="G38" s="211" t="s">
        <v>1528</v>
      </c>
    </row>
    <row r="39" spans="1:7" s="206" customFormat="1" ht="13.5" customHeight="1">
      <c r="A39" s="247" t="s">
        <v>1534</v>
      </c>
      <c r="B39" s="202" t="s">
        <v>1535</v>
      </c>
      <c r="C39" s="224">
        <f ca="1">ROUND(C33*F20,0)</f>
        <v>34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2.9999999999999997E-4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94" t="s">
        <v>1544</v>
      </c>
    </row>
    <row r="43" spans="1:7" ht="13.5" customHeight="1">
      <c r="A43" s="734" t="s">
        <v>347</v>
      </c>
      <c r="B43" s="207" t="s">
        <v>1545</v>
      </c>
      <c r="C43" s="230">
        <f ca="1">ROUND(IF('数据-取费表'!B22&lt;=1,C39*F22*'数据-取费表'!B21/2,C39*(POWER((1+F22),'数据-取费表'!B21/2)-1)),0)</f>
        <v>1</v>
      </c>
      <c r="D43" s="230"/>
      <c r="E43" s="230"/>
      <c r="F43" s="231"/>
      <c r="G43" s="3395"/>
    </row>
    <row r="44" spans="1:7" ht="13.5" customHeight="1">
      <c r="A44" s="734" t="s">
        <v>348</v>
      </c>
      <c r="B44" s="207" t="s">
        <v>1546</v>
      </c>
      <c r="C44" s="230">
        <f ca="1">ROUND(IF('数据-取费表'!B22&lt;=1,C40*F22*'数据-取费表'!B21/2,C40*(POWER((1+F22),'数据-取费表'!B21/2)-1)),4)</f>
        <v>2.9999999999999997E-4</v>
      </c>
      <c r="D44" s="230"/>
      <c r="E44" s="230"/>
      <c r="F44" s="231"/>
      <c r="G44" s="3396"/>
    </row>
    <row r="45" spans="1:7" s="206" customFormat="1" ht="13.5" customHeight="1">
      <c r="A45" s="247" t="s">
        <v>1547</v>
      </c>
      <c r="B45" s="236" t="s">
        <v>1513</v>
      </c>
      <c r="C45" s="237">
        <f ca="1">C46</f>
        <v>349</v>
      </c>
      <c r="D45" s="227">
        <f ca="1">C47</f>
        <v>4.0000000000000001E-3</v>
      </c>
      <c r="E45" s="228" t="s">
        <v>1539</v>
      </c>
      <c r="F45" s="238">
        <f ca="1">F27</f>
        <v>0.2</v>
      </c>
      <c r="G45" s="239" t="s">
        <v>1548</v>
      </c>
    </row>
    <row r="46" spans="1:7" s="206" customFormat="1" ht="13.5" customHeight="1">
      <c r="A46" s="734" t="s">
        <v>346</v>
      </c>
      <c r="B46" s="240" t="s">
        <v>1549</v>
      </c>
      <c r="C46" s="241">
        <f ca="1">ROUND((C33+C39)*F27,0)</f>
        <v>349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2298</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2298</v>
      </c>
      <c r="D51" s="224"/>
      <c r="E51" s="224"/>
      <c r="F51" s="256"/>
      <c r="G51" s="226" t="s">
        <v>1560</v>
      </c>
    </row>
    <row r="52" spans="1:7" s="200" customFormat="1" ht="16.5" thickBot="1">
      <c r="A52" s="257" t="s">
        <v>1561</v>
      </c>
      <c r="B52" s="258"/>
      <c r="C52" s="259">
        <f ca="1">C31+C51</f>
        <v>16121</v>
      </c>
      <c r="D52" s="258"/>
      <c r="E52" s="258"/>
      <c r="F52" s="258"/>
      <c r="G52" s="260"/>
    </row>
    <row r="55" spans="1:7" ht="15">
      <c r="B55" s="262" t="s">
        <v>1562</v>
      </c>
      <c r="C55" s="263"/>
    </row>
    <row r="56" spans="1:7">
      <c r="B56" s="265" t="s">
        <v>802</v>
      </c>
      <c r="C56" s="267">
        <f ca="1">1-C57</f>
        <v>0.85699999999999998</v>
      </c>
    </row>
    <row r="57" spans="1:7">
      <c r="B57" s="265" t="s">
        <v>803</v>
      </c>
      <c r="C57" s="266">
        <f ca="1">ROUND(C51/C52,3)</f>
        <v>0.14299999999999999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4894.0989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9888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692931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692931</v>
      </c>
      <c r="D8" s="214"/>
      <c r="E8" s="212"/>
      <c r="F8" s="213"/>
      <c r="G8" s="1713"/>
    </row>
    <row r="9" spans="1:8" s="206" customFormat="1" ht="13.5" customHeight="1">
      <c r="A9" s="733" t="s">
        <v>355</v>
      </c>
      <c r="B9" s="216" t="s">
        <v>1478</v>
      </c>
      <c r="C9" s="217">
        <f ca="1">ROUND(D9*E9,0)</f>
        <v>692931</v>
      </c>
      <c r="D9" s="795">
        <f ca="1">IF(B1="",'数据-汇总表'!E5,IF(INDIRECT("'数据-取费表'!c"&amp;$G$1)="住宅",INDIRECT("'数据-取费表'!k"&amp;$G$1),0))</f>
        <v>4949.5099999999966</v>
      </c>
      <c r="E9" s="217">
        <f>'数据-取费表'!B27</f>
        <v>140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170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989902</v>
      </c>
      <c r="D19" s="204">
        <f ca="1">D9+D10</f>
        <v>4949.5099999999966</v>
      </c>
      <c r="E19" s="203">
        <f>'数据-取费表'!B31</f>
        <v>200</v>
      </c>
      <c r="F19" s="223"/>
      <c r="G19" s="1713"/>
    </row>
    <row r="20" spans="1:7" s="206" customFormat="1" ht="13.5" customHeight="1">
      <c r="A20" s="247" t="s">
        <v>1574</v>
      </c>
      <c r="B20" s="202" t="s">
        <v>1575</v>
      </c>
      <c r="C20" s="224">
        <f ca="1">ROUND((C5+C19)*F20,0)</f>
        <v>33657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106996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43628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62325</v>
      </c>
      <c r="D24" s="230"/>
      <c r="E24" s="230"/>
      <c r="F24" s="231"/>
      <c r="G24" s="232" t="s">
        <v>1586</v>
      </c>
    </row>
    <row r="25" spans="1:7" s="206" customFormat="1" ht="24">
      <c r="A25" s="734" t="s">
        <v>1476</v>
      </c>
      <c r="B25" s="207" t="s">
        <v>1587</v>
      </c>
      <c r="C25" s="230">
        <f ca="1">ROUND(IF('数据-取费表'!B22&lt;=1,C20*F22*'数据-取费表'!B22/2,C20*(POWER((1+F22),'数据-取费表'!B22/2)-1)),0)</f>
        <v>1043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343298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343298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2347545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34250609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29697060</v>
      </c>
      <c r="D34" s="209"/>
      <c r="E34" s="212"/>
      <c r="F34" s="249"/>
      <c r="G34" s="211"/>
    </row>
    <row r="35" spans="1:7" ht="13.5" customHeight="1">
      <c r="A35" s="734" t="s">
        <v>351</v>
      </c>
      <c r="B35" s="207" t="s">
        <v>1527</v>
      </c>
      <c r="C35" s="212">
        <f ca="1">ROUND(C34*F35,0)</f>
        <v>1484853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1484853</v>
      </c>
      <c r="D36" s="212"/>
      <c r="E36" s="212"/>
      <c r="F36" s="251">
        <f>'数据-取费表'!B34</f>
        <v>0.05</v>
      </c>
      <c r="G36" s="252" t="s">
        <v>1530</v>
      </c>
    </row>
    <row r="37" spans="1:7" s="250" customFormat="1" ht="13.5" customHeight="1">
      <c r="A37" s="734" t="s">
        <v>353</v>
      </c>
      <c r="B37" s="207" t="s">
        <v>1531</v>
      </c>
      <c r="C37" s="241">
        <f ca="1">ROUND(E37*D37,0)</f>
        <v>989902</v>
      </c>
      <c r="D37" s="209">
        <f ca="1">D19</f>
        <v>4949.5099999999966</v>
      </c>
      <c r="E37" s="241">
        <f>'数据-取费表'!B35</f>
        <v>200</v>
      </c>
      <c r="F37" s="251"/>
      <c r="G37" s="253"/>
    </row>
    <row r="38" spans="1:7" ht="13.5" customHeight="1">
      <c r="A38" s="734" t="s">
        <v>354</v>
      </c>
      <c r="B38" s="207" t="s">
        <v>1533</v>
      </c>
      <c r="C38" s="212">
        <f ca="1">ROUND(C34*F38,0)</f>
        <v>593941</v>
      </c>
      <c r="D38" s="212"/>
      <c r="E38" s="212"/>
      <c r="F38" s="251">
        <f>'数据-取费表'!B36</f>
        <v>0.02</v>
      </c>
      <c r="G38" s="211" t="s">
        <v>1528</v>
      </c>
    </row>
    <row r="39" spans="1:7" s="206" customFormat="1" ht="13.5" customHeight="1">
      <c r="A39" s="247" t="s">
        <v>1534</v>
      </c>
      <c r="B39" s="202" t="s">
        <v>1535</v>
      </c>
      <c r="C39" s="224">
        <f ca="1">ROUND(C33*F20,0)</f>
        <v>685012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1083004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1061769</v>
      </c>
      <c r="D42" s="230"/>
      <c r="E42" s="230"/>
      <c r="F42" s="231"/>
      <c r="G42" s="3394" t="s">
        <v>1591</v>
      </c>
    </row>
    <row r="43" spans="1:7" ht="13.5" customHeight="1">
      <c r="A43" s="734" t="s">
        <v>347</v>
      </c>
      <c r="B43" s="207" t="s">
        <v>1545</v>
      </c>
      <c r="C43" s="230">
        <f ca="1">ROUND(IF('数据-取费表'!B22&lt;=1,C39*F22*'数据-取费表'!B20/2,C39*(POWER((1+F22),'数据-取费表'!B20/2)-1)),0)</f>
        <v>21235</v>
      </c>
      <c r="D43" s="230"/>
      <c r="E43" s="230"/>
      <c r="F43" s="231"/>
      <c r="G43" s="3395"/>
    </row>
    <row r="44" spans="1:7" ht="13.5" customHeight="1">
      <c r="A44" s="734" t="s">
        <v>348</v>
      </c>
      <c r="B44" s="207" t="s">
        <v>1546</v>
      </c>
      <c r="C44" s="230">
        <f ca="1">ROUND(IF('数据-取费表'!B22&lt;=1,C40*F22*'数据-取费表'!B20/2,C40*(POWER((1+F22),'数据-取费表'!B20/2)-1)),4)</f>
        <v>5.9999999999999995E-4</v>
      </c>
      <c r="D44" s="230"/>
      <c r="E44" s="230"/>
      <c r="F44" s="231"/>
      <c r="G44" s="3396"/>
    </row>
    <row r="45" spans="1:7" s="206" customFormat="1" ht="13.5" customHeight="1">
      <c r="A45" s="247" t="s">
        <v>1547</v>
      </c>
      <c r="B45" s="236" t="s">
        <v>1513</v>
      </c>
      <c r="C45" s="237">
        <f ca="1">C46</f>
        <v>6987124</v>
      </c>
      <c r="D45" s="227">
        <f ca="1">C47</f>
        <v>4.0000000000000001E-3</v>
      </c>
      <c r="E45" s="228" t="s">
        <v>1539</v>
      </c>
      <c r="F45" s="238">
        <f ca="1">F27</f>
        <v>0.2</v>
      </c>
      <c r="G45" s="239" t="s">
        <v>1548</v>
      </c>
    </row>
    <row r="46" spans="1:7" s="206" customFormat="1" ht="13.5" customHeight="1">
      <c r="A46" s="734" t="s">
        <v>346</v>
      </c>
      <c r="B46" s="240" t="s">
        <v>1549</v>
      </c>
      <c r="C46" s="241">
        <f ca="1">ROUND((C33+C39)*F27,0)</f>
        <v>6987124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46593444</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46593444</v>
      </c>
      <c r="D51" s="224"/>
      <c r="E51" s="224"/>
      <c r="F51" s="256"/>
      <c r="G51" s="226" t="s">
        <v>1560</v>
      </c>
    </row>
    <row r="52" spans="1:7" s="200" customFormat="1" ht="16.5" thickBot="1">
      <c r="A52" s="257" t="s">
        <v>1561</v>
      </c>
      <c r="B52" s="258"/>
      <c r="C52" s="259">
        <f ca="1">C31+C51</f>
        <v>48940989</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5" sqref="N15"/>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13705</v>
      </c>
      <c r="C2" s="268" t="s">
        <v>1595</v>
      </c>
      <c r="D2" s="268"/>
      <c r="E2" s="2563"/>
      <c r="F2" s="2563"/>
      <c r="G2" s="2563"/>
      <c r="H2" s="2563"/>
      <c r="I2" s="2563"/>
      <c r="J2" s="2563"/>
      <c r="K2" s="2563"/>
    </row>
    <row r="3" spans="1:33" ht="18" customHeight="1" thickBot="1">
      <c r="A3" s="195" t="s">
        <v>1464</v>
      </c>
      <c r="B3" s="196">
        <f ca="1">ROUND(B2*10000/IF(C1="",'数据-汇总表'!E3,INDIRECT("'数据-取费表'!K"&amp;$K$1)),0)</f>
        <v>27690</v>
      </c>
      <c r="C3" s="268" t="s">
        <v>1596</v>
      </c>
      <c r="D3" s="268"/>
      <c r="E3" s="2563"/>
      <c r="F3" s="2563"/>
      <c r="G3" s="2563"/>
      <c r="H3" s="2563"/>
      <c r="I3" s="2563"/>
      <c r="J3" s="2563"/>
      <c r="K3" s="2563"/>
    </row>
    <row r="4" spans="1:33" s="739" customFormat="1" ht="16.5" customHeight="1">
      <c r="A4" s="736" t="s">
        <v>1597</v>
      </c>
      <c r="B4" s="737"/>
      <c r="C4" s="775">
        <f>SUM(C8:K8)</f>
        <v>19411</v>
      </c>
      <c r="D4" s="737"/>
      <c r="E4" s="737"/>
      <c r="F4" s="737"/>
      <c r="G4" s="737"/>
      <c r="H4" s="737"/>
      <c r="I4" s="737"/>
      <c r="J4" s="737"/>
      <c r="K4" s="738"/>
    </row>
    <row r="5" spans="1:33" s="743" customFormat="1" ht="15">
      <c r="A5" s="740" t="s">
        <v>1598</v>
      </c>
      <c r="B5" s="741" t="s">
        <v>1599</v>
      </c>
      <c r="C5" s="1717" t="s">
        <v>3403</v>
      </c>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'比较法-住宅'!B3</f>
        <v>39219</v>
      </c>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4949.5099999999966</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f>'比较法-住宅'!B2</f>
        <v>19411</v>
      </c>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1485</v>
      </c>
      <c r="D11" s="754"/>
      <c r="E11" s="138"/>
      <c r="F11" s="764">
        <f ca="1">1-IF('数据-取费表'!B24=0,1,IF(C1="",'数据-取费表'!N16,INDIRECT("'数据-取费表'!n"&amp;$K$1)))</f>
        <v>0.5</v>
      </c>
      <c r="G11" s="5"/>
      <c r="H11" s="749"/>
      <c r="I11" s="749"/>
      <c r="J11" s="749"/>
      <c r="K11" s="750"/>
    </row>
    <row r="12" spans="1:33" s="755" customFormat="1" ht="13.5" customHeight="1">
      <c r="A12" s="752" t="s">
        <v>636</v>
      </c>
      <c r="B12" s="753" t="s">
        <v>1613</v>
      </c>
      <c r="C12" s="21">
        <f ca="1">ROUND(C11*F12,0)</f>
        <v>74</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74</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49</v>
      </c>
      <c r="D14" s="796">
        <f ca="1">IF(C1="",'数据-汇总表'!E3,INDIRECT("'数据-取费表'!K"&amp;$K$1)+INDIRECT("'数据-取费表'!S"&amp;$K$1))</f>
        <v>4949.5099999999966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30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1712</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4949.5099999999966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69</v>
      </c>
      <c r="D18" s="796"/>
      <c r="E18" s="21"/>
      <c r="F18" s="756"/>
      <c r="G18" s="1719"/>
      <c r="H18" s="1106"/>
      <c r="I18" s="1720" t="s">
        <v>1625</v>
      </c>
      <c r="J18" s="759"/>
      <c r="K18" s="760"/>
    </row>
    <row r="19" spans="1:33" s="755" customFormat="1" ht="13.5" customHeight="1">
      <c r="A19" s="752" t="s">
        <v>360</v>
      </c>
      <c r="B19" s="753" t="s">
        <v>1626</v>
      </c>
      <c r="C19" s="21">
        <f ca="1">ROUND(D19*E19/10000,0)</f>
        <v>69</v>
      </c>
      <c r="D19" s="796">
        <f ca="1">IF(C1="",'数据-汇总表'!E5,IF(INDIRECT("'数据-取费表'!c"&amp;$K$1)="住宅",INDIRECT("'数据-取费表'!k"&amp;$K$1),0))</f>
        <v>4949.5099999999966</v>
      </c>
      <c r="E19" s="21">
        <f>'数据-取费表'!B27</f>
        <v>140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170</v>
      </c>
      <c r="F20" s="756"/>
      <c r="G20" s="12"/>
      <c r="H20" s="761"/>
      <c r="I20" s="761"/>
      <c r="J20" s="761"/>
      <c r="K20" s="762"/>
    </row>
    <row r="21" spans="1:33" s="755" customFormat="1" ht="13.5" customHeight="1">
      <c r="A21" s="744" t="s">
        <v>357</v>
      </c>
      <c r="B21" s="765" t="s">
        <v>1628</v>
      </c>
      <c r="C21" s="766">
        <f ca="1">C16+C17+C18</f>
        <v>1781</v>
      </c>
      <c r="D21" s="767"/>
      <c r="E21" s="273"/>
      <c r="F21" s="273"/>
      <c r="G21" s="123" t="s">
        <v>1629</v>
      </c>
      <c r="H21" s="759"/>
      <c r="I21" s="759"/>
      <c r="J21" s="759"/>
      <c r="K21" s="760"/>
    </row>
    <row r="22" spans="1:33" s="755" customFormat="1" ht="13.5" customHeight="1">
      <c r="A22" s="744" t="s">
        <v>1601</v>
      </c>
      <c r="B22" s="765" t="s">
        <v>1630</v>
      </c>
      <c r="C22" s="766">
        <f ca="1">ROUND(C21*F22,0)</f>
        <v>36</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194</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31</v>
      </c>
      <c r="D25" s="272">
        <f ca="1">C26</f>
        <v>3.1899999999999998E-2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3.1899999999999998E-2</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31</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402</v>
      </c>
      <c r="D28" s="272">
        <f ca="1">C29</f>
        <v>0.10290000000000001</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0.10290000000000001</v>
      </c>
      <c r="D29" s="276"/>
      <c r="E29" s="277"/>
      <c r="F29" s="282"/>
      <c r="G29" s="123" t="s">
        <v>1644</v>
      </c>
      <c r="H29" s="759"/>
      <c r="I29" s="759"/>
      <c r="J29" s="759"/>
      <c r="K29" s="760"/>
    </row>
    <row r="30" spans="1:33" s="283" customFormat="1" ht="13.5" customHeight="1">
      <c r="A30" s="752" t="s">
        <v>359</v>
      </c>
      <c r="B30" s="773" t="s">
        <v>1645</v>
      </c>
      <c r="C30" s="284">
        <f ca="1">ROUND((C21+C22+C23)*F28,0)</f>
        <v>402</v>
      </c>
      <c r="D30" s="276"/>
      <c r="E30" s="277"/>
      <c r="F30" s="282"/>
      <c r="G30" s="123"/>
      <c r="H30" s="759"/>
      <c r="I30" s="759"/>
      <c r="J30" s="759"/>
      <c r="K30" s="760"/>
    </row>
    <row r="31" spans="1:33" s="755" customFormat="1" ht="13.5" customHeight="1" thickBot="1">
      <c r="A31" s="1723" t="s">
        <v>1646</v>
      </c>
      <c r="B31" s="783" t="s">
        <v>1647</v>
      </c>
      <c r="C31" s="784">
        <f>ROUND(C4*F31/(1+'数据-取费表'!C42),0)</f>
        <v>1017</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13705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9" t="s">
        <v>694</v>
      </c>
      <c r="C6" s="1011">
        <f ca="1">ROUND(F6*F8*F7*(1-F9)/10000,0)</f>
        <v>0</v>
      </c>
      <c r="D6" s="147" t="s">
        <v>2109</v>
      </c>
      <c r="E6" s="294" t="s">
        <v>696</v>
      </c>
      <c r="F6" s="295">
        <f ca="1">INDIRECT("'数据-取费表'!u"&amp;$G$1)</f>
        <v>0</v>
      </c>
      <c r="G6" s="1292"/>
      <c r="H6" s="1006" t="s">
        <v>398</v>
      </c>
      <c r="I6" s="3399" t="s">
        <v>694</v>
      </c>
      <c r="J6" s="293">
        <f ca="1">ROUND(M6*M8*M7*(1-M9)/10000,0)</f>
        <v>0</v>
      </c>
      <c r="K6" s="147" t="s">
        <v>2108</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38">
        <f ca="1">ROUND(IF(AND(项目基本情况!B11="自然人",项目基本情况!B10="北京市"),C6*F31/(1+'数据-取费表'!C42),C32+C33+C34),2)</f>
        <v>0</v>
      </c>
      <c r="D31" s="1257" t="s">
        <v>720</v>
      </c>
      <c r="E31" s="1256" t="s">
        <v>770</v>
      </c>
      <c r="F31" s="2137" t="str">
        <f>IF(项目基本情况!B11="企业","——",IF(M47="住宅",IF(F6*F7*F8/12/(1+'数据-取费表'!F30)&gt;100000,4%,2.5%),IF(F6*F7*F8/12/(1+'数据-取费表'!F30)&gt;100000,12%,7%)))</f>
        <v>——</v>
      </c>
      <c r="G31" s="1292"/>
      <c r="H31" s="2565" t="s">
        <v>2297</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27"/>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9" t="s">
        <v>694</v>
      </c>
      <c r="C6" s="1011">
        <f ca="1">ROUND(F6*F8*F7*(1-F9),0)</f>
        <v>0</v>
      </c>
      <c r="D6" s="147" t="s">
        <v>2106</v>
      </c>
      <c r="E6" s="294" t="s">
        <v>696</v>
      </c>
      <c r="F6" s="295">
        <f ca="1">INDIRECT("'数据-取费表'!u"&amp;$G$1)</f>
        <v>0</v>
      </c>
      <c r="G6" s="1292"/>
      <c r="H6" s="1006" t="s">
        <v>398</v>
      </c>
      <c r="I6" s="3399" t="s">
        <v>694</v>
      </c>
      <c r="J6" s="293">
        <f ca="1">ROUND(M6*M8*M7*(1-M9),0)</f>
        <v>0</v>
      </c>
      <c r="K6" s="1284" t="s">
        <v>2107</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38">
        <f ca="1">ROUND(IF(AND(项目基本情况!B11="自然人",项目基本情况!B10="北京市"),C6*F31/(1+'数据-取费表'!C42),C32+C33+C34),0)</f>
        <v>0</v>
      </c>
      <c r="D31" s="1257" t="s">
        <v>720</v>
      </c>
      <c r="E31" s="1256" t="s">
        <v>770</v>
      </c>
      <c r="F31" s="2137" t="str">
        <f>IF(项目基本情况!B11="企业","——",IF(M47="住宅",IF(F6*F7*F8/12/(1+'数据-取费表'!F30)&gt;100000,4%,2.5%),IF(F6*F7*F8/12/(1+'数据-取费表'!F30)&gt;100000,12%,7%)))</f>
        <v>——</v>
      </c>
      <c r="G31" s="1292"/>
      <c r="H31" s="2565" t="s">
        <v>2297</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7"/>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7"/>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5" t="s">
        <v>3343</v>
      </c>
      <c r="B45" s="1307"/>
      <c r="C45" s="1376" t="e">
        <f ca="1">ROUND((C68-C40)/10000,4)</f>
        <v>#DIV/0!</v>
      </c>
      <c r="D45" s="3126"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15" customHeight="1">
      <c r="A2" s="1293" t="s">
        <v>2306</v>
      </c>
      <c r="B2" s="2590" t="e">
        <f>IF(D2="——",C40,C40+E2)</f>
        <v>#DIV/0!</v>
      </c>
      <c r="C2" s="2591" t="s">
        <v>2307</v>
      </c>
      <c r="D2" s="3134" t="s">
        <v>3350</v>
      </c>
      <c r="E2" s="3135"/>
      <c r="F2" s="2593"/>
      <c r="G2" s="2594"/>
      <c r="H2" s="2595"/>
      <c r="I2" s="2596"/>
      <c r="J2" s="3408" t="s">
        <v>2308</v>
      </c>
      <c r="K2" s="3409"/>
      <c r="L2" s="2597" t="s">
        <v>2309</v>
      </c>
      <c r="M2" s="2597" t="s">
        <v>2310</v>
      </c>
      <c r="N2" s="2597" t="s">
        <v>2311</v>
      </c>
      <c r="O2" s="2597" t="s">
        <v>2312</v>
      </c>
      <c r="P2" s="2597" t="s">
        <v>2313</v>
      </c>
      <c r="Q2" s="2598" t="s">
        <v>2314</v>
      </c>
      <c r="R2" s="2599" t="s">
        <v>2315</v>
      </c>
      <c r="S2" s="2588"/>
      <c r="T2" s="2588"/>
      <c r="U2" s="2588"/>
      <c r="V2" s="2596"/>
    </row>
    <row r="3" spans="1:22" s="2600" customFormat="1" ht="13.15" customHeight="1">
      <c r="A3" s="2601" t="s">
        <v>2316</v>
      </c>
      <c r="B3" s="2602" t="e">
        <f>ROUND(B2*10000/B4,0)</f>
        <v>#DIV/0!</v>
      </c>
      <c r="C3" s="2591" t="s">
        <v>2317</v>
      </c>
      <c r="D3" s="2591"/>
      <c r="E3" s="2592"/>
      <c r="F3" s="2593"/>
      <c r="G3" s="2594"/>
      <c r="H3" s="2595"/>
      <c r="I3" s="2596"/>
      <c r="J3" s="3410" t="s">
        <v>2318</v>
      </c>
      <c r="K3" s="3411"/>
      <c r="L3" s="2603"/>
      <c r="M3" s="2603"/>
      <c r="N3" s="2603"/>
      <c r="O3" s="2603"/>
      <c r="P3" s="2603"/>
      <c r="Q3" s="2604"/>
      <c r="R3" s="2605">
        <f>SUM(L3:Q3)</f>
        <v>0</v>
      </c>
      <c r="S3" s="2588"/>
      <c r="T3" s="2588"/>
      <c r="U3" s="2588"/>
      <c r="V3" s="2596"/>
    </row>
    <row r="4" spans="1:22" s="2600" customFormat="1" ht="13.15" customHeight="1">
      <c r="A4" s="2606" t="s">
        <v>2319</v>
      </c>
      <c r="B4" s="2607"/>
      <c r="C4" s="2591"/>
      <c r="D4" s="2591"/>
      <c r="E4" s="2592"/>
      <c r="F4" s="2593"/>
      <c r="G4" s="2594"/>
      <c r="H4" s="2595"/>
      <c r="I4" s="2596"/>
      <c r="J4" s="3410" t="s">
        <v>2320</v>
      </c>
      <c r="K4" s="3411"/>
      <c r="L4" s="2608"/>
      <c r="M4" s="2608"/>
      <c r="N4" s="2608"/>
      <c r="O4" s="2608"/>
      <c r="P4" s="2608"/>
      <c r="Q4" s="2609"/>
      <c r="R4" s="2610">
        <f>SUM(L4:Q4)</f>
        <v>0</v>
      </c>
      <c r="S4" s="2588"/>
      <c r="T4" s="2588"/>
      <c r="U4" s="2588"/>
      <c r="V4" s="2596"/>
    </row>
    <row r="5" spans="1:22" s="2600" customFormat="1" ht="13.15"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15" customHeight="1" thickBot="1">
      <c r="A6" s="3416" t="s">
        <v>2324</v>
      </c>
      <c r="B6" s="3417"/>
      <c r="C6" s="3418"/>
      <c r="D6" s="2617"/>
      <c r="E6" s="2618"/>
      <c r="F6" s="2619"/>
      <c r="G6" s="2620"/>
      <c r="H6" s="2595"/>
      <c r="I6" s="2596"/>
      <c r="J6" s="3402">
        <v>1</v>
      </c>
      <c r="K6" s="3403"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15" customHeight="1">
      <c r="A7" s="2623" t="s">
        <v>2334</v>
      </c>
      <c r="B7" s="2624"/>
      <c r="C7" s="2625"/>
      <c r="D7" s="2626">
        <f>SUM(D9,D10,D11,D17,0)</f>
        <v>0</v>
      </c>
      <c r="E7" s="2627" t="e">
        <f>E9+E10+E11+E17</f>
        <v>#DIV/0!</v>
      </c>
      <c r="F7" s="2628"/>
      <c r="G7" s="2629"/>
      <c r="H7" s="2595"/>
      <c r="I7" s="2596"/>
      <c r="J7" s="3402"/>
      <c r="K7" s="3404"/>
      <c r="L7" s="2630" t="s">
        <v>2335</v>
      </c>
      <c r="M7" s="2631"/>
      <c r="N7" s="2607"/>
      <c r="O7" s="2632"/>
      <c r="P7" s="2632"/>
      <c r="Q7" s="2633">
        <v>365</v>
      </c>
      <c r="R7" s="2634">
        <f>ROUND(M7*N7*O7*P7*Q7/10000,0)</f>
        <v>0</v>
      </c>
      <c r="S7" s="2588"/>
      <c r="T7" s="2588" t="s">
        <v>2336</v>
      </c>
      <c r="U7" s="2588"/>
      <c r="V7" s="2596"/>
    </row>
    <row r="8" spans="1:22" s="2600" customFormat="1" ht="13.15" customHeight="1">
      <c r="A8" s="2635" t="s">
        <v>2337</v>
      </c>
      <c r="B8" s="3419" t="s">
        <v>2338</v>
      </c>
      <c r="C8" s="3420"/>
      <c r="D8" s="2636" t="s">
        <v>2339</v>
      </c>
      <c r="E8" s="2637" t="s">
        <v>2340</v>
      </c>
      <c r="F8" s="2638" t="s">
        <v>2341</v>
      </c>
      <c r="G8" s="2639"/>
      <c r="H8" s="2595"/>
      <c r="I8" s="2596"/>
      <c r="J8" s="3402"/>
      <c r="K8" s="3404"/>
      <c r="L8" s="2630" t="s">
        <v>2342</v>
      </c>
      <c r="M8" s="2631"/>
      <c r="N8" s="2607"/>
      <c r="O8" s="2632"/>
      <c r="P8" s="2632"/>
      <c r="Q8" s="2633">
        <v>365</v>
      </c>
      <c r="R8" s="2634">
        <f t="shared" ref="R8:R13" si="0">ROUND(M8*N8*O8*P8*Q8/10000,0)</f>
        <v>0</v>
      </c>
      <c r="S8" s="2588"/>
      <c r="T8" s="2588" t="s">
        <v>2343</v>
      </c>
      <c r="U8" s="2588"/>
      <c r="V8" s="2596"/>
    </row>
    <row r="9" spans="1:22" s="2600" customFormat="1" ht="13.15" customHeight="1">
      <c r="A9" s="2635">
        <v>1</v>
      </c>
      <c r="B9" s="3419" t="s">
        <v>2344</v>
      </c>
      <c r="C9" s="3420"/>
      <c r="D9" s="2636">
        <f>ROUND(D6*E9,0)</f>
        <v>0</v>
      </c>
      <c r="E9" s="2640"/>
      <c r="F9" s="2641" t="s">
        <v>2345</v>
      </c>
      <c r="G9" s="2620"/>
      <c r="H9" s="2595"/>
      <c r="I9" s="2596"/>
      <c r="J9" s="3402"/>
      <c r="K9" s="3404"/>
      <c r="L9" s="2630" t="s">
        <v>2346</v>
      </c>
      <c r="M9" s="2631"/>
      <c r="N9" s="2607"/>
      <c r="O9" s="2632"/>
      <c r="P9" s="2632"/>
      <c r="Q9" s="2633">
        <v>365</v>
      </c>
      <c r="R9" s="2634">
        <f t="shared" si="0"/>
        <v>0</v>
      </c>
      <c r="S9" s="2588"/>
      <c r="T9" s="2588"/>
      <c r="U9" s="2588"/>
      <c r="V9" s="2596"/>
    </row>
    <row r="10" spans="1:22" s="2600" customFormat="1" ht="13.15" customHeight="1">
      <c r="A10" s="2635">
        <v>2</v>
      </c>
      <c r="B10" s="3419" t="s">
        <v>2347</v>
      </c>
      <c r="C10" s="3420"/>
      <c r="D10" s="2636">
        <f>ROUND(D6*E10,0)</f>
        <v>0</v>
      </c>
      <c r="E10" s="2640"/>
      <c r="F10" s="2641" t="s">
        <v>2348</v>
      </c>
      <c r="G10" s="2620"/>
      <c r="H10" s="2595"/>
      <c r="I10" s="2596"/>
      <c r="J10" s="3402"/>
      <c r="K10" s="3404"/>
      <c r="L10" s="2630" t="s">
        <v>2349</v>
      </c>
      <c r="M10" s="2631"/>
      <c r="N10" s="2607"/>
      <c r="O10" s="2632"/>
      <c r="P10" s="2632"/>
      <c r="Q10" s="2633">
        <v>365</v>
      </c>
      <c r="R10" s="2634">
        <f t="shared" si="0"/>
        <v>0</v>
      </c>
      <c r="S10" s="2588"/>
      <c r="T10" s="2588"/>
      <c r="U10" s="2588"/>
      <c r="V10" s="2596"/>
    </row>
    <row r="11" spans="1:22" s="2600" customFormat="1" ht="13.15" customHeight="1">
      <c r="A11" s="2635">
        <v>3</v>
      </c>
      <c r="B11" s="3419" t="s">
        <v>2350</v>
      </c>
      <c r="C11" s="3420"/>
      <c r="D11" s="2636">
        <f>D12+D14+D15+D16</f>
        <v>0</v>
      </c>
      <c r="E11" s="2642" t="e">
        <f>D11/D6</f>
        <v>#DIV/0!</v>
      </c>
      <c r="F11" s="2638"/>
      <c r="G11" s="2639"/>
      <c r="H11" s="2595"/>
      <c r="I11" s="2596"/>
      <c r="J11" s="3402"/>
      <c r="K11" s="3404"/>
      <c r="L11" s="2630" t="s">
        <v>2351</v>
      </c>
      <c r="M11" s="2631"/>
      <c r="N11" s="2607"/>
      <c r="O11" s="2632"/>
      <c r="P11" s="2632"/>
      <c r="Q11" s="2633">
        <v>365</v>
      </c>
      <c r="R11" s="2634">
        <f t="shared" si="0"/>
        <v>0</v>
      </c>
      <c r="S11" s="2588"/>
      <c r="T11" s="2588"/>
      <c r="U11" s="2588"/>
      <c r="V11" s="2596"/>
    </row>
    <row r="12" spans="1:22" s="2600" customFormat="1" ht="13.15" customHeight="1">
      <c r="A12" s="2643" t="s">
        <v>2352</v>
      </c>
      <c r="B12" s="3412" t="s">
        <v>2353</v>
      </c>
      <c r="C12" s="3413"/>
      <c r="D12" s="2644">
        <f>ROUND(D13*1.2%*(1-30%),0)</f>
        <v>0</v>
      </c>
      <c r="E12" s="2645">
        <v>1.2E-2</v>
      </c>
      <c r="F12" s="2638" t="s">
        <v>2354</v>
      </c>
      <c r="G12" s="2639"/>
      <c r="H12" s="2595"/>
      <c r="I12" s="2596"/>
      <c r="J12" s="3402"/>
      <c r="K12" s="3404"/>
      <c r="L12" s="2630" t="s">
        <v>2355</v>
      </c>
      <c r="M12" s="2631"/>
      <c r="N12" s="2607"/>
      <c r="O12" s="2632"/>
      <c r="P12" s="2632"/>
      <c r="Q12" s="2633">
        <v>365</v>
      </c>
      <c r="R12" s="2634">
        <f t="shared" si="0"/>
        <v>0</v>
      </c>
      <c r="S12" s="2588"/>
      <c r="T12" s="2588"/>
      <c r="U12" s="2588"/>
      <c r="V12" s="2596"/>
    </row>
    <row r="13" spans="1:22" s="2600" customFormat="1" ht="13.15" customHeight="1">
      <c r="A13" s="2643"/>
      <c r="B13" s="2646"/>
      <c r="C13" s="2647" t="s">
        <v>2356</v>
      </c>
      <c r="D13" s="2648"/>
      <c r="E13" s="2649"/>
      <c r="F13" s="2638"/>
      <c r="G13" s="2639"/>
      <c r="H13" s="2595"/>
      <c r="I13" s="2596"/>
      <c r="J13" s="3402"/>
      <c r="K13" s="3404"/>
      <c r="L13" s="2630" t="s">
        <v>2357</v>
      </c>
      <c r="M13" s="2631"/>
      <c r="N13" s="2607"/>
      <c r="O13" s="2632"/>
      <c r="P13" s="2632"/>
      <c r="Q13" s="2633">
        <v>365</v>
      </c>
      <c r="R13" s="2634">
        <f t="shared" si="0"/>
        <v>0</v>
      </c>
      <c r="S13" s="2588"/>
      <c r="T13" s="2588"/>
      <c r="U13" s="2588"/>
      <c r="V13" s="2596"/>
    </row>
    <row r="14" spans="1:22" s="2600" customFormat="1" ht="13.15" customHeight="1">
      <c r="A14" s="2643" t="s">
        <v>2358</v>
      </c>
      <c r="B14" s="3412" t="s">
        <v>2359</v>
      </c>
      <c r="C14" s="3413"/>
      <c r="D14" s="2644">
        <f>ROUND(E14*B5/10000,0)</f>
        <v>0</v>
      </c>
      <c r="E14" s="2633"/>
      <c r="F14" s="2638" t="s">
        <v>2360</v>
      </c>
      <c r="G14" s="2639"/>
      <c r="H14" s="2595"/>
      <c r="I14" s="2596"/>
      <c r="J14" s="3402"/>
      <c r="K14" s="3405"/>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2362</v>
      </c>
      <c r="B15" s="3412" t="s">
        <v>2363</v>
      </c>
      <c r="C15" s="3413"/>
      <c r="D15" s="2644">
        <f>ROUND(D6*E15,0)</f>
        <v>0</v>
      </c>
      <c r="E15" s="2645">
        <v>5.5E-2</v>
      </c>
      <c r="F15" s="2638" t="s">
        <v>2364</v>
      </c>
      <c r="G15" s="2620"/>
      <c r="H15" s="2595"/>
      <c r="I15" s="2596"/>
      <c r="J15" s="3402">
        <v>2</v>
      </c>
      <c r="K15" s="3403"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15" customHeight="1">
      <c r="A16" s="2643" t="s">
        <v>2371</v>
      </c>
      <c r="B16" s="3412" t="s">
        <v>2372</v>
      </c>
      <c r="C16" s="3413"/>
      <c r="D16" s="2655">
        <f>D6*E16</f>
        <v>0</v>
      </c>
      <c r="E16" s="2656"/>
      <c r="F16" s="2641" t="s">
        <v>2373</v>
      </c>
      <c r="G16" s="2620"/>
      <c r="H16" s="2595"/>
      <c r="I16" s="2596"/>
      <c r="J16" s="3402"/>
      <c r="K16" s="3404"/>
      <c r="L16" s="2630" t="s">
        <v>2374</v>
      </c>
      <c r="M16" s="2631"/>
      <c r="N16" s="2631"/>
      <c r="O16" s="2632"/>
      <c r="P16" s="2633">
        <v>365</v>
      </c>
      <c r="Q16" s="2607"/>
      <c r="R16" s="2654">
        <f>ROUND(M16*N16*O16*P16/10000,0)</f>
        <v>0</v>
      </c>
      <c r="S16" s="2588"/>
      <c r="T16" s="2588"/>
      <c r="U16" s="2588"/>
      <c r="V16" s="2596"/>
    </row>
    <row r="17" spans="1:22" s="2600" customFormat="1" ht="13.15" customHeight="1" thickBot="1">
      <c r="A17" s="2657">
        <v>4</v>
      </c>
      <c r="B17" s="3414" t="s">
        <v>2375</v>
      </c>
      <c r="C17" s="3415"/>
      <c r="D17" s="2658">
        <f>ROUND(D6*E17,0)</f>
        <v>0</v>
      </c>
      <c r="E17" s="2659"/>
      <c r="F17" s="2660" t="s">
        <v>2376</v>
      </c>
      <c r="G17" s="2620"/>
      <c r="H17" s="2595"/>
      <c r="I17" s="2596"/>
      <c r="J17" s="3402"/>
      <c r="K17" s="3404"/>
      <c r="L17" s="2630" t="s">
        <v>2377</v>
      </c>
      <c r="M17" s="2631"/>
      <c r="N17" s="2631"/>
      <c r="O17" s="2632"/>
      <c r="P17" s="2633">
        <v>365</v>
      </c>
      <c r="Q17" s="2607"/>
      <c r="R17" s="2654">
        <f>ROUND(M17*N17*O17*P17/10000,0)</f>
        <v>0</v>
      </c>
      <c r="S17" s="2588"/>
      <c r="T17" s="2588"/>
      <c r="U17" s="2588"/>
      <c r="V17" s="2596"/>
    </row>
    <row r="18" spans="1:22" s="2600" customFormat="1" ht="13.15" customHeight="1" thickBot="1">
      <c r="A18" s="2623" t="s">
        <v>2378</v>
      </c>
      <c r="B18" s="2624"/>
      <c r="C18" s="2624"/>
      <c r="D18" s="2661">
        <f>ROUND(D6*E18,0)</f>
        <v>0</v>
      </c>
      <c r="E18" s="2662"/>
      <c r="F18" s="2663" t="s">
        <v>2379</v>
      </c>
      <c r="G18" s="2620"/>
      <c r="H18" s="2595"/>
      <c r="I18" s="2596"/>
      <c r="J18" s="3402"/>
      <c r="K18" s="3404"/>
      <c r="L18" s="2630" t="s">
        <v>2380</v>
      </c>
      <c r="M18" s="2631"/>
      <c r="N18" s="2631"/>
      <c r="O18" s="2632"/>
      <c r="P18" s="2633">
        <v>365</v>
      </c>
      <c r="Q18" s="2607"/>
      <c r="R18" s="2654">
        <f>ROUND(M18*N18*O18*P18/10000,0)</f>
        <v>0</v>
      </c>
      <c r="S18" s="2588"/>
      <c r="T18" s="2588"/>
      <c r="U18" s="2588"/>
      <c r="V18" s="2596"/>
    </row>
    <row r="19" spans="1:22" s="2600" customFormat="1" ht="13.15" customHeight="1" thickBot="1">
      <c r="A19" s="2664" t="s">
        <v>2381</v>
      </c>
      <c r="B19" s="2618"/>
      <c r="C19" s="2618"/>
      <c r="D19" s="2618"/>
      <c r="E19" s="2618"/>
      <c r="F19" s="2619"/>
      <c r="G19" s="2639"/>
      <c r="H19" s="2595"/>
      <c r="I19" s="2596"/>
      <c r="J19" s="3402"/>
      <c r="K19" s="3405"/>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02">
        <v>3</v>
      </c>
      <c r="K20" s="3403"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15" customHeight="1">
      <c r="A21" s="2623"/>
      <c r="B21" s="2624"/>
      <c r="C21" s="2669" t="s">
        <v>2390</v>
      </c>
      <c r="D21" s="2670" t="s">
        <v>2391</v>
      </c>
      <c r="E21" s="2671" t="s">
        <v>2392</v>
      </c>
      <c r="F21" s="2667"/>
      <c r="G21" s="2639"/>
      <c r="H21" s="2595"/>
      <c r="I21" s="2596"/>
      <c r="J21" s="3402"/>
      <c r="K21" s="3404"/>
      <c r="L21" s="2630" t="s">
        <v>2393</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2394</v>
      </c>
      <c r="D22" s="2674" t="s">
        <v>2395</v>
      </c>
      <c r="E22" s="2675" t="s">
        <v>2396</v>
      </c>
      <c r="F22" s="2667"/>
      <c r="G22" s="2588"/>
      <c r="H22" s="2595"/>
      <c r="I22" s="2596"/>
      <c r="J22" s="3402"/>
      <c r="K22" s="3404"/>
      <c r="L22" s="2630" t="s">
        <v>2397</v>
      </c>
      <c r="M22" s="2631"/>
      <c r="N22" s="2631"/>
      <c r="O22" s="2632"/>
      <c r="P22" s="2633">
        <v>365</v>
      </c>
      <c r="Q22" s="2607"/>
      <c r="R22" s="2672">
        <f>ROUND(M22*N22*O22*P22/10000,0)</f>
        <v>0</v>
      </c>
      <c r="S22" s="2588"/>
      <c r="T22" s="2588"/>
      <c r="U22" s="2588"/>
      <c r="V22" s="2596"/>
    </row>
    <row r="23" spans="1:22" s="2600" customFormat="1" ht="13.15" customHeight="1">
      <c r="A23" s="2676">
        <v>1</v>
      </c>
      <c r="B23" s="2677" t="s">
        <v>2398</v>
      </c>
      <c r="C23" s="2678">
        <f>D6</f>
        <v>0</v>
      </c>
      <c r="D23" s="2679">
        <f>C23*(1+D24)</f>
        <v>0</v>
      </c>
      <c r="E23" s="2680">
        <f>D23*(1+E24)</f>
        <v>0</v>
      </c>
      <c r="F23" s="2681"/>
      <c r="G23" s="2682"/>
      <c r="H23" s="2595"/>
      <c r="I23" s="2596"/>
      <c r="J23" s="3402"/>
      <c r="K23" s="3404"/>
      <c r="L23" s="2630" t="s">
        <v>2399</v>
      </c>
      <c r="M23" s="2631"/>
      <c r="N23" s="2631"/>
      <c r="O23" s="2632"/>
      <c r="P23" s="2633">
        <v>365</v>
      </c>
      <c r="Q23" s="2607"/>
      <c r="R23" s="2672">
        <f>ROUND(M23*N23*O23*P23/10000,0)</f>
        <v>0</v>
      </c>
      <c r="S23" s="2588"/>
      <c r="T23" s="2588"/>
      <c r="U23" s="2588"/>
      <c r="V23" s="2596"/>
    </row>
    <row r="24" spans="1:22" s="2600" customFormat="1" ht="13.15" customHeight="1">
      <c r="A24" s="2683"/>
      <c r="B24" s="2684" t="s">
        <v>2400</v>
      </c>
      <c r="C24" s="2685"/>
      <c r="D24" s="2686"/>
      <c r="E24" s="2687"/>
      <c r="F24" s="2688"/>
      <c r="G24" s="2682"/>
      <c r="H24" s="2595"/>
      <c r="I24" s="2596"/>
      <c r="J24" s="3402"/>
      <c r="K24" s="3405"/>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15" customHeight="1">
      <c r="A26" s="2676">
        <v>2</v>
      </c>
      <c r="B26" s="2677" t="s">
        <v>2402</v>
      </c>
      <c r="C26" s="2678">
        <f>D7</f>
        <v>0</v>
      </c>
      <c r="D26" s="2679">
        <f>D23*D27</f>
        <v>0</v>
      </c>
      <c r="E26" s="2680">
        <f>E23*E27</f>
        <v>0</v>
      </c>
      <c r="F26" s="2681"/>
      <c r="G26" s="2682"/>
      <c r="H26" s="2595"/>
      <c r="I26" s="2596"/>
      <c r="J26" s="3406">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15" customHeight="1">
      <c r="A27" s="2683"/>
      <c r="B27" s="2684" t="s">
        <v>2408</v>
      </c>
      <c r="C27" s="2701" t="e">
        <f>E7</f>
        <v>#DIV/0!</v>
      </c>
      <c r="D27" s="2686"/>
      <c r="E27" s="2687"/>
      <c r="F27" s="2688"/>
      <c r="G27" s="2682"/>
      <c r="H27" s="2702"/>
      <c r="I27" s="2694"/>
      <c r="J27" s="3407"/>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15"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15" customHeight="1">
      <c r="A32" s="2676">
        <v>4</v>
      </c>
      <c r="B32" s="2677" t="s">
        <v>2416</v>
      </c>
      <c r="C32" s="2678">
        <f>C23-C26-C29</f>
        <v>0</v>
      </c>
      <c r="D32" s="2679">
        <f>D23-D26-D29</f>
        <v>0</v>
      </c>
      <c r="E32" s="2680">
        <f>E23-E26-E29</f>
        <v>0</v>
      </c>
      <c r="F32" s="2681"/>
      <c r="G32" s="2588"/>
      <c r="H32" s="2595"/>
      <c r="I32" s="2596"/>
      <c r="J32" s="3408" t="s">
        <v>2308</v>
      </c>
      <c r="K32" s="3409"/>
      <c r="L32" s="2597" t="s">
        <v>2309</v>
      </c>
      <c r="M32" s="2597" t="s">
        <v>2310</v>
      </c>
      <c r="N32" s="2597" t="s">
        <v>2311</v>
      </c>
      <c r="O32" s="2597" t="s">
        <v>2312</v>
      </c>
      <c r="P32" s="2597" t="s">
        <v>2313</v>
      </c>
      <c r="Q32" s="2598" t="s">
        <v>2314</v>
      </c>
      <c r="R32" s="2717" t="s">
        <v>2315</v>
      </c>
      <c r="S32" s="2588"/>
      <c r="T32" s="2588"/>
      <c r="U32" s="2588"/>
      <c r="V32" s="2694"/>
    </row>
    <row r="33" spans="1:23" s="2600" customFormat="1" ht="13.15" customHeight="1">
      <c r="A33" s="2676"/>
      <c r="B33" s="2677"/>
      <c r="C33" s="2678"/>
      <c r="D33" s="2718"/>
      <c r="E33" s="2719"/>
      <c r="F33" s="2681"/>
      <c r="G33" s="2588"/>
      <c r="H33" s="2702"/>
      <c r="I33" s="2694"/>
      <c r="J33" s="3410" t="s">
        <v>2318</v>
      </c>
      <c r="K33" s="3411"/>
      <c r="L33" s="2603"/>
      <c r="M33" s="2603"/>
      <c r="N33" s="2603"/>
      <c r="O33" s="2603"/>
      <c r="P33" s="2603"/>
      <c r="Q33" s="2604"/>
      <c r="R33" s="2720">
        <f>SUM(L33:Q33)</f>
        <v>0</v>
      </c>
      <c r="S33" s="2588"/>
      <c r="T33" s="2588"/>
      <c r="U33" s="2588"/>
      <c r="V33" s="2596"/>
    </row>
    <row r="34" spans="1:23" s="2600" customFormat="1" ht="13.15" customHeight="1">
      <c r="A34" s="2676">
        <v>5</v>
      </c>
      <c r="B34" s="2677" t="s">
        <v>2417</v>
      </c>
      <c r="C34" s="2721"/>
      <c r="D34" s="2722"/>
      <c r="E34" s="2723"/>
      <c r="F34" s="2681"/>
      <c r="G34" s="2588"/>
      <c r="H34" s="2702"/>
      <c r="I34" s="2694"/>
      <c r="J34" s="3410" t="s">
        <v>2320</v>
      </c>
      <c r="K34" s="341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15" customHeight="1" thickBot="1">
      <c r="A36" s="2676">
        <v>7</v>
      </c>
      <c r="B36" s="2730" t="s">
        <v>2419</v>
      </c>
      <c r="C36" s="2731"/>
      <c r="D36" s="2732"/>
      <c r="E36" s="2733"/>
      <c r="F36" s="2734">
        <f>C36+D36+E36</f>
        <v>0</v>
      </c>
      <c r="G36" s="2588"/>
      <c r="H36" s="2595"/>
      <c r="I36" s="2596"/>
      <c r="J36" s="3402">
        <v>1</v>
      </c>
      <c r="K36" s="3403" t="s">
        <v>2420</v>
      </c>
      <c r="L36" s="2621"/>
      <c r="M36" s="2622"/>
      <c r="N36" s="2622"/>
      <c r="O36" s="2622"/>
      <c r="P36" s="2622"/>
      <c r="Q36" s="2622"/>
      <c r="R36" s="2605" t="s">
        <v>2332</v>
      </c>
      <c r="S36" s="2588"/>
      <c r="T36" s="2588" t="s">
        <v>2333</v>
      </c>
      <c r="U36" s="2588"/>
      <c r="V36" s="2596"/>
    </row>
    <row r="37" spans="1:23" s="2600" customFormat="1" ht="13.15" customHeight="1">
      <c r="A37" s="2676"/>
      <c r="B37" s="2677"/>
      <c r="C37" s="2677"/>
      <c r="D37" s="2677"/>
      <c r="E37" s="2677"/>
      <c r="F37" s="2681"/>
      <c r="G37" s="2588"/>
      <c r="H37" s="2595"/>
      <c r="I37" s="2596"/>
      <c r="J37" s="3402"/>
      <c r="K37" s="3404"/>
      <c r="L37" s="2630"/>
      <c r="M37" s="2631"/>
      <c r="N37" s="2607"/>
      <c r="O37" s="2632"/>
      <c r="P37" s="2632"/>
      <c r="Q37" s="2633"/>
      <c r="R37" s="2634"/>
      <c r="S37" s="2588"/>
      <c r="T37" s="2588" t="s">
        <v>2336</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02"/>
      <c r="K38" s="3404"/>
      <c r="L38" s="2630"/>
      <c r="M38" s="2631"/>
      <c r="N38" s="2607"/>
      <c r="O38" s="2632"/>
      <c r="P38" s="2632"/>
      <c r="Q38" s="2633"/>
      <c r="R38" s="2634"/>
      <c r="S38" s="2588"/>
      <c r="T38" s="2588" t="s">
        <v>2343</v>
      </c>
      <c r="U38" s="2588"/>
      <c r="V38" s="2596"/>
    </row>
    <row r="39" spans="1:23" s="2600" customFormat="1" ht="13.15" customHeight="1">
      <c r="A39" s="2676">
        <v>9</v>
      </c>
      <c r="B39" s="2677" t="s">
        <v>2421</v>
      </c>
      <c r="C39" s="2644" t="e">
        <f>C38</f>
        <v>#DIV/0!</v>
      </c>
      <c r="D39" s="2677">
        <f>D38/(1+D34)^C36</f>
        <v>0</v>
      </c>
      <c r="E39" s="2677">
        <f>E38/(1+E34)^(C36+D36)</f>
        <v>0</v>
      </c>
      <c r="F39" s="2681"/>
      <c r="G39" s="2596"/>
      <c r="H39" s="2595"/>
      <c r="I39" s="2596"/>
      <c r="J39" s="3402"/>
      <c r="K39" s="3404"/>
      <c r="L39" s="2630"/>
      <c r="M39" s="2631"/>
      <c r="N39" s="2607"/>
      <c r="O39" s="2632"/>
      <c r="P39" s="2632"/>
      <c r="Q39" s="2633"/>
      <c r="R39" s="2634"/>
      <c r="S39" s="2588"/>
      <c r="T39" s="2588"/>
      <c r="U39" s="2588"/>
      <c r="V39" s="2596"/>
    </row>
    <row r="40" spans="1:23" s="2600" customFormat="1" ht="13.15" customHeight="1">
      <c r="A40" s="2735">
        <v>10</v>
      </c>
      <c r="B40" s="2677" t="s">
        <v>2422</v>
      </c>
      <c r="C40" s="2736" t="e">
        <f>C39+D39+E39</f>
        <v>#DIV/0!</v>
      </c>
      <c r="D40" s="2737"/>
      <c r="E40" s="2737"/>
      <c r="F40" s="2738"/>
      <c r="G40" s="2588"/>
      <c r="H40" s="2595"/>
      <c r="I40" s="2596"/>
      <c r="J40" s="3402"/>
      <c r="K40" s="3405"/>
      <c r="L40" s="2650" t="s">
        <v>2361</v>
      </c>
      <c r="M40" s="2651"/>
      <c r="N40" s="2651"/>
      <c r="O40" s="2652"/>
      <c r="P40" s="2652"/>
      <c r="Q40" s="2653"/>
      <c r="R40" s="2599">
        <f>SUM(R37:R39)</f>
        <v>0</v>
      </c>
      <c r="S40" s="2588"/>
      <c r="T40" s="2588"/>
      <c r="U40" s="2588"/>
      <c r="V40" s="2596"/>
    </row>
    <row r="41" spans="1:23" s="2600" customFormat="1" ht="13.15"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15" customHeight="1">
      <c r="G42" s="2595"/>
      <c r="H42" s="2595"/>
      <c r="I42" s="2596"/>
      <c r="J42" s="3406">
        <v>3</v>
      </c>
      <c r="K42" s="2696" t="s">
        <v>2403</v>
      </c>
      <c r="L42" s="2697"/>
      <c r="M42" s="2698"/>
      <c r="N42" s="2699" t="s">
        <v>2404</v>
      </c>
      <c r="O42" s="2699" t="s">
        <v>2405</v>
      </c>
      <c r="P42" s="2700" t="s">
        <v>2406</v>
      </c>
      <c r="Q42" s="2700" t="s">
        <v>2407</v>
      </c>
      <c r="R42" s="2605" t="s">
        <v>2332</v>
      </c>
      <c r="S42" s="2639"/>
      <c r="T42" s="2639"/>
      <c r="U42" s="2588"/>
      <c r="V42" s="2596"/>
    </row>
    <row r="43" spans="1:23" ht="13.15" customHeight="1">
      <c r="A43" s="2600"/>
      <c r="B43" s="2600"/>
      <c r="C43" s="2600"/>
      <c r="D43" s="2600"/>
      <c r="E43" s="2600"/>
      <c r="F43" s="2600"/>
      <c r="I43" s="2583"/>
      <c r="J43" s="3407"/>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89">
        <f>SUM(E6:E13)</f>
        <v>0</v>
      </c>
      <c r="F2" s="2475"/>
      <c r="G2" s="459"/>
      <c r="H2" s="459"/>
      <c r="I2" s="459"/>
      <c r="J2" s="459"/>
      <c r="K2" s="459"/>
      <c r="L2" s="459"/>
      <c r="M2" s="459"/>
      <c r="N2" s="459"/>
      <c r="O2" s="459"/>
      <c r="P2" s="459"/>
      <c r="Q2" s="459"/>
      <c r="R2" s="459"/>
      <c r="S2" s="459"/>
    </row>
    <row r="3" spans="1:22" ht="15.75">
      <c r="A3" s="1727" t="s">
        <v>686</v>
      </c>
      <c r="B3" s="2383" t="e">
        <f ca="1">ROUND(B2*10000/E2,0)</f>
        <v>#DIV/0!</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421" t="s">
        <v>1654</v>
      </c>
      <c r="C5" s="3422"/>
      <c r="D5" s="2476"/>
      <c r="E5" s="1730" t="s">
        <v>1655</v>
      </c>
      <c r="F5" s="129" t="s">
        <v>1656</v>
      </c>
      <c r="G5" s="459"/>
      <c r="H5" s="459"/>
      <c r="I5" s="459"/>
      <c r="J5" s="459"/>
      <c r="K5" s="459"/>
      <c r="L5" s="459"/>
      <c r="M5" s="459"/>
      <c r="N5" s="459"/>
      <c r="O5" s="459"/>
      <c r="P5" s="459"/>
      <c r="Q5" s="459"/>
      <c r="R5" s="459"/>
      <c r="S5" s="459"/>
    </row>
    <row r="6" spans="1:22">
      <c r="A6" s="2386">
        <f>'数据-取费表'!AN6</f>
        <v>0</v>
      </c>
      <c r="B6" s="2384" t="e">
        <f ca="1">IF(F6="是",'数据-取费表'!AO6,0)</f>
        <v>#REF!</v>
      </c>
      <c r="C6" s="1728" t="s">
        <v>1651</v>
      </c>
      <c r="D6" s="2475"/>
      <c r="E6" s="2388">
        <f>IF(OR(A6=0,F6="否"),0,'数据-取费表'!K6+'数据-取费表'!S6)</f>
        <v>0</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5" zoomScaleNormal="60" zoomScaleSheetLayoutView="85" workbookViewId="0">
      <selection activeCell="M19" sqref="M19"/>
    </sheetView>
  </sheetViews>
  <sheetFormatPr defaultColWidth="9" defaultRowHeight="14.25"/>
  <cols>
    <col min="1" max="1" width="10.5" style="347" customWidth="1"/>
    <col min="2" max="2" width="15.75" style="347" customWidth="1"/>
    <col min="3" max="3" width="19.8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t="s">
        <v>3403</v>
      </c>
      <c r="E1" s="3120" t="s">
        <v>3583</v>
      </c>
      <c r="F1" s="1734" t="s">
        <v>3584</v>
      </c>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f>IF(E1="项目模式",IF(C2="——",ROUND(C49*D3/10000,0),ROUND(C49*D3/10000,0)-D2),IF(E1="单套模式",IF(C2="——",ROUND(C49*D3/10000,4),ROUND(C49*D3/10000,4)-D2)))</f>
        <v>19411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39219</v>
      </c>
      <c r="C3" s="344" t="s">
        <v>1665</v>
      </c>
      <c r="D3" s="343">
        <f>IF(D1="",'数据-汇总表'!E3,SUMIF('数据-汇总表'!$C19:$C33,D1,'数据-汇总表'!$E19:$E33))</f>
        <v>4949.5099999999966</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356" t="s">
        <v>1667</v>
      </c>
      <c r="D4" s="3368"/>
      <c r="E4" s="3369" t="s">
        <v>1668</v>
      </c>
      <c r="F4" s="3370"/>
      <c r="G4" s="3356" t="s">
        <v>1669</v>
      </c>
      <c r="H4" s="3368"/>
      <c r="I4" s="3356" t="s">
        <v>1670</v>
      </c>
      <c r="J4" s="3368"/>
      <c r="K4" s="1743" t="s">
        <v>1671</v>
      </c>
      <c r="L4" s="2482"/>
      <c r="M4" s="2483"/>
      <c r="N4" s="2483"/>
      <c r="O4" s="2483"/>
      <c r="P4" s="3371" t="s">
        <v>1672</v>
      </c>
      <c r="Q4" s="3372"/>
      <c r="R4" s="3377" t="s">
        <v>1668</v>
      </c>
      <c r="S4" s="3378"/>
      <c r="T4" s="3377" t="s">
        <v>1669</v>
      </c>
      <c r="U4" s="3378"/>
      <c r="V4" s="3364" t="s">
        <v>1670</v>
      </c>
      <c r="W4" s="3364"/>
      <c r="X4" s="1265"/>
      <c r="Y4" s="3377" t="s">
        <v>1672</v>
      </c>
      <c r="Z4" s="3378"/>
      <c r="AA4" s="3365" t="s">
        <v>1668</v>
      </c>
      <c r="AB4" s="3365" t="s">
        <v>1669</v>
      </c>
      <c r="AC4" s="3365" t="s">
        <v>1670</v>
      </c>
    </row>
    <row r="5" spans="1:29" ht="13.9" customHeight="1">
      <c r="A5" s="348"/>
      <c r="B5" s="349"/>
      <c r="C5" s="3385" t="s">
        <v>1673</v>
      </c>
      <c r="D5" s="3386"/>
      <c r="E5" s="3430" t="s">
        <v>3585</v>
      </c>
      <c r="F5" s="3386"/>
      <c r="G5" s="3430" t="s">
        <v>3621</v>
      </c>
      <c r="H5" s="3386"/>
      <c r="I5" s="3430" t="s">
        <v>3628</v>
      </c>
      <c r="J5" s="3386"/>
      <c r="K5" s="1744"/>
      <c r="L5" s="2482"/>
      <c r="M5" s="2483"/>
      <c r="N5" s="2483"/>
      <c r="O5" s="2483"/>
      <c r="P5" s="3373"/>
      <c r="Q5" s="3374"/>
      <c r="R5" s="3379"/>
      <c r="S5" s="3380"/>
      <c r="T5" s="3379"/>
      <c r="U5" s="3380"/>
      <c r="V5" s="3364"/>
      <c r="W5" s="3364"/>
      <c r="X5" s="1265"/>
      <c r="Y5" s="3379"/>
      <c r="Z5" s="3380"/>
      <c r="AA5" s="3366"/>
      <c r="AB5" s="3366"/>
      <c r="AC5" s="3366"/>
    </row>
    <row r="6" spans="1:29" ht="15.75" thickBot="1">
      <c r="A6" s="350"/>
      <c r="B6" s="351"/>
      <c r="C6" s="3383" t="s">
        <v>1677</v>
      </c>
      <c r="D6" s="3384"/>
      <c r="E6" s="3390" t="s">
        <v>1677</v>
      </c>
      <c r="F6" s="3391"/>
      <c r="G6" s="3383" t="s">
        <v>1677</v>
      </c>
      <c r="H6" s="3384"/>
      <c r="I6" s="3383" t="s">
        <v>1677</v>
      </c>
      <c r="J6" s="3384"/>
      <c r="K6" s="1744" t="s">
        <v>1678</v>
      </c>
      <c r="L6" s="2482"/>
      <c r="M6" s="2483"/>
      <c r="N6" s="2483"/>
      <c r="O6" s="2483"/>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v>45658</v>
      </c>
      <c r="F7" s="357">
        <f>SUMIF(58:58,YEAR(E7)&amp;"-"&amp;MONTH(E7),59:59)</f>
        <v>100</v>
      </c>
      <c r="G7" s="356">
        <v>45658</v>
      </c>
      <c r="H7" s="355">
        <f>SUMIF(58:58,YEAR(G7)&amp;"-"&amp;MONTH(G7),59:59)</f>
        <v>100</v>
      </c>
      <c r="I7" s="356">
        <v>45658</v>
      </c>
      <c r="J7" s="355">
        <f>SUMIF(58:58,YEAR(I7)&amp;"-"&amp;MONTH(I7),59:59)</f>
        <v>100</v>
      </c>
      <c r="K7" s="1745"/>
      <c r="L7" s="2484"/>
      <c r="M7" s="2436"/>
      <c r="N7" s="2436"/>
      <c r="O7" s="2436"/>
      <c r="P7" s="3387" t="s">
        <v>1680</v>
      </c>
      <c r="Q7" s="3389"/>
      <c r="R7" s="664" t="s">
        <v>20</v>
      </c>
      <c r="S7" s="665">
        <f t="shared" ref="S7:S15" si="0">F7</f>
        <v>100</v>
      </c>
      <c r="T7" s="664" t="s">
        <v>20</v>
      </c>
      <c r="U7" s="665">
        <f t="shared" ref="U7:U15" si="1">H7</f>
        <v>100</v>
      </c>
      <c r="V7" s="664" t="s">
        <v>20</v>
      </c>
      <c r="W7" s="665">
        <f t="shared" ref="W7:W15" si="2">J7</f>
        <v>100</v>
      </c>
      <c r="X7" s="666"/>
      <c r="Y7" s="3387" t="s">
        <v>1680</v>
      </c>
      <c r="Z7" s="3388"/>
      <c r="AA7" s="50">
        <f>D7/F7</f>
        <v>1</v>
      </c>
      <c r="AB7" s="50">
        <f>D7/H7</f>
        <v>1</v>
      </c>
      <c r="AC7" s="50">
        <f>D7/J7</f>
        <v>1</v>
      </c>
    </row>
    <row r="8" spans="1:29" s="102" customFormat="1" ht="15.75" thickBot="1">
      <c r="A8" s="352" t="s">
        <v>1681</v>
      </c>
      <c r="B8" s="353"/>
      <c r="C8" s="358" t="s">
        <v>3619</v>
      </c>
      <c r="D8" s="355">
        <v>100</v>
      </c>
      <c r="E8" s="1746" t="s">
        <v>3619</v>
      </c>
      <c r="F8" s="357">
        <f>SUMIF(61:61,E8,62:62)-SUMIF(61:61,C8,62:62)+100</f>
        <v>100</v>
      </c>
      <c r="G8" s="1746" t="s">
        <v>3619</v>
      </c>
      <c r="H8" s="355">
        <f>SUMIF(61:61,G8,62:62)-SUMIF(61:61,C8,62:62)+100</f>
        <v>100</v>
      </c>
      <c r="I8" s="1746" t="s">
        <v>3619</v>
      </c>
      <c r="J8" s="355">
        <f>SUMIF(61:61,I8,62:62)-SUMIF(61:61,C8,62:62)+100</f>
        <v>100</v>
      </c>
      <c r="K8" s="1745"/>
      <c r="L8" s="2484"/>
      <c r="M8" s="2436"/>
      <c r="N8" s="2436"/>
      <c r="O8" s="2436"/>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169" t="s">
        <v>3620</v>
      </c>
      <c r="D9" s="59">
        <v>100</v>
      </c>
      <c r="E9" s="361" t="s">
        <v>3403</v>
      </c>
      <c r="F9" s="60">
        <f>SUMIF(63:63,E9,64:64)-SUMIF(63:63,C9,64:64)+100</f>
        <v>100</v>
      </c>
      <c r="G9" s="361" t="s">
        <v>3403</v>
      </c>
      <c r="H9" s="59">
        <f>SUMIF(63:63,G9,64:64)-SUMIF(63:63,C9,64:64)+100</f>
        <v>100</v>
      </c>
      <c r="I9" s="361" t="s">
        <v>3403</v>
      </c>
      <c r="J9" s="59">
        <f>SUMIF(63:63,I9,64:64)-SUMIF(63:63,C9,64:64)+100</f>
        <v>100</v>
      </c>
      <c r="K9" s="1745"/>
      <c r="L9" s="2484"/>
      <c r="M9" s="2436"/>
      <c r="N9" s="2436"/>
      <c r="O9" s="2436"/>
      <c r="P9" s="335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5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f>'土地比较法-住宅、综合'!C11</f>
        <v>1.8</v>
      </c>
      <c r="D11" s="119">
        <v>100</v>
      </c>
      <c r="E11" s="369">
        <f>C11</f>
        <v>1.8</v>
      </c>
      <c r="F11" s="364">
        <f>LOOKUP(E11,68:68,69:69)-LOOKUP(C11,68:68,69:69)+100</f>
        <v>100</v>
      </c>
      <c r="G11" s="368">
        <v>2.2999999999999998</v>
      </c>
      <c r="H11" s="119">
        <f>LOOKUP(G11,68:68,69:69)-LOOKUP(C11,68:68,69:69)+100</f>
        <v>98</v>
      </c>
      <c r="I11" s="368">
        <v>2.2000000000000002</v>
      </c>
      <c r="J11" s="119">
        <f>LOOKUP(I11,68:68,69:69)-LOOKUP(C11,68:68,69:69)+100</f>
        <v>98</v>
      </c>
      <c r="K11" s="365">
        <f>'土地比较法-住宅、综合'!K11</f>
        <v>2</v>
      </c>
      <c r="L11" s="2487"/>
      <c r="M11" s="2483"/>
      <c r="N11" s="2483"/>
      <c r="O11" s="2483"/>
      <c r="P11" s="3358"/>
      <c r="Q11" s="530" t="str">
        <f t="shared" si="6"/>
        <v>容积率</v>
      </c>
      <c r="R11" s="664" t="s">
        <v>18</v>
      </c>
      <c r="S11" s="665">
        <f t="shared" si="0"/>
        <v>100</v>
      </c>
      <c r="T11" s="664" t="s">
        <v>18</v>
      </c>
      <c r="U11" s="665">
        <f t="shared" si="1"/>
        <v>98</v>
      </c>
      <c r="V11" s="664" t="s">
        <v>18</v>
      </c>
      <c r="W11" s="665">
        <f t="shared" si="2"/>
        <v>98</v>
      </c>
      <c r="X11" s="666"/>
      <c r="Y11" s="3259"/>
      <c r="Z11" s="50" t="str">
        <f t="shared" si="7"/>
        <v>容积率</v>
      </c>
      <c r="AA11" s="50">
        <f t="shared" si="3"/>
        <v>1</v>
      </c>
      <c r="AB11" s="50">
        <f t="shared" si="4"/>
        <v>1.0204081632653061</v>
      </c>
      <c r="AC11" s="50">
        <f t="shared" si="5"/>
        <v>1.0204081632653061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58"/>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58"/>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58"/>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42.75">
      <c r="A15" s="379" t="s">
        <v>1690</v>
      </c>
      <c r="B15" s="58" t="s">
        <v>1257</v>
      </c>
      <c r="C15" s="1749" t="str">
        <f>估价对象房地状况!C3</f>
        <v>在建：金地北京壹街区；佰富苑、艺和苑等，一般</v>
      </c>
      <c r="D15" s="380">
        <v>100</v>
      </c>
      <c r="E15" s="383"/>
      <c r="F15" s="380">
        <f>SUMIF(76:76,E16,77:77)-SUMIF(76:76,C16,77:77)+100</f>
        <v>100</v>
      </c>
      <c r="G15" s="3163" t="s">
        <v>3622</v>
      </c>
      <c r="H15" s="380">
        <f>SUMIF(76:76,G16,77:77)-SUMIF(76:76,C16,77:77)+100</f>
        <v>103</v>
      </c>
      <c r="I15" s="3163" t="s">
        <v>3570</v>
      </c>
      <c r="J15" s="380">
        <f>SUMIF(76:76,I16,77:77)-SUMIF(76:76,C16,77:77)+100</f>
        <v>103</v>
      </c>
      <c r="K15" s="384">
        <f>'土地比较法-住宅、综合'!K15</f>
        <v>3</v>
      </c>
      <c r="L15" s="2488"/>
      <c r="M15" s="2483"/>
      <c r="N15" s="2483"/>
      <c r="O15" s="2483"/>
      <c r="P15" s="3428" t="s">
        <v>1691</v>
      </c>
      <c r="Q15" s="1263" t="str">
        <f t="shared" si="6"/>
        <v>居住社区成熟度</v>
      </c>
      <c r="R15" s="667" t="s">
        <v>18</v>
      </c>
      <c r="S15" s="668">
        <f t="shared" si="0"/>
        <v>100</v>
      </c>
      <c r="T15" s="667" t="s">
        <v>18</v>
      </c>
      <c r="U15" s="668">
        <f t="shared" si="1"/>
        <v>103</v>
      </c>
      <c r="V15" s="667" t="s">
        <v>18</v>
      </c>
      <c r="W15" s="668">
        <f t="shared" si="2"/>
        <v>103</v>
      </c>
      <c r="X15" s="1265"/>
      <c r="Y15" s="3360" t="s">
        <v>1691</v>
      </c>
      <c r="Z15" s="1264" t="str">
        <f t="shared" si="7"/>
        <v>居住社区成熟度</v>
      </c>
      <c r="AA15" s="1264">
        <f t="shared" si="3"/>
        <v>1</v>
      </c>
      <c r="AB15" s="1264">
        <f t="shared" si="4"/>
        <v>0.970873786407767</v>
      </c>
      <c r="AC15" s="1264">
        <f t="shared" si="5"/>
        <v>0.970873786407767</v>
      </c>
    </row>
    <row r="16" spans="1:29" ht="15">
      <c r="A16" s="367"/>
      <c r="B16" s="385"/>
      <c r="C16" s="386" t="s">
        <v>3568</v>
      </c>
      <c r="D16" s="387"/>
      <c r="E16" s="1750" t="s">
        <v>3568</v>
      </c>
      <c r="F16" s="387"/>
      <c r="G16" s="1751" t="s">
        <v>3569</v>
      </c>
      <c r="H16" s="389"/>
      <c r="I16" s="1751" t="s">
        <v>3569</v>
      </c>
      <c r="J16" s="387"/>
      <c r="K16" s="1752"/>
      <c r="L16" s="2488"/>
      <c r="M16" s="2483"/>
      <c r="N16" s="2483"/>
      <c r="O16" s="2483"/>
      <c r="P16" s="3429"/>
      <c r="Q16" s="1263"/>
      <c r="R16" s="667"/>
      <c r="S16" s="668"/>
      <c r="T16" s="667"/>
      <c r="U16" s="668"/>
      <c r="V16" s="667"/>
      <c r="W16" s="668"/>
      <c r="X16" s="1265"/>
      <c r="Y16" s="3361"/>
      <c r="Z16" s="1264"/>
      <c r="AA16" s="1264">
        <v>1</v>
      </c>
      <c r="AB16" s="1264">
        <v>1</v>
      </c>
      <c r="AC16" s="1264">
        <v>1</v>
      </c>
    </row>
    <row r="17" spans="1:29" ht="41.25">
      <c r="A17" s="367"/>
      <c r="B17" s="390" t="s">
        <v>1259</v>
      </c>
      <c r="C17" s="1753" t="str">
        <f>估价对象房地状况!C6</f>
        <v>T18\T48，较差</v>
      </c>
      <c r="D17" s="389">
        <v>100</v>
      </c>
      <c r="E17" s="393"/>
      <c r="F17" s="389">
        <f>SUMIF(78:78,E18,79:79)-SUMIF(78:78,C18,79:79)+100</f>
        <v>100</v>
      </c>
      <c r="G17" s="391" t="s">
        <v>3623</v>
      </c>
      <c r="H17" s="394">
        <f>SUMIF(78:78,G18,79:79)-SUMIF(78:78,C18,79:79)+100</f>
        <v>103</v>
      </c>
      <c r="I17" s="391" t="s">
        <v>3572</v>
      </c>
      <c r="J17" s="394">
        <f>SUMIF(78:78,I18,79:79)-SUMIF(78:78,C18,79:79)+100</f>
        <v>106</v>
      </c>
      <c r="K17" s="384">
        <f>'土地比较法-住宅、综合'!K21</f>
        <v>3</v>
      </c>
      <c r="L17" s="1754"/>
      <c r="M17" s="2483"/>
      <c r="N17" s="2483"/>
      <c r="O17" s="2483"/>
      <c r="P17" s="3429"/>
      <c r="Q17" s="1263" t="str">
        <f>B17</f>
        <v>交通便捷度</v>
      </c>
      <c r="R17" s="667" t="s">
        <v>18</v>
      </c>
      <c r="S17" s="668">
        <f>F17</f>
        <v>100</v>
      </c>
      <c r="T17" s="667" t="s">
        <v>18</v>
      </c>
      <c r="U17" s="668">
        <f>H17</f>
        <v>103</v>
      </c>
      <c r="V17" s="667" t="s">
        <v>18</v>
      </c>
      <c r="W17" s="668">
        <f>J17</f>
        <v>106</v>
      </c>
      <c r="X17" s="1265"/>
      <c r="Y17" s="3361"/>
      <c r="Z17" s="1264" t="str">
        <f>Q17</f>
        <v>交通便捷度</v>
      </c>
      <c r="AA17" s="1264">
        <f t="shared" si="3"/>
        <v>1</v>
      </c>
      <c r="AB17" s="1264">
        <f t="shared" si="4"/>
        <v>0.970873786407767</v>
      </c>
      <c r="AC17" s="1264">
        <f t="shared" si="5"/>
        <v>0.94339622641509435</v>
      </c>
    </row>
    <row r="18" spans="1:29" ht="15">
      <c r="A18" s="367"/>
      <c r="B18" s="395"/>
      <c r="C18" s="1754" t="s">
        <v>3571</v>
      </c>
      <c r="D18" s="389"/>
      <c r="E18" s="1754" t="s">
        <v>3571</v>
      </c>
      <c r="F18" s="389"/>
      <c r="G18" s="1754" t="s">
        <v>3568</v>
      </c>
      <c r="H18" s="387"/>
      <c r="I18" s="1754" t="s">
        <v>3569</v>
      </c>
      <c r="J18" s="387"/>
      <c r="K18" s="1752"/>
      <c r="L18" s="2488"/>
      <c r="M18" s="2483"/>
      <c r="N18" s="2483"/>
      <c r="O18" s="2483"/>
      <c r="P18" s="3429"/>
      <c r="Q18" s="1263"/>
      <c r="R18" s="667"/>
      <c r="S18" s="668"/>
      <c r="T18" s="667"/>
      <c r="U18" s="668"/>
      <c r="V18" s="667"/>
      <c r="W18" s="668"/>
      <c r="X18" s="1265"/>
      <c r="Y18" s="3361"/>
      <c r="Z18" s="1264"/>
      <c r="AA18" s="1264">
        <v>1</v>
      </c>
      <c r="AB18" s="1264">
        <v>1</v>
      </c>
      <c r="AC18" s="1264">
        <v>1</v>
      </c>
    </row>
    <row r="19" spans="1:29" ht="94.5">
      <c r="A19" s="367"/>
      <c r="B19" s="390" t="s">
        <v>1258</v>
      </c>
      <c r="C19" s="1753" t="str">
        <f>估价对象房地状况!C7</f>
        <v>新华联生活超市等；北京电影学院培训中心等，较差</v>
      </c>
      <c r="D19" s="394">
        <v>100</v>
      </c>
      <c r="E19" s="398"/>
      <c r="F19" s="394">
        <f>SUMIF(80:80,E20,81:81)-SUMIF(80:80,C20,81:81)+100</f>
        <v>100</v>
      </c>
      <c r="G19" s="3164" t="s">
        <v>3624</v>
      </c>
      <c r="H19" s="389">
        <f>SUMIF(80:80,G20,81:81)-SUMIF(80:80,C20,81:81)+100</f>
        <v>102</v>
      </c>
      <c r="I19" s="3164" t="s">
        <v>3574</v>
      </c>
      <c r="J19" s="389">
        <f>SUMIF(80:80,I20,81:81)-SUMIF(80:80,C20,81:81)+100</f>
        <v>104</v>
      </c>
      <c r="K19" s="384">
        <f>'土地比较法-住宅、综合'!K27</f>
        <v>2</v>
      </c>
      <c r="L19" s="2488"/>
      <c r="M19" s="2483"/>
      <c r="N19" s="2483"/>
      <c r="O19" s="2483"/>
      <c r="P19" s="3429"/>
      <c r="Q19" s="1263" t="str">
        <f>B19</f>
        <v>公共配套设施</v>
      </c>
      <c r="R19" s="667" t="s">
        <v>18</v>
      </c>
      <c r="S19" s="668">
        <f>F19</f>
        <v>100</v>
      </c>
      <c r="T19" s="667" t="s">
        <v>18</v>
      </c>
      <c r="U19" s="668">
        <f>H19</f>
        <v>102</v>
      </c>
      <c r="V19" s="667" t="s">
        <v>18</v>
      </c>
      <c r="W19" s="668">
        <f>J19</f>
        <v>104</v>
      </c>
      <c r="X19" s="1265"/>
      <c r="Y19" s="3361"/>
      <c r="Z19" s="1264" t="str">
        <f>Q19</f>
        <v>公共配套设施</v>
      </c>
      <c r="AA19" s="1264">
        <f t="shared" si="3"/>
        <v>1</v>
      </c>
      <c r="AB19" s="1264">
        <f t="shared" si="4"/>
        <v>0.98039215686274506</v>
      </c>
      <c r="AC19" s="1264">
        <f t="shared" si="5"/>
        <v>0.96153846153846156</v>
      </c>
    </row>
    <row r="20" spans="1:29" ht="15">
      <c r="A20" s="367"/>
      <c r="B20" s="395"/>
      <c r="C20" s="386" t="s">
        <v>3571</v>
      </c>
      <c r="D20" s="387"/>
      <c r="E20" s="386" t="s">
        <v>3571</v>
      </c>
      <c r="F20" s="387"/>
      <c r="G20" s="1751" t="s">
        <v>3568</v>
      </c>
      <c r="H20" s="387"/>
      <c r="I20" s="1751" t="s">
        <v>3569</v>
      </c>
      <c r="J20" s="387"/>
      <c r="K20" s="1752"/>
      <c r="L20" s="2488"/>
      <c r="M20" s="2483"/>
      <c r="N20" s="2483"/>
      <c r="O20" s="2483"/>
      <c r="P20" s="3429"/>
      <c r="Q20" s="1263"/>
      <c r="R20" s="667"/>
      <c r="S20" s="668"/>
      <c r="T20" s="667"/>
      <c r="U20" s="668"/>
      <c r="V20" s="667"/>
      <c r="W20" s="668"/>
      <c r="X20" s="1265"/>
      <c r="Y20" s="3361"/>
      <c r="Z20" s="1264"/>
      <c r="AA20" s="1264">
        <v>1</v>
      </c>
      <c r="AB20" s="1264">
        <v>1</v>
      </c>
      <c r="AC20" s="1264">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v>1</v>
      </c>
      <c r="L21" s="2488"/>
      <c r="M21" s="2483"/>
      <c r="N21" s="2483"/>
      <c r="O21" s="2483"/>
      <c r="P21" s="3429"/>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4" t="s">
        <v>3409</v>
      </c>
      <c r="D22" s="387"/>
      <c r="E22" s="1754" t="s">
        <v>3409</v>
      </c>
      <c r="F22" s="387"/>
      <c r="G22" s="1754" t="s">
        <v>3409</v>
      </c>
      <c r="H22" s="387"/>
      <c r="I22" s="1754" t="s">
        <v>3409</v>
      </c>
      <c r="J22" s="387"/>
      <c r="K22" s="1758"/>
      <c r="L22" s="2488"/>
      <c r="M22" s="2483"/>
      <c r="N22" s="2483"/>
      <c r="O22" s="2483"/>
      <c r="P22" s="3429"/>
      <c r="Q22" s="1263"/>
      <c r="R22" s="667"/>
      <c r="S22" s="668"/>
      <c r="T22" s="667"/>
      <c r="U22" s="668"/>
      <c r="V22" s="667"/>
      <c r="W22" s="668"/>
      <c r="X22" s="1265"/>
      <c r="Y22" s="3361"/>
      <c r="Z22" s="1264"/>
      <c r="AA22" s="1264">
        <v>1</v>
      </c>
      <c r="AB22" s="1264">
        <v>1</v>
      </c>
      <c r="AC22" s="1264">
        <v>1</v>
      </c>
    </row>
    <row r="23" spans="1:29" ht="42.75">
      <c r="A23" s="367"/>
      <c r="B23" s="390" t="s">
        <v>1261</v>
      </c>
      <c r="C23" s="1753" t="str">
        <f>估价对象房地状况!C9</f>
        <v>区域自然环境：；人文环境：北塘艺术区；综合评价环境状况一般</v>
      </c>
      <c r="D23" s="389">
        <v>100</v>
      </c>
      <c r="E23" s="393"/>
      <c r="F23" s="389">
        <f>SUMIF(84:84,E24,85:85)-SUMIF(84:84,C24,85:85)+100</f>
        <v>100</v>
      </c>
      <c r="G23" s="3164" t="s">
        <v>3625</v>
      </c>
      <c r="H23" s="389">
        <f>SUMIF(84:84,G24,85:85)-SUMIF(84:84,C24,85:85)+100</f>
        <v>102</v>
      </c>
      <c r="I23" s="3164" t="s">
        <v>3573</v>
      </c>
      <c r="J23" s="389">
        <f>SUMIF(84:84,I24,85:85)-SUMIF(84:84,C24,85:85)+100</f>
        <v>102</v>
      </c>
      <c r="K23" s="384">
        <f>'土地比较法-住宅、综合'!K25</f>
        <v>2</v>
      </c>
      <c r="L23" s="2488"/>
      <c r="M23" s="2483"/>
      <c r="N23" s="2483"/>
      <c r="O23" s="2483"/>
      <c r="P23" s="3429"/>
      <c r="Q23" s="1263" t="str">
        <f>B23</f>
        <v>自然及人文环境</v>
      </c>
      <c r="R23" s="667" t="s">
        <v>18</v>
      </c>
      <c r="S23" s="668">
        <f>F23</f>
        <v>100</v>
      </c>
      <c r="T23" s="667" t="s">
        <v>18</v>
      </c>
      <c r="U23" s="668">
        <f>H23</f>
        <v>102</v>
      </c>
      <c r="V23" s="667" t="s">
        <v>18</v>
      </c>
      <c r="W23" s="668">
        <f>J23</f>
        <v>102</v>
      </c>
      <c r="X23" s="1265"/>
      <c r="Y23" s="3361"/>
      <c r="Z23" s="1264" t="str">
        <f>Q23</f>
        <v>自然及人文环境</v>
      </c>
      <c r="AA23" s="1264">
        <f>D23/F23</f>
        <v>1</v>
      </c>
      <c r="AB23" s="1264">
        <f>D23/H23</f>
        <v>0.98039215686274506</v>
      </c>
      <c r="AC23" s="1264">
        <f>D23/J23</f>
        <v>0.98039215686274506</v>
      </c>
    </row>
    <row r="24" spans="1:29" ht="15">
      <c r="A24" s="367"/>
      <c r="B24" s="395"/>
      <c r="C24" s="386" t="s">
        <v>3568</v>
      </c>
      <c r="D24" s="387"/>
      <c r="E24" s="386" t="s">
        <v>3568</v>
      </c>
      <c r="F24" s="387"/>
      <c r="G24" s="1751" t="s">
        <v>3569</v>
      </c>
      <c r="H24" s="387"/>
      <c r="I24" s="1751" t="s">
        <v>3569</v>
      </c>
      <c r="J24" s="387"/>
      <c r="K24" s="1752"/>
      <c r="L24" s="2488"/>
      <c r="M24" s="2483"/>
      <c r="N24" s="2483"/>
      <c r="O24" s="2483"/>
      <c r="P24" s="3429"/>
      <c r="Q24" s="1263"/>
      <c r="R24" s="667"/>
      <c r="S24" s="668"/>
      <c r="T24" s="667"/>
      <c r="U24" s="668"/>
      <c r="V24" s="667"/>
      <c r="W24" s="668"/>
      <c r="X24" s="1265"/>
      <c r="Y24" s="3361"/>
      <c r="Z24" s="1264"/>
      <c r="AA24" s="1264">
        <v>1</v>
      </c>
      <c r="AB24" s="1264">
        <v>1</v>
      </c>
      <c r="AC24" s="1264">
        <v>1</v>
      </c>
    </row>
    <row r="25" spans="1:29" ht="15">
      <c r="A25" s="367"/>
      <c r="B25" s="364" t="s">
        <v>1692</v>
      </c>
      <c r="C25" s="399" t="s">
        <v>3610</v>
      </c>
      <c r="D25" s="374">
        <v>100</v>
      </c>
      <c r="E25" s="1759" t="s">
        <v>3609</v>
      </c>
      <c r="F25" s="374">
        <f>SUMIF(86:86,E25,87:87)-SUMIF(86:86,C25,87:87)+100</f>
        <v>100</v>
      </c>
      <c r="G25" s="1759" t="s">
        <v>3609</v>
      </c>
      <c r="H25" s="374">
        <f>SUMIF(86:86,G25,87:87)-SUMIF(86:86,C25,87:87)+100</f>
        <v>100</v>
      </c>
      <c r="I25" s="1759" t="s">
        <v>3609</v>
      </c>
      <c r="J25" s="374">
        <f>SUMIF(86:86,I25,87:87)-SUMIF(86:86,C25,87:87)+100</f>
        <v>100</v>
      </c>
      <c r="K25" s="365"/>
      <c r="L25" s="2488"/>
      <c r="M25" s="2483"/>
      <c r="N25" s="2483"/>
      <c r="O25" s="2483"/>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29"/>
      <c r="Q26" s="1263" t="str">
        <f t="shared" si="11"/>
        <v>朝向</v>
      </c>
      <c r="R26" s="667" t="s">
        <v>18</v>
      </c>
      <c r="S26" s="668">
        <f t="shared" si="12"/>
        <v>100</v>
      </c>
      <c r="T26" s="667" t="s">
        <v>18</v>
      </c>
      <c r="U26" s="668">
        <f t="shared" si="13"/>
        <v>100</v>
      </c>
      <c r="V26" s="667" t="s">
        <v>18</v>
      </c>
      <c r="W26" s="668">
        <f t="shared" si="14"/>
        <v>100</v>
      </c>
      <c r="X26" s="1265"/>
      <c r="Y26" s="3361"/>
      <c r="Z26" s="1264" t="str">
        <f>Q26</f>
        <v>朝向</v>
      </c>
      <c r="AA26" s="1264">
        <f t="shared" si="15"/>
        <v>1</v>
      </c>
      <c r="AB26" s="1264">
        <f t="shared" si="16"/>
        <v>1</v>
      </c>
      <c r="AC26" s="1264">
        <f t="shared" si="17"/>
        <v>1</v>
      </c>
    </row>
    <row r="27" spans="1:29" s="102" customFormat="1" ht="15">
      <c r="A27" s="370"/>
      <c r="B27" s="3166" t="s">
        <v>3614</v>
      </c>
      <c r="C27" s="3167" t="s">
        <v>3613</v>
      </c>
      <c r="D27" s="401">
        <v>100</v>
      </c>
      <c r="E27" s="3168" t="s">
        <v>3612</v>
      </c>
      <c r="F27" s="401">
        <f>SUMIF(90:90,E27,91:91)-SUMIF(90:90,C27,91:91)+100</f>
        <v>102</v>
      </c>
      <c r="G27" s="3168" t="s">
        <v>3612</v>
      </c>
      <c r="H27" s="401">
        <f>SUMIF(90:90,G27,91:91)-SUMIF(90:90,C27,91:91)+100</f>
        <v>102</v>
      </c>
      <c r="I27" s="3167" t="s">
        <v>3613</v>
      </c>
      <c r="J27" s="401">
        <f>SUMIF(90:90,I27,91:91)-SUMIF(90:90,C27,91:91)+100</f>
        <v>100</v>
      </c>
      <c r="K27" s="1747"/>
      <c r="L27" s="2484"/>
      <c r="M27" s="2436"/>
      <c r="N27" s="2436"/>
      <c r="O27" s="2436"/>
      <c r="P27" s="3429"/>
      <c r="Q27" s="530" t="str">
        <f t="shared" si="11"/>
        <v>楼层</v>
      </c>
      <c r="R27" s="664" t="s">
        <v>18</v>
      </c>
      <c r="S27" s="665">
        <f t="shared" si="12"/>
        <v>102</v>
      </c>
      <c r="T27" s="664" t="s">
        <v>18</v>
      </c>
      <c r="U27" s="665">
        <f t="shared" si="13"/>
        <v>102</v>
      </c>
      <c r="V27" s="664" t="s">
        <v>18</v>
      </c>
      <c r="W27" s="665">
        <f t="shared" si="14"/>
        <v>100</v>
      </c>
      <c r="X27" s="666"/>
      <c r="Y27" s="3361"/>
      <c r="Z27" s="50" t="str">
        <f>Q27</f>
        <v>楼层</v>
      </c>
      <c r="AA27" s="1264">
        <f t="shared" si="15"/>
        <v>0.98039215686274506</v>
      </c>
      <c r="AB27" s="1264">
        <f t="shared" si="16"/>
        <v>0.98039215686274506</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29"/>
      <c r="Q28" s="1263">
        <f t="shared" si="11"/>
        <v>111</v>
      </c>
      <c r="R28" s="667" t="s">
        <v>18</v>
      </c>
      <c r="S28" s="668">
        <f t="shared" si="12"/>
        <v>100</v>
      </c>
      <c r="T28" s="667" t="s">
        <v>18</v>
      </c>
      <c r="U28" s="668">
        <f t="shared" si="13"/>
        <v>100</v>
      </c>
      <c r="V28" s="667" t="s">
        <v>18</v>
      </c>
      <c r="W28" s="668">
        <f t="shared" si="14"/>
        <v>100</v>
      </c>
      <c r="X28" s="1265"/>
      <c r="Y28" s="336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29"/>
      <c r="Q29" s="1263">
        <f t="shared" si="11"/>
        <v>111</v>
      </c>
      <c r="R29" s="667" t="s">
        <v>18</v>
      </c>
      <c r="S29" s="668">
        <f t="shared" si="12"/>
        <v>100</v>
      </c>
      <c r="T29" s="667" t="s">
        <v>18</v>
      </c>
      <c r="U29" s="668">
        <f t="shared" si="13"/>
        <v>100</v>
      </c>
      <c r="V29" s="667" t="s">
        <v>18</v>
      </c>
      <c r="W29" s="668">
        <f t="shared" si="14"/>
        <v>100</v>
      </c>
      <c r="X29" s="1265"/>
      <c r="Y29" s="336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29"/>
      <c r="Q30" s="1263">
        <f t="shared" si="11"/>
        <v>111</v>
      </c>
      <c r="R30" s="667" t="s">
        <v>18</v>
      </c>
      <c r="S30" s="668">
        <f t="shared" si="12"/>
        <v>100</v>
      </c>
      <c r="T30" s="667" t="s">
        <v>18</v>
      </c>
      <c r="U30" s="668">
        <f t="shared" si="13"/>
        <v>100</v>
      </c>
      <c r="V30" s="667" t="s">
        <v>18</v>
      </c>
      <c r="W30" s="668">
        <f t="shared" si="14"/>
        <v>100</v>
      </c>
      <c r="X30" s="1265"/>
      <c r="Y30" s="336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29"/>
      <c r="Q31" s="1263">
        <f t="shared" si="11"/>
        <v>111</v>
      </c>
      <c r="R31" s="667" t="s">
        <v>18</v>
      </c>
      <c r="S31" s="668">
        <f t="shared" si="12"/>
        <v>100</v>
      </c>
      <c r="T31" s="667" t="s">
        <v>18</v>
      </c>
      <c r="U31" s="668">
        <f t="shared" si="13"/>
        <v>100</v>
      </c>
      <c r="V31" s="667" t="s">
        <v>18</v>
      </c>
      <c r="W31" s="668">
        <f t="shared" si="14"/>
        <v>100</v>
      </c>
      <c r="X31" s="1265"/>
      <c r="Y31" s="3361"/>
      <c r="Z31" s="1264">
        <f t="shared" si="18"/>
        <v>111</v>
      </c>
      <c r="AA31" s="1264">
        <f t="shared" si="15"/>
        <v>1</v>
      </c>
      <c r="AB31" s="1264">
        <f t="shared" si="16"/>
        <v>1</v>
      </c>
      <c r="AC31" s="1264">
        <f t="shared" si="17"/>
        <v>1</v>
      </c>
    </row>
    <row r="32" spans="1:29" ht="15">
      <c r="A32" s="379" t="s">
        <v>1694</v>
      </c>
      <c r="B32" s="60" t="s">
        <v>1695</v>
      </c>
      <c r="C32" s="1763" t="s">
        <v>3626</v>
      </c>
      <c r="D32" s="405">
        <v>100</v>
      </c>
      <c r="E32" s="1764" t="s">
        <v>3626</v>
      </c>
      <c r="F32" s="400">
        <f>SUMIF(100:100,E32,101:101)-SUMIF(100:100,C32,101:101)+100</f>
        <v>100</v>
      </c>
      <c r="G32" s="1763" t="s">
        <v>3591</v>
      </c>
      <c r="H32" s="405">
        <f>SUMIF(100:100,G32,101:101)-SUMIF(100:100,C32,101:101)+100</f>
        <v>94</v>
      </c>
      <c r="I32" s="1764" t="s">
        <v>3591</v>
      </c>
      <c r="J32" s="374">
        <f>SUMIF(100:100,I32,101:101)-SUMIF(100:100,C32,101:101)+100</f>
        <v>94</v>
      </c>
      <c r="K32" s="365">
        <v>3</v>
      </c>
      <c r="L32" s="2488"/>
      <c r="M32" s="2483"/>
      <c r="N32" s="2483"/>
      <c r="O32" s="2483"/>
      <c r="P32" s="3424" t="s">
        <v>1696</v>
      </c>
      <c r="Q32" s="1263" t="str">
        <f t="shared" si="11"/>
        <v>建筑类型</v>
      </c>
      <c r="R32" s="667" t="s">
        <v>18</v>
      </c>
      <c r="S32" s="668">
        <f t="shared" si="12"/>
        <v>100</v>
      </c>
      <c r="T32" s="667" t="s">
        <v>18</v>
      </c>
      <c r="U32" s="668">
        <f t="shared" si="13"/>
        <v>94</v>
      </c>
      <c r="V32" s="667" t="s">
        <v>18</v>
      </c>
      <c r="W32" s="668">
        <f t="shared" si="14"/>
        <v>94</v>
      </c>
      <c r="X32" s="1265"/>
      <c r="Y32" s="3363" t="s">
        <v>1696</v>
      </c>
      <c r="Z32" s="1264" t="str">
        <f t="shared" si="18"/>
        <v>建筑类型</v>
      </c>
      <c r="AA32" s="1264">
        <f t="shared" si="15"/>
        <v>1</v>
      </c>
      <c r="AB32" s="1264">
        <f t="shared" si="16"/>
        <v>1.0638297872340425</v>
      </c>
      <c r="AC32" s="1264">
        <f t="shared" si="17"/>
        <v>1.0638297872340425</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7"/>
      <c r="M33" s="2489"/>
      <c r="N33" s="2489"/>
      <c r="O33" s="2489"/>
      <c r="P33" s="3425"/>
      <c r="Q33" s="531" t="str">
        <f t="shared" si="11"/>
        <v>项目建筑规模</v>
      </c>
      <c r="R33" s="669" t="s">
        <v>18</v>
      </c>
      <c r="S33" s="670">
        <f t="shared" si="12"/>
        <v>100</v>
      </c>
      <c r="T33" s="669" t="s">
        <v>18</v>
      </c>
      <c r="U33" s="670">
        <f t="shared" si="13"/>
        <v>100</v>
      </c>
      <c r="V33" s="669" t="s">
        <v>18</v>
      </c>
      <c r="W33" s="670">
        <f t="shared" si="14"/>
        <v>100</v>
      </c>
      <c r="X33" s="671"/>
      <c r="Y33" s="3363"/>
      <c r="Z33" s="672" t="str">
        <f t="shared" si="18"/>
        <v>项目建筑规模</v>
      </c>
      <c r="AA33" s="1264">
        <f t="shared" si="15"/>
        <v>1</v>
      </c>
      <c r="AB33" s="1264">
        <f t="shared" si="16"/>
        <v>1</v>
      </c>
      <c r="AC33" s="1264">
        <f t="shared" si="17"/>
        <v>1</v>
      </c>
    </row>
    <row r="34" spans="1:29" ht="15">
      <c r="A34" s="409"/>
      <c r="B34" s="364" t="s">
        <v>1698</v>
      </c>
      <c r="C34" s="399" t="s">
        <v>3615</v>
      </c>
      <c r="D34" s="374">
        <v>100</v>
      </c>
      <c r="E34" s="399" t="s">
        <v>3615</v>
      </c>
      <c r="F34" s="400">
        <f>SUMIF(105:105,E34,106:106)-SUMIF(105:105,C34,106:106)+100</f>
        <v>100</v>
      </c>
      <c r="G34" s="399" t="s">
        <v>3615</v>
      </c>
      <c r="H34" s="374">
        <f>SUMIF(105:105,G34,106:106)-SUMIF(105:105,C34,106:106)+100</f>
        <v>100</v>
      </c>
      <c r="I34" s="399" t="s">
        <v>3615</v>
      </c>
      <c r="J34" s="374">
        <f>SUMIF(105:105,I34,106:106)-SUMIF(105:105,C34,106:106)+100</f>
        <v>100</v>
      </c>
      <c r="K34" s="365">
        <v>2</v>
      </c>
      <c r="L34" s="2488"/>
      <c r="M34" s="2483"/>
      <c r="N34" s="2483"/>
      <c r="O34" s="2483"/>
      <c r="P34" s="3425"/>
      <c r="Q34" s="1263" t="str">
        <f t="shared" si="11"/>
        <v>建筑结构</v>
      </c>
      <c r="R34" s="667" t="s">
        <v>18</v>
      </c>
      <c r="S34" s="668">
        <f t="shared" si="12"/>
        <v>100</v>
      </c>
      <c r="T34" s="667" t="s">
        <v>18</v>
      </c>
      <c r="U34" s="668">
        <f t="shared" si="13"/>
        <v>100</v>
      </c>
      <c r="V34" s="667" t="s">
        <v>18</v>
      </c>
      <c r="W34" s="668">
        <f t="shared" si="14"/>
        <v>100</v>
      </c>
      <c r="X34" s="1265"/>
      <c r="Y34" s="3363"/>
      <c r="Z34" s="1264" t="str">
        <f t="shared" si="18"/>
        <v>建筑结构</v>
      </c>
      <c r="AA34" s="1264">
        <f t="shared" si="15"/>
        <v>1</v>
      </c>
      <c r="AB34" s="1264">
        <f t="shared" si="16"/>
        <v>1</v>
      </c>
      <c r="AC34" s="1264">
        <f t="shared" si="17"/>
        <v>1</v>
      </c>
    </row>
    <row r="35" spans="1:29" ht="15">
      <c r="A35" s="409"/>
      <c r="B35" s="364" t="s">
        <v>1699</v>
      </c>
      <c r="C35" s="1760" t="s">
        <v>3616</v>
      </c>
      <c r="D35" s="374">
        <v>100</v>
      </c>
      <c r="E35" s="1760" t="s">
        <v>3616</v>
      </c>
      <c r="F35" s="400">
        <f>SUMIF(107:107,E35,108:108)-SUMIF(107:107,C35,108:108)+100</f>
        <v>100</v>
      </c>
      <c r="G35" s="1760" t="s">
        <v>3616</v>
      </c>
      <c r="H35" s="374">
        <f>SUMIF(107:107,G35,108:108)-SUMIF(107:107,C35,108:108)+100</f>
        <v>100</v>
      </c>
      <c r="I35" s="1760" t="s">
        <v>3616</v>
      </c>
      <c r="J35" s="374">
        <f>SUMIF(107:107,I35,108:108)-SUMIF(107:107,C35,108:108)+100</f>
        <v>100</v>
      </c>
      <c r="K35" s="365">
        <v>5</v>
      </c>
      <c r="L35" s="2488"/>
      <c r="M35" s="2483"/>
      <c r="N35" s="2483"/>
      <c r="O35" s="2483"/>
      <c r="P35" s="3425"/>
      <c r="Q35" s="1263" t="str">
        <f t="shared" si="11"/>
        <v>建筑品质</v>
      </c>
      <c r="R35" s="667" t="s">
        <v>18</v>
      </c>
      <c r="S35" s="668">
        <f t="shared" si="12"/>
        <v>100</v>
      </c>
      <c r="T35" s="667" t="s">
        <v>18</v>
      </c>
      <c r="U35" s="668">
        <f t="shared" si="13"/>
        <v>100</v>
      </c>
      <c r="V35" s="667" t="s">
        <v>18</v>
      </c>
      <c r="W35" s="668">
        <f t="shared" si="14"/>
        <v>100</v>
      </c>
      <c r="X35" s="1265"/>
      <c r="Y35" s="3363"/>
      <c r="Z35" s="1264" t="str">
        <f t="shared" si="18"/>
        <v>建筑品质</v>
      </c>
      <c r="AA35" s="1264">
        <f t="shared" si="15"/>
        <v>1</v>
      </c>
      <c r="AB35" s="1264">
        <f t="shared" si="16"/>
        <v>1</v>
      </c>
      <c r="AC35" s="1264">
        <f t="shared" si="17"/>
        <v>1</v>
      </c>
    </row>
    <row r="36" spans="1:29" ht="15">
      <c r="A36" s="409"/>
      <c r="B36" s="364" t="s">
        <v>1700</v>
      </c>
      <c r="C36" s="1760" t="s">
        <v>3617</v>
      </c>
      <c r="D36" s="374">
        <v>100</v>
      </c>
      <c r="E36" s="1760" t="s">
        <v>3617</v>
      </c>
      <c r="F36" s="400">
        <f>SUMIF(109:109,E36,110:110)-SUMIF(109:109,C36,110:110)+100</f>
        <v>100</v>
      </c>
      <c r="G36" s="1760" t="s">
        <v>3617</v>
      </c>
      <c r="H36" s="374">
        <f>SUMIF(109:109,G36,110:110)-SUMIF(109:109,C36,110:110)+100</f>
        <v>100</v>
      </c>
      <c r="I36" s="1760" t="s">
        <v>3617</v>
      </c>
      <c r="J36" s="374">
        <f>SUMIF(109:109,I36,110:110)-SUMIF(109:109,C36,110:110)+100</f>
        <v>100</v>
      </c>
      <c r="K36" s="365">
        <v>2</v>
      </c>
      <c r="L36" s="2488"/>
      <c r="M36" s="2483"/>
      <c r="N36" s="2483"/>
      <c r="O36" s="2483"/>
      <c r="P36" s="3425"/>
      <c r="Q36" s="1263" t="str">
        <f t="shared" si="11"/>
        <v>公共部分装修</v>
      </c>
      <c r="R36" s="667" t="s">
        <v>18</v>
      </c>
      <c r="S36" s="668">
        <f t="shared" si="12"/>
        <v>100</v>
      </c>
      <c r="T36" s="667" t="s">
        <v>18</v>
      </c>
      <c r="U36" s="668">
        <f t="shared" si="13"/>
        <v>100</v>
      </c>
      <c r="V36" s="667" t="s">
        <v>18</v>
      </c>
      <c r="W36" s="668">
        <f t="shared" si="14"/>
        <v>100</v>
      </c>
      <c r="X36" s="1265"/>
      <c r="Y36" s="3363"/>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4"/>
      <c r="M37" s="2436"/>
      <c r="N37" s="2436"/>
      <c r="O37" s="2436"/>
      <c r="P37" s="3425"/>
      <c r="Q37" s="530" t="str">
        <f t="shared" si="11"/>
        <v>成新度</v>
      </c>
      <c r="R37" s="664" t="s">
        <v>18</v>
      </c>
      <c r="S37" s="665">
        <f t="shared" si="12"/>
        <v>100</v>
      </c>
      <c r="T37" s="664" t="s">
        <v>18</v>
      </c>
      <c r="U37" s="665">
        <f t="shared" si="13"/>
        <v>100</v>
      </c>
      <c r="V37" s="664" t="s">
        <v>18</v>
      </c>
      <c r="W37" s="665">
        <f t="shared" si="14"/>
        <v>100</v>
      </c>
      <c r="X37" s="666"/>
      <c r="Y37" s="3363"/>
      <c r="Z37" s="50" t="str">
        <f t="shared" si="18"/>
        <v>成新度</v>
      </c>
      <c r="AA37" s="50">
        <f t="shared" si="15"/>
        <v>1</v>
      </c>
      <c r="AB37" s="50">
        <f t="shared" si="16"/>
        <v>1</v>
      </c>
      <c r="AC37" s="50">
        <f t="shared" si="17"/>
        <v>1</v>
      </c>
    </row>
    <row r="38" spans="1:29" ht="15">
      <c r="A38" s="409"/>
      <c r="B38" s="364" t="s">
        <v>1702</v>
      </c>
      <c r="C38" s="1760" t="s">
        <v>3618</v>
      </c>
      <c r="D38" s="374">
        <v>100</v>
      </c>
      <c r="E38" s="1760" t="s">
        <v>3618</v>
      </c>
      <c r="F38" s="400">
        <f>SUMIF(114:114,E38,115:115)-SUMIF(114:114,C38,115:115)+100</f>
        <v>100</v>
      </c>
      <c r="G38" s="1760" t="s">
        <v>3618</v>
      </c>
      <c r="H38" s="374">
        <f>SUMIF(114:114,G38,115:115)-SUMIF(114:114,C38,115:115)+100</f>
        <v>100</v>
      </c>
      <c r="I38" s="1760" t="s">
        <v>3618</v>
      </c>
      <c r="J38" s="374">
        <f>SUMIF(114:114,I38,115:115)-SUMIF(114:114,C38,115:115)+100</f>
        <v>100</v>
      </c>
      <c r="K38" s="365">
        <v>2</v>
      </c>
      <c r="L38" s="2488"/>
      <c r="M38" s="2483"/>
      <c r="N38" s="2483"/>
      <c r="O38" s="2483"/>
      <c r="P38" s="3425" t="s">
        <v>1696</v>
      </c>
      <c r="Q38" s="1263" t="str">
        <f t="shared" si="11"/>
        <v>物业管理</v>
      </c>
      <c r="R38" s="667" t="s">
        <v>18</v>
      </c>
      <c r="S38" s="668">
        <f t="shared" si="12"/>
        <v>100</v>
      </c>
      <c r="T38" s="667" t="s">
        <v>18</v>
      </c>
      <c r="U38" s="668">
        <f t="shared" si="13"/>
        <v>100</v>
      </c>
      <c r="V38" s="667" t="s">
        <v>18</v>
      </c>
      <c r="W38" s="668">
        <f t="shared" si="14"/>
        <v>100</v>
      </c>
      <c r="X38" s="1265"/>
      <c r="Y38" s="3363" t="s">
        <v>1696</v>
      </c>
      <c r="Z38" s="1264" t="str">
        <f t="shared" si="18"/>
        <v>物业管理</v>
      </c>
      <c r="AA38" s="1264">
        <f t="shared" si="15"/>
        <v>1</v>
      </c>
      <c r="AB38" s="1264">
        <f t="shared" si="16"/>
        <v>1</v>
      </c>
      <c r="AC38" s="1264">
        <f t="shared" si="17"/>
        <v>1</v>
      </c>
    </row>
    <row r="39" spans="1:29" ht="15">
      <c r="A39" s="409"/>
      <c r="B39" s="364" t="s">
        <v>1703</v>
      </c>
      <c r="C39" s="1760" t="s">
        <v>3409</v>
      </c>
      <c r="D39" s="374">
        <v>100</v>
      </c>
      <c r="E39" s="1760" t="s">
        <v>3409</v>
      </c>
      <c r="F39" s="400">
        <f>SUMIF(116:116,E39,117:117)-SUMIF(116:116,C39,117:117)+100</f>
        <v>100</v>
      </c>
      <c r="G39" s="1760" t="s">
        <v>3409</v>
      </c>
      <c r="H39" s="374">
        <f>SUMIF(116:116,G39,117:117)-SUMIF(116:116,C39,117:117)+100</f>
        <v>100</v>
      </c>
      <c r="I39" s="1760" t="s">
        <v>3409</v>
      </c>
      <c r="J39" s="374">
        <f>SUMIF(116:116,I39,117:117)-SUMIF(116:116,C39,117:117)+100</f>
        <v>100</v>
      </c>
      <c r="K39" s="365">
        <v>1</v>
      </c>
      <c r="L39" s="2488"/>
      <c r="M39" s="2483"/>
      <c r="N39" s="2483"/>
      <c r="O39" s="2483"/>
      <c r="P39" s="3425"/>
      <c r="Q39" s="1263" t="str">
        <f t="shared" si="11"/>
        <v>市政基础设施</v>
      </c>
      <c r="R39" s="667" t="s">
        <v>18</v>
      </c>
      <c r="S39" s="668">
        <f t="shared" si="12"/>
        <v>100</v>
      </c>
      <c r="T39" s="667" t="s">
        <v>18</v>
      </c>
      <c r="U39" s="668">
        <f t="shared" si="13"/>
        <v>100</v>
      </c>
      <c r="V39" s="667" t="s">
        <v>18</v>
      </c>
      <c r="W39" s="668">
        <f t="shared" si="14"/>
        <v>100</v>
      </c>
      <c r="X39" s="1265"/>
      <c r="Y39" s="3363"/>
      <c r="Z39" s="1264" t="str">
        <f t="shared" si="18"/>
        <v>市政基础设施</v>
      </c>
      <c r="AA39" s="1264">
        <f t="shared" si="15"/>
        <v>1</v>
      </c>
      <c r="AB39" s="1264">
        <f t="shared" si="16"/>
        <v>1</v>
      </c>
      <c r="AC39" s="1264">
        <f t="shared" si="17"/>
        <v>1</v>
      </c>
    </row>
    <row r="40" spans="1:29" ht="15">
      <c r="A40" s="409"/>
      <c r="B40" s="364" t="s">
        <v>1704</v>
      </c>
      <c r="C40" s="1759"/>
      <c r="D40" s="374">
        <v>100</v>
      </c>
      <c r="E40" s="1759"/>
      <c r="F40" s="400">
        <f>SUMIF(118:118,E40,119:119)-SUMIF(118:118,C40,119:119)+100</f>
        <v>100</v>
      </c>
      <c r="G40" s="1759"/>
      <c r="H40" s="374">
        <f>SUMIF(118:118,G40,119:119)-SUMIF(118:118,C40,119:119)+100</f>
        <v>100</v>
      </c>
      <c r="I40" s="1759"/>
      <c r="J40" s="374">
        <f>SUMIF(118:118,I40,119:119)-SUMIF(118:118,C40,119:119)+100</f>
        <v>100</v>
      </c>
      <c r="K40" s="365"/>
      <c r="L40" s="2488"/>
      <c r="M40" s="2483"/>
      <c r="N40" s="2483"/>
      <c r="O40" s="2483"/>
      <c r="P40" s="3425"/>
      <c r="Q40" s="1263" t="str">
        <f t="shared" si="11"/>
        <v>房型</v>
      </c>
      <c r="R40" s="667" t="s">
        <v>18</v>
      </c>
      <c r="S40" s="668">
        <f t="shared" si="12"/>
        <v>100</v>
      </c>
      <c r="T40" s="667" t="s">
        <v>18</v>
      </c>
      <c r="U40" s="668">
        <f t="shared" si="13"/>
        <v>100</v>
      </c>
      <c r="V40" s="667" t="s">
        <v>18</v>
      </c>
      <c r="W40" s="668">
        <f t="shared" si="14"/>
        <v>100</v>
      </c>
      <c r="X40" s="1265"/>
      <c r="Y40" s="3363"/>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7"/>
      <c r="L41" s="2487"/>
      <c r="M41" s="2489"/>
      <c r="N41" s="2489"/>
      <c r="O41" s="2489"/>
      <c r="P41" s="3425"/>
      <c r="Q41" s="531" t="str">
        <f t="shared" si="11"/>
        <v>单套/主力户型建筑面积</v>
      </c>
      <c r="R41" s="669" t="s">
        <v>18</v>
      </c>
      <c r="S41" s="670">
        <f t="shared" si="12"/>
        <v>100</v>
      </c>
      <c r="T41" s="669" t="s">
        <v>18</v>
      </c>
      <c r="U41" s="670">
        <f t="shared" si="13"/>
        <v>100</v>
      </c>
      <c r="V41" s="669" t="s">
        <v>18</v>
      </c>
      <c r="W41" s="670">
        <f t="shared" si="14"/>
        <v>100</v>
      </c>
      <c r="X41" s="671"/>
      <c r="Y41" s="3363"/>
      <c r="Z41" s="672" t="str">
        <f t="shared" si="18"/>
        <v>单套/主力户型建筑面积</v>
      </c>
      <c r="AA41" s="1264">
        <f t="shared" si="15"/>
        <v>1</v>
      </c>
      <c r="AB41" s="1264">
        <f t="shared" si="16"/>
        <v>1</v>
      </c>
      <c r="AC41" s="1264">
        <f t="shared" si="17"/>
        <v>1</v>
      </c>
    </row>
    <row r="42" spans="1:29" ht="15">
      <c r="A42" s="409"/>
      <c r="B42" s="364" t="s">
        <v>1706</v>
      </c>
      <c r="C42" s="1760" t="s">
        <v>3617</v>
      </c>
      <c r="D42" s="374">
        <v>100</v>
      </c>
      <c r="E42" s="1760" t="s">
        <v>3617</v>
      </c>
      <c r="F42" s="400">
        <f>SUMIF(122:122,E42,123:123)-SUMIF(122:122,C42,123:123)+100</f>
        <v>100</v>
      </c>
      <c r="G42" s="1760" t="s">
        <v>3617</v>
      </c>
      <c r="H42" s="374">
        <f>SUMIF(122:122,G42,123:123)-SUMIF(122:122,C42,123:123)+100</f>
        <v>100</v>
      </c>
      <c r="I42" s="1760" t="s">
        <v>3629</v>
      </c>
      <c r="J42" s="374">
        <f>SUMIF(122:122,I42,123:123)-SUMIF(122:122,C42,123:123)+100</f>
        <v>94</v>
      </c>
      <c r="K42" s="365">
        <v>2</v>
      </c>
      <c r="L42" s="2488"/>
      <c r="M42" s="2483"/>
      <c r="N42" s="2483"/>
      <c r="O42" s="2483"/>
      <c r="P42" s="3425"/>
      <c r="Q42" s="1263" t="str">
        <f t="shared" si="11"/>
        <v>内部装修</v>
      </c>
      <c r="R42" s="667" t="s">
        <v>18</v>
      </c>
      <c r="S42" s="668">
        <f t="shared" si="12"/>
        <v>100</v>
      </c>
      <c r="T42" s="667" t="s">
        <v>18</v>
      </c>
      <c r="U42" s="668">
        <f t="shared" si="13"/>
        <v>100</v>
      </c>
      <c r="V42" s="667" t="s">
        <v>18</v>
      </c>
      <c r="W42" s="668">
        <f t="shared" si="14"/>
        <v>94</v>
      </c>
      <c r="X42" s="1265"/>
      <c r="Y42" s="3363"/>
      <c r="Z42" s="1264" t="str">
        <f t="shared" si="18"/>
        <v>内部装修</v>
      </c>
      <c r="AA42" s="1264">
        <f t="shared" si="15"/>
        <v>1</v>
      </c>
      <c r="AB42" s="1264">
        <f t="shared" si="16"/>
        <v>1</v>
      </c>
      <c r="AC42" s="1264">
        <f t="shared" si="17"/>
        <v>1.0638297872340425</v>
      </c>
    </row>
    <row r="43" spans="1:29" ht="15">
      <c r="A43" s="409"/>
      <c r="B43" s="364" t="s">
        <v>1707</v>
      </c>
      <c r="C43" s="1760" t="s">
        <v>3569</v>
      </c>
      <c r="D43" s="374">
        <v>100</v>
      </c>
      <c r="E43" s="1760" t="s">
        <v>3569</v>
      </c>
      <c r="F43" s="400">
        <f>SUMIF(124:124,E43,125:125)-SUMIF(124:124,C43,125:125)+100</f>
        <v>100</v>
      </c>
      <c r="G43" s="1760" t="s">
        <v>3569</v>
      </c>
      <c r="H43" s="374">
        <f>SUMIF(124:124,G43,125:125)-SUMIF(124:124,C43,125:125)+100</f>
        <v>100</v>
      </c>
      <c r="I43" s="1760" t="s">
        <v>3569</v>
      </c>
      <c r="J43" s="374">
        <f>SUMIF(124:124,I43,125:125)-SUMIF(124:124,C43,125:125)+100</f>
        <v>100</v>
      </c>
      <c r="K43" s="365">
        <v>2</v>
      </c>
      <c r="L43" s="2488"/>
      <c r="M43" s="2483"/>
      <c r="N43" s="2483"/>
      <c r="O43" s="2483"/>
      <c r="P43" s="3425"/>
      <c r="Q43" s="1263" t="str">
        <f t="shared" si="11"/>
        <v>内部装修维护情况</v>
      </c>
      <c r="R43" s="667" t="s">
        <v>18</v>
      </c>
      <c r="S43" s="668">
        <f t="shared" si="12"/>
        <v>100</v>
      </c>
      <c r="T43" s="667" t="s">
        <v>18</v>
      </c>
      <c r="U43" s="668">
        <f t="shared" si="13"/>
        <v>100</v>
      </c>
      <c r="V43" s="667" t="s">
        <v>18</v>
      </c>
      <c r="W43" s="668">
        <f t="shared" si="14"/>
        <v>100</v>
      </c>
      <c r="X43" s="1265"/>
      <c r="Y43" s="3363"/>
      <c r="Z43" s="1264" t="str">
        <f t="shared" si="18"/>
        <v>内部装修维护情况</v>
      </c>
      <c r="AA43" s="1264">
        <f t="shared" si="15"/>
        <v>1</v>
      </c>
      <c r="AB43" s="1264">
        <f t="shared" si="16"/>
        <v>1</v>
      </c>
      <c r="AC43" s="1264">
        <f t="shared" si="17"/>
        <v>1</v>
      </c>
    </row>
    <row r="44" spans="1:29" s="102" customFormat="1" ht="15">
      <c r="A44" s="410"/>
      <c r="B44" s="3166" t="s">
        <v>3637</v>
      </c>
      <c r="C44" s="3506" t="s">
        <v>3638</v>
      </c>
      <c r="D44" s="119">
        <v>100</v>
      </c>
      <c r="E44" s="3506" t="s">
        <v>3638</v>
      </c>
      <c r="F44" s="364">
        <f>SUMIF(126:126,E44,127:127)-SUMIF(126:126,C44,127:127)+100</f>
        <v>100</v>
      </c>
      <c r="G44" s="3506" t="s">
        <v>3638</v>
      </c>
      <c r="H44" s="119">
        <f>SUMIF(126:126,G44,127:127)-SUMIF(126:126,C44,127:127)+100</f>
        <v>100</v>
      </c>
      <c r="I44" s="3506" t="s">
        <v>3639</v>
      </c>
      <c r="J44" s="119">
        <f>SUMIF(126:126,I44,127:127)-SUMIF(126:126,C44,127:127)+100</f>
        <v>95</v>
      </c>
      <c r="K44" s="1747"/>
      <c r="L44" s="2484"/>
      <c r="M44" s="2436"/>
      <c r="N44" s="2436"/>
      <c r="O44" s="2436"/>
      <c r="P44" s="3425"/>
      <c r="Q44" s="530" t="str">
        <f t="shared" si="11"/>
        <v>是否尾盘</v>
      </c>
      <c r="R44" s="664" t="s">
        <v>18</v>
      </c>
      <c r="S44" s="665">
        <f t="shared" si="12"/>
        <v>100</v>
      </c>
      <c r="T44" s="664" t="s">
        <v>18</v>
      </c>
      <c r="U44" s="665">
        <f t="shared" si="13"/>
        <v>100</v>
      </c>
      <c r="V44" s="664" t="s">
        <v>18</v>
      </c>
      <c r="W44" s="665">
        <f t="shared" si="14"/>
        <v>95</v>
      </c>
      <c r="X44" s="666"/>
      <c r="Y44" s="3363"/>
      <c r="Z44" s="50" t="str">
        <f t="shared" si="18"/>
        <v>是否尾盘</v>
      </c>
      <c r="AA44" s="50">
        <f t="shared" si="15"/>
        <v>1</v>
      </c>
      <c r="AB44" s="50">
        <f t="shared" si="16"/>
        <v>1</v>
      </c>
      <c r="AC44" s="50">
        <f t="shared" si="17"/>
        <v>1.0526315789473684</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25"/>
      <c r="Q45" s="1263">
        <f t="shared" si="11"/>
        <v>111</v>
      </c>
      <c r="R45" s="667" t="s">
        <v>18</v>
      </c>
      <c r="S45" s="668">
        <f t="shared" si="12"/>
        <v>100</v>
      </c>
      <c r="T45" s="667" t="s">
        <v>18</v>
      </c>
      <c r="U45" s="668">
        <f t="shared" si="13"/>
        <v>100</v>
      </c>
      <c r="V45" s="667" t="s">
        <v>18</v>
      </c>
      <c r="W45" s="668">
        <f t="shared" si="14"/>
        <v>100</v>
      </c>
      <c r="X45" s="1265"/>
      <c r="Y45" s="3363"/>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26"/>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v>42626</v>
      </c>
      <c r="F47" s="420"/>
      <c r="G47" s="421">
        <v>38517</v>
      </c>
      <c r="H47" s="422"/>
      <c r="I47" s="419">
        <v>36900</v>
      </c>
      <c r="J47" s="422"/>
      <c r="K47" s="1765"/>
      <c r="L47" s="2490"/>
      <c r="M47" s="2483"/>
      <c r="N47" s="2483"/>
      <c r="O47" s="2483"/>
      <c r="P47" s="3359" t="str">
        <f>A47</f>
        <v>成交单价（元/平方米）</v>
      </c>
      <c r="Q47" s="3359"/>
      <c r="R47" s="3364">
        <f>E47</f>
        <v>42626</v>
      </c>
      <c r="S47" s="3364"/>
      <c r="T47" s="3364">
        <f>G47</f>
        <v>38517</v>
      </c>
      <c r="U47" s="3364"/>
      <c r="V47" s="3364">
        <f>I47</f>
        <v>36900</v>
      </c>
      <c r="W47" s="3364"/>
      <c r="X47" s="385"/>
      <c r="Y47" s="673"/>
      <c r="Z47" s="385"/>
      <c r="AA47" s="385"/>
      <c r="AB47" s="385"/>
      <c r="AC47" s="385"/>
    </row>
    <row r="48" spans="1:29" ht="15.75" thickBot="1">
      <c r="A48" s="423" t="s">
        <v>1709</v>
      </c>
      <c r="B48" s="424"/>
      <c r="C48" s="1082">
        <f>R49</f>
        <v>39219</v>
      </c>
      <c r="D48" s="2139" t="s">
        <v>2138</v>
      </c>
      <c r="E48" s="1083">
        <f>R48</f>
        <v>41790</v>
      </c>
      <c r="F48" s="2140"/>
      <c r="G48" s="1082">
        <f>T48</f>
        <v>37138</v>
      </c>
      <c r="H48" s="2140"/>
      <c r="I48" s="1083">
        <f>V48</f>
        <v>38730</v>
      </c>
      <c r="J48" s="2140"/>
      <c r="K48" s="2141">
        <f>F48+H48+J48</f>
        <v>0</v>
      </c>
      <c r="L48" s="2490"/>
      <c r="M48" s="2483"/>
      <c r="N48" s="2483"/>
      <c r="O48" s="2483"/>
      <c r="P48" s="3359" t="str">
        <f>A48</f>
        <v>比较价值（元/平方米）</v>
      </c>
      <c r="Q48" s="3359"/>
      <c r="R48" s="3364">
        <f>IF(F1="售价",ROUND(PRODUCT(R47,AA7:AA46),0),ROUND(PRODUCT(R47,AA7:AA46),1))</f>
        <v>41790</v>
      </c>
      <c r="S48" s="3364"/>
      <c r="T48" s="3364">
        <f>IF(F1="售价",ROUND(PRODUCT(T47,AB7:AB46),0),ROUND(PRODUCT(T47,AB7:AB46),1))</f>
        <v>37138</v>
      </c>
      <c r="U48" s="3364"/>
      <c r="V48" s="3364">
        <f>IF(F1="售价",ROUND(PRODUCT(V47,AC7:AC46),0),ROUND(PRODUCT(V47,AC7:AC46),1))</f>
        <v>38730</v>
      </c>
      <c r="W48" s="3364"/>
      <c r="X48" s="385"/>
      <c r="Y48" s="385"/>
      <c r="Z48" s="385"/>
      <c r="AA48" s="385"/>
      <c r="AB48" s="385"/>
      <c r="AC48" s="385"/>
    </row>
    <row r="49" spans="1:29" ht="15.75" thickBot="1">
      <c r="A49" s="427" t="s">
        <v>1710</v>
      </c>
      <c r="B49" s="428"/>
      <c r="C49" s="1084">
        <f>R49</f>
        <v>39219</v>
      </c>
      <c r="D49" s="351"/>
      <c r="E49" s="351"/>
      <c r="F49" s="351"/>
      <c r="G49" s="351"/>
      <c r="H49" s="351"/>
      <c r="I49" s="351"/>
      <c r="J49" s="351"/>
      <c r="K49" s="1766"/>
      <c r="L49" s="2490"/>
      <c r="M49" s="2483"/>
      <c r="N49" s="2483"/>
      <c r="O49" s="2483"/>
      <c r="P49" s="3353" t="str">
        <f>A49</f>
        <v>估价对象XX用房的比较价值（楼面单价，元/平方米）</v>
      </c>
      <c r="Q49" s="3354"/>
      <c r="R49" s="3423">
        <f>IF(F1="售价",ROUND(IF(D48="简单平均",AVERAGE(R48:V48),R48*F48+T48*H48+V48*J48),0),ROUND(IF(D48="简单平均",AVERAGE(R48:V48),R48*F48+T48*H48+V48*J48),1))</f>
        <v>39219</v>
      </c>
      <c r="S49" s="3423"/>
      <c r="T49" s="3423"/>
      <c r="U49" s="3423"/>
      <c r="V49" s="3423"/>
      <c r="W49" s="342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f>IF(E47&lt;E48,E48/E47-1,E47/E48-1)</f>
        <v>2.0004785833931615E-2</v>
      </c>
      <c r="F52" s="435" t="str">
        <f>IF(OR(E52&gt;=0.3,E52&lt;=-0.3),"超过30%","")</f>
        <v/>
      </c>
      <c r="G52" s="434">
        <f>IF(G47&lt;G48,G48/G47-1,G47/G48-1)</f>
        <v>3.7131778771070101E-2</v>
      </c>
      <c r="H52" s="435" t="str">
        <f>IF(OR(G52&gt;=0.3,G52&lt;=-0.3),"超过30%","")</f>
        <v/>
      </c>
      <c r="I52" s="434">
        <f>IF(I47&lt;I48,I48/I47-1,I47/I48-1)</f>
        <v>4.959349593495932E-2</v>
      </c>
      <c r="J52" s="435" t="str">
        <f>IF(OR(I52&gt;=0.3,I52&lt;=-0.3),"超过30%","")</f>
        <v/>
      </c>
      <c r="K52" s="2495"/>
      <c r="L52" s="2491"/>
      <c r="M52" s="2483"/>
      <c r="N52" s="2483"/>
      <c r="O52" s="2483"/>
    </row>
    <row r="53" spans="1:29" ht="13.5" customHeight="1">
      <c r="A53" s="2483"/>
      <c r="B53" s="2483"/>
      <c r="C53" s="432" t="s">
        <v>1712</v>
      </c>
      <c r="D53" s="436"/>
      <c r="E53" s="434">
        <f>IF(E48&lt;G48,G48/E48-1,E48/G48-1)</f>
        <v>0.12526253433141266</v>
      </c>
      <c r="F53" s="435" t="str">
        <f>IF(OR(E53&gt;=0.2,E53&lt;=-0.2),"超过20%","")</f>
        <v/>
      </c>
      <c r="G53" s="434">
        <f>IF(G48&lt;I48,I48/G48-1,G48/I48-1)</f>
        <v>4.2867144165006144E-2</v>
      </c>
      <c r="H53" s="435" t="str">
        <f>IF(OR(G53&gt;=0.2,G53&lt;=-0.2),"超过20%","")</f>
        <v/>
      </c>
      <c r="I53" s="434">
        <f>IF(I48&lt;E48,E48/I48-1,I48/E48-1)</f>
        <v>7.9008520526723469E-2</v>
      </c>
      <c r="J53" s="435" t="str">
        <f>IF(OR(I53&gt;=0.2,I53&lt;=-0.2),"超过20%","")</f>
        <v/>
      </c>
      <c r="K53" s="2495"/>
      <c r="L53" s="2491"/>
      <c r="M53" s="2483"/>
      <c r="N53" s="2483"/>
      <c r="O53" s="2483"/>
    </row>
    <row r="54" spans="1:29" s="437" customFormat="1" ht="13.5" customHeight="1">
      <c r="A54" s="2493"/>
      <c r="B54" s="2493"/>
      <c r="C54" s="432" t="s">
        <v>1713</v>
      </c>
      <c r="D54" s="436"/>
      <c r="E54" s="434">
        <f>IF(E47&lt;G47,G47/E47-1,E47/G47-1)</f>
        <v>0.10668016719889928</v>
      </c>
      <c r="F54" s="435" t="str">
        <f>IF(OR(E54&gt;=0.3,E54&lt;=-0.3),"超过30%","")</f>
        <v/>
      </c>
      <c r="G54" s="434">
        <f>IF(G47&lt;I47,I47/G47-1,G47/I47-1)</f>
        <v>4.3821138211382005E-2</v>
      </c>
      <c r="H54" s="435" t="str">
        <f>IF(OR(G54&gt;=0.3,G54&lt;=-0.3),"超过30%","")</f>
        <v/>
      </c>
      <c r="I54" s="434">
        <f>IF(I47&lt;E47,E47/I47-1,I47/E47-1)</f>
        <v>0.15517615176151756</v>
      </c>
      <c r="J54" s="435" t="str">
        <f>IF(OR(I54&gt;=0.3,I54&lt;=-0.3),"超过30%","")</f>
        <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t="s">
        <v>3586</v>
      </c>
      <c r="D65" s="513" t="s">
        <v>3587</v>
      </c>
      <c r="E65" s="513" t="s">
        <v>3588</v>
      </c>
      <c r="F65" s="513" t="s">
        <v>3589</v>
      </c>
      <c r="G65" s="513"/>
      <c r="H65" s="513"/>
      <c r="I65" s="513"/>
      <c r="J65" s="513"/>
      <c r="K65" s="513"/>
      <c r="L65" s="513"/>
      <c r="M65" s="513"/>
      <c r="N65" s="880"/>
      <c r="O65" s="880"/>
      <c r="P65" s="1773"/>
      <c r="Q65" s="439"/>
    </row>
    <row r="66" spans="1:17" ht="15.75" thickBot="1">
      <c r="A66" s="367"/>
      <c r="B66" s="474"/>
      <c r="C66" s="467">
        <v>100</v>
      </c>
      <c r="D66" s="467">
        <v>98</v>
      </c>
      <c r="E66" s="467">
        <v>96</v>
      </c>
      <c r="F66" s="467">
        <v>94</v>
      </c>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v>4</v>
      </c>
      <c r="H68" s="480"/>
      <c r="I68" s="480"/>
      <c r="J68" s="480"/>
      <c r="K68" s="481"/>
      <c r="L68" s="482"/>
      <c r="M68" s="483"/>
      <c r="N68" s="879"/>
      <c r="O68" s="879"/>
      <c r="P68" s="1773"/>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3159" t="s">
        <v>3611</v>
      </c>
      <c r="D86" s="3159" t="s">
        <v>3612</v>
      </c>
      <c r="E86" s="3159" t="s">
        <v>3613</v>
      </c>
      <c r="F86" s="485"/>
      <c r="G86" s="485"/>
      <c r="H86" s="485"/>
      <c r="I86" s="485"/>
      <c r="J86" s="485"/>
      <c r="K86" s="485"/>
      <c r="L86" s="510"/>
      <c r="M86" s="511"/>
      <c r="N86" s="878"/>
      <c r="O86" s="878"/>
      <c r="P86" s="1773"/>
      <c r="Q86" s="439"/>
    </row>
    <row r="87" spans="1:17" s="102" customFormat="1" ht="15.75"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3"/>
      <c r="Q87" s="439"/>
    </row>
    <row r="88" spans="1:17" s="102" customFormat="1" ht="15.75" thickTop="1">
      <c r="A88" s="370"/>
      <c r="B88" s="469" t="s">
        <v>1735</v>
      </c>
      <c r="C88" s="485"/>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t="str">
        <f>B27</f>
        <v>楼层</v>
      </c>
      <c r="C90" s="3159" t="s">
        <v>3611</v>
      </c>
      <c r="D90" s="3159" t="s">
        <v>3612</v>
      </c>
      <c r="E90" s="3159" t="s">
        <v>3613</v>
      </c>
      <c r="F90" s="485"/>
      <c r="G90" s="485"/>
      <c r="H90" s="486"/>
      <c r="I90" s="486"/>
      <c r="J90" s="486"/>
      <c r="K90" s="486"/>
      <c r="L90" s="487"/>
      <c r="M90" s="488"/>
      <c r="N90" s="881"/>
      <c r="O90" s="881"/>
      <c r="P90" s="1774"/>
      <c r="Q90" s="490"/>
    </row>
    <row r="91" spans="1:17" s="408" customFormat="1" ht="15.75" thickBot="1">
      <c r="A91" s="484"/>
      <c r="B91" s="474"/>
      <c r="C91" s="491">
        <v>100</v>
      </c>
      <c r="D91" s="491">
        <f>C91-2</f>
        <v>98</v>
      </c>
      <c r="E91" s="491">
        <f>D91-2</f>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58" t="s">
        <v>3627</v>
      </c>
      <c r="D100" s="3158" t="s">
        <v>3590</v>
      </c>
      <c r="E100" s="3158" t="s">
        <v>3592</v>
      </c>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3"/>
      <c r="Q101" s="439"/>
    </row>
    <row r="102" spans="1:17" ht="29.25" thickTop="1">
      <c r="A102" s="367"/>
      <c r="B102" s="469" t="s">
        <v>1737</v>
      </c>
      <c r="C102" s="509" t="str">
        <f>C103&amp;"(含)"&amp;"-"&amp;D103</f>
        <v>0(含)-100000</v>
      </c>
      <c r="D102" s="509" t="str">
        <f t="shared" ref="D102:L102" si="26">D103&amp;"(含)"&amp;"-"&amp;E103</f>
        <v>100000(含)-200000</v>
      </c>
      <c r="E102" s="509" t="str">
        <f t="shared" si="26"/>
        <v>200000(含)-300000</v>
      </c>
      <c r="F102" s="509" t="str">
        <f t="shared" si="26"/>
        <v>300000(含)-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100000</v>
      </c>
      <c r="E103" s="6">
        <v>200000</v>
      </c>
      <c r="F103" s="6">
        <v>300000</v>
      </c>
      <c r="G103" s="6"/>
      <c r="H103" s="6"/>
      <c r="I103" s="6"/>
      <c r="J103" s="524"/>
      <c r="K103" s="524"/>
      <c r="L103" s="525"/>
      <c r="M103" s="526"/>
      <c r="N103" s="881"/>
      <c r="O103" s="881"/>
      <c r="P103" s="1774"/>
      <c r="Q103" s="490"/>
    </row>
    <row r="104" spans="1:17" s="408" customFormat="1" ht="15.75" thickBot="1">
      <c r="A104" s="484"/>
      <c r="B104" s="474"/>
      <c r="C104" s="491">
        <v>100</v>
      </c>
      <c r="D104" s="491">
        <v>100</v>
      </c>
      <c r="E104" s="491">
        <v>100</v>
      </c>
      <c r="F104" s="491">
        <v>100</v>
      </c>
      <c r="G104" s="467"/>
      <c r="H104" s="467"/>
      <c r="I104" s="467"/>
      <c r="J104" s="467"/>
      <c r="K104" s="467"/>
      <c r="L104" s="467"/>
      <c r="M104" s="467"/>
      <c r="N104" s="880"/>
      <c r="O104" s="880"/>
      <c r="P104" s="1774"/>
      <c r="Q104" s="490"/>
    </row>
    <row r="105" spans="1:17" ht="15" thickTop="1">
      <c r="A105" s="409"/>
      <c r="B105" s="469" t="s">
        <v>1738</v>
      </c>
      <c r="C105" s="3159" t="s">
        <v>3593</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62" t="s">
        <v>3594</v>
      </c>
      <c r="D107" s="3162" t="s">
        <v>3595</v>
      </c>
      <c r="E107" s="3162" t="s">
        <v>3596</v>
      </c>
      <c r="F107" s="3162" t="s">
        <v>3597</v>
      </c>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3"/>
      <c r="Q108" s="439"/>
    </row>
    <row r="109" spans="1:17" ht="15" thickTop="1">
      <c r="A109" s="409"/>
      <c r="B109" s="469" t="s">
        <v>1740</v>
      </c>
      <c r="C109" s="3159" t="s">
        <v>3598</v>
      </c>
      <c r="D109" s="3159" t="s">
        <v>3599</v>
      </c>
      <c r="E109" s="3159" t="s">
        <v>3600</v>
      </c>
      <c r="F109" s="3162" t="s">
        <v>3601</v>
      </c>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59" t="s">
        <v>3602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1742</v>
      </c>
      <c r="C116" s="3159" t="s">
        <v>3603</v>
      </c>
      <c r="D116" s="3159" t="s">
        <v>3604</v>
      </c>
      <c r="E116" s="3159" t="s">
        <v>3605</v>
      </c>
      <c r="F116" s="3159" t="s">
        <v>3606</v>
      </c>
      <c r="G116" s="3159" t="s">
        <v>3607</v>
      </c>
      <c r="H116" s="513"/>
      <c r="I116" s="513"/>
      <c r="J116" s="513"/>
      <c r="K116" s="514"/>
      <c r="L116" s="515"/>
      <c r="M116" s="516"/>
      <c r="N116" s="879"/>
      <c r="O116" s="879"/>
      <c r="P116" s="1773"/>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62" t="s">
        <v>3608</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9" t="s">
        <v>3598</v>
      </c>
      <c r="D122" s="3159" t="s">
        <v>3599</v>
      </c>
      <c r="E122" s="3159" t="s">
        <v>3600</v>
      </c>
      <c r="F122" s="3162" t="s">
        <v>3601</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t="str">
        <f>B44</f>
        <v>是否尾盘</v>
      </c>
      <c r="C126" s="3159" t="s">
        <v>3638</v>
      </c>
      <c r="D126" s="3159" t="s">
        <v>3640</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4949.5099999999966</v>
      </c>
      <c r="E3" s="1803"/>
      <c r="F3" s="856"/>
      <c r="G3" s="855"/>
      <c r="H3" s="855"/>
      <c r="I3" s="855"/>
      <c r="J3" s="855"/>
      <c r="K3" s="857"/>
      <c r="L3" s="2499"/>
      <c r="M3" s="2500"/>
      <c r="N3" s="2500"/>
      <c r="O3" s="2500"/>
      <c r="P3" s="1802"/>
      <c r="Q3" s="859"/>
      <c r="R3" s="859"/>
      <c r="S3" s="859"/>
      <c r="T3" s="859"/>
      <c r="U3" s="859"/>
      <c r="V3" s="859"/>
      <c r="W3" s="859"/>
      <c r="X3" s="859"/>
      <c r="Y3" s="859"/>
      <c r="Z3" s="859"/>
      <c r="AA3" s="859"/>
      <c r="AB3" s="859"/>
      <c r="AC3" s="180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371" t="s">
        <v>1775</v>
      </c>
      <c r="Q4" s="3372"/>
      <c r="R4" s="3377" t="s">
        <v>1771</v>
      </c>
      <c r="S4" s="3378"/>
      <c r="T4" s="3377" t="s">
        <v>1772</v>
      </c>
      <c r="U4" s="3378"/>
      <c r="V4" s="3364" t="s">
        <v>1773</v>
      </c>
      <c r="W4" s="3364"/>
      <c r="X4" s="1265"/>
      <c r="Y4" s="3377" t="s">
        <v>1775</v>
      </c>
      <c r="Z4" s="3378"/>
      <c r="AA4" s="3365" t="s">
        <v>1771</v>
      </c>
      <c r="AB4" s="3364" t="s">
        <v>1772</v>
      </c>
      <c r="AC4" s="3365" t="s">
        <v>1773</v>
      </c>
    </row>
    <row r="5" spans="1:29" ht="15">
      <c r="A5" s="348"/>
      <c r="B5" s="349"/>
      <c r="C5" s="3385" t="s">
        <v>1673</v>
      </c>
      <c r="D5" s="3386"/>
      <c r="E5" s="3392" t="s">
        <v>1674</v>
      </c>
      <c r="F5" s="3393"/>
      <c r="G5" s="3385" t="s">
        <v>1675</v>
      </c>
      <c r="H5" s="3386"/>
      <c r="I5" s="3385" t="s">
        <v>1676</v>
      </c>
      <c r="J5" s="3386"/>
      <c r="K5" s="537"/>
      <c r="L5" s="2482"/>
      <c r="M5" s="2483"/>
      <c r="N5" s="2483"/>
      <c r="O5" s="2483"/>
      <c r="P5" s="3373"/>
      <c r="Q5" s="3374"/>
      <c r="R5" s="3379"/>
      <c r="S5" s="3380"/>
      <c r="T5" s="3379"/>
      <c r="U5" s="3380"/>
      <c r="V5" s="3364"/>
      <c r="W5" s="3364"/>
      <c r="X5" s="1265"/>
      <c r="Y5" s="3379"/>
      <c r="Z5" s="3380"/>
      <c r="AA5" s="3366"/>
      <c r="AB5" s="3364"/>
      <c r="AC5" s="3366"/>
    </row>
    <row r="6" spans="1:29" ht="15.75" thickBot="1">
      <c r="A6" s="350"/>
      <c r="B6" s="351"/>
      <c r="C6" s="3383" t="s">
        <v>1677</v>
      </c>
      <c r="D6" s="3384"/>
      <c r="E6" s="3390" t="s">
        <v>1677</v>
      </c>
      <c r="F6" s="3391"/>
      <c r="G6" s="3383" t="s">
        <v>1677</v>
      </c>
      <c r="H6" s="3384"/>
      <c r="I6" s="3383" t="s">
        <v>1677</v>
      </c>
      <c r="J6" s="3384"/>
      <c r="K6" s="537" t="s">
        <v>1678</v>
      </c>
      <c r="L6" s="2482"/>
      <c r="M6" s="2483"/>
      <c r="N6" s="2483"/>
      <c r="O6" s="2483"/>
      <c r="P6" s="3375"/>
      <c r="Q6" s="3376"/>
      <c r="R6" s="3379"/>
      <c r="S6" s="3380"/>
      <c r="T6" s="3381"/>
      <c r="U6" s="3382"/>
      <c r="V6" s="3364"/>
      <c r="W6" s="3364"/>
      <c r="X6" s="1265"/>
      <c r="Y6" s="3381"/>
      <c r="Z6" s="3382"/>
      <c r="AA6" s="3367"/>
      <c r="AB6" s="3364"/>
      <c r="AC6" s="3367"/>
    </row>
    <row r="7" spans="1:29" s="102" customFormat="1" ht="15.7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38"/>
      <c r="L7" s="2484"/>
      <c r="M7" s="2436"/>
      <c r="N7" s="2436"/>
      <c r="O7" s="2436"/>
      <c r="P7" s="3387" t="s">
        <v>1680</v>
      </c>
      <c r="Q7" s="3389"/>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5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5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58"/>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58"/>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58"/>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58"/>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28" t="s">
        <v>1691</v>
      </c>
      <c r="Q15" s="1263" t="str">
        <f t="shared" si="6"/>
        <v>商业繁华度</v>
      </c>
      <c r="R15" s="667" t="s">
        <v>14</v>
      </c>
      <c r="S15" s="668">
        <f t="shared" si="0"/>
        <v>100</v>
      </c>
      <c r="T15" s="667" t="s">
        <v>14</v>
      </c>
      <c r="U15" s="668">
        <f t="shared" si="1"/>
        <v>100</v>
      </c>
      <c r="V15" s="667" t="s">
        <v>14</v>
      </c>
      <c r="W15" s="668">
        <f t="shared" si="2"/>
        <v>100</v>
      </c>
      <c r="X15" s="1265"/>
      <c r="Y15" s="336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429"/>
      <c r="Q16" s="1263"/>
      <c r="R16" s="667"/>
      <c r="S16" s="668"/>
      <c r="T16" s="667"/>
      <c r="U16" s="668"/>
      <c r="V16" s="667"/>
      <c r="W16" s="668"/>
      <c r="X16" s="1265"/>
      <c r="Y16" s="3361"/>
      <c r="Z16" s="1264"/>
      <c r="AA16" s="1264">
        <v>1</v>
      </c>
      <c r="AB16" s="1264">
        <v>1</v>
      </c>
      <c r="AC16" s="1264">
        <v>1</v>
      </c>
    </row>
    <row r="17" spans="1:29" ht="15">
      <c r="A17" s="367"/>
      <c r="B17" s="390" t="s">
        <v>1259</v>
      </c>
      <c r="C17" s="1753" t="str">
        <f>估价对象房地状况!C6</f>
        <v>T18\T48，较差</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29"/>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88"/>
      <c r="M18" s="2483"/>
      <c r="N18" s="2483"/>
      <c r="O18" s="2483"/>
      <c r="P18" s="3429"/>
      <c r="Q18" s="1263"/>
      <c r="R18" s="667"/>
      <c r="S18" s="668"/>
      <c r="T18" s="667"/>
      <c r="U18" s="668"/>
      <c r="V18" s="667"/>
      <c r="W18" s="668"/>
      <c r="X18" s="1265"/>
      <c r="Y18" s="3361"/>
      <c r="Z18" s="1264"/>
      <c r="AA18" s="1264">
        <v>1</v>
      </c>
      <c r="AB18" s="1264">
        <v>1</v>
      </c>
      <c r="AC18" s="1264">
        <v>1</v>
      </c>
    </row>
    <row r="19" spans="1:29" ht="57">
      <c r="A19" s="367"/>
      <c r="B19" s="390" t="s">
        <v>1778</v>
      </c>
      <c r="C19" s="1753" t="str">
        <f>估价对象房地状况!C7</f>
        <v>新华联生活超市等；北京电影学院培训中心等，较差</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29"/>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88"/>
      <c r="M20" s="2483"/>
      <c r="N20" s="2483"/>
      <c r="O20" s="2483"/>
      <c r="P20" s="3429"/>
      <c r="Q20" s="1263"/>
      <c r="R20" s="667"/>
      <c r="S20" s="668"/>
      <c r="T20" s="667"/>
      <c r="U20" s="668"/>
      <c r="V20" s="667"/>
      <c r="W20" s="668"/>
      <c r="X20" s="1265"/>
      <c r="Y20" s="3361"/>
      <c r="Z20" s="1264"/>
      <c r="AA20" s="1264">
        <v>1</v>
      </c>
      <c r="AB20" s="1264">
        <v>1</v>
      </c>
      <c r="AC20" s="1264">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29"/>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88"/>
      <c r="M22" s="2483"/>
      <c r="N22" s="2483"/>
      <c r="O22" s="2483"/>
      <c r="P22" s="3429"/>
      <c r="Q22" s="1263"/>
      <c r="R22" s="667"/>
      <c r="S22" s="668"/>
      <c r="T22" s="667"/>
      <c r="U22" s="668"/>
      <c r="V22" s="667"/>
      <c r="W22" s="668"/>
      <c r="X22" s="1265"/>
      <c r="Y22" s="3361"/>
      <c r="Z22" s="1264"/>
      <c r="AA22" s="1264">
        <v>1</v>
      </c>
      <c r="AB22" s="1264">
        <v>1</v>
      </c>
      <c r="AC22" s="1264">
        <v>1</v>
      </c>
    </row>
    <row r="23" spans="1:29" ht="71.25">
      <c r="A23" s="367"/>
      <c r="B23" s="390" t="s">
        <v>1261</v>
      </c>
      <c r="C23" s="1804" t="str">
        <f>估价对象房地状况!C9</f>
        <v>区域自然环境：；人文环境：北塘艺术区；综合评价环境状况一般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29"/>
      <c r="Q23" s="1263" t="str">
        <f>B23</f>
        <v>自然及人文环境</v>
      </c>
      <c r="R23" s="667" t="s">
        <v>14</v>
      </c>
      <c r="S23" s="668">
        <f>F23</f>
        <v>100</v>
      </c>
      <c r="T23" s="667" t="s">
        <v>14</v>
      </c>
      <c r="U23" s="668">
        <f>H23</f>
        <v>100</v>
      </c>
      <c r="V23" s="667" t="s">
        <v>14</v>
      </c>
      <c r="W23" s="668">
        <f>J23</f>
        <v>100</v>
      </c>
      <c r="X23" s="1265"/>
      <c r="Y23" s="3361"/>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88"/>
      <c r="M24" s="2483"/>
      <c r="N24" s="2483"/>
      <c r="O24" s="2483"/>
      <c r="P24" s="3429"/>
      <c r="Q24" s="1263"/>
      <c r="R24" s="667"/>
      <c r="S24" s="668"/>
      <c r="T24" s="667"/>
      <c r="U24" s="668"/>
      <c r="V24" s="667"/>
      <c r="W24" s="668"/>
      <c r="X24" s="1265"/>
      <c r="Y24" s="336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29"/>
      <c r="Q25" s="1263" t="str">
        <f t="shared" ref="Q25:Q46" si="11">B25</f>
        <v>临街状况</v>
      </c>
      <c r="R25" s="667" t="s">
        <v>14</v>
      </c>
      <c r="S25" s="668">
        <f>F25</f>
        <v>100</v>
      </c>
      <c r="T25" s="667" t="s">
        <v>14</v>
      </c>
      <c r="U25" s="668">
        <f>H25</f>
        <v>100</v>
      </c>
      <c r="V25" s="667" t="s">
        <v>14</v>
      </c>
      <c r="W25" s="668">
        <f>J25</f>
        <v>100</v>
      </c>
      <c r="X25" s="1265"/>
      <c r="Y25" s="336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29"/>
      <c r="Q26" s="1263" t="str">
        <f t="shared" si="11"/>
        <v>平面位置/可视性</v>
      </c>
      <c r="R26" s="667" t="s">
        <v>14</v>
      </c>
      <c r="S26" s="668">
        <f>F26</f>
        <v>100</v>
      </c>
      <c r="T26" s="667" t="s">
        <v>14</v>
      </c>
      <c r="U26" s="668">
        <f>H26</f>
        <v>100</v>
      </c>
      <c r="V26" s="667" t="s">
        <v>14</v>
      </c>
      <c r="W26" s="668">
        <f>J26</f>
        <v>100</v>
      </c>
      <c r="X26" s="1265"/>
      <c r="Y26" s="3361"/>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4"/>
      <c r="M27" s="2436"/>
      <c r="N27" s="2436"/>
      <c r="O27" s="2436"/>
      <c r="P27" s="3429"/>
      <c r="Q27" s="530" t="str">
        <f t="shared" si="11"/>
        <v>人流量</v>
      </c>
      <c r="R27" s="664" t="s">
        <v>14</v>
      </c>
      <c r="S27" s="665">
        <f>F27</f>
        <v>100</v>
      </c>
      <c r="T27" s="664" t="s">
        <v>14</v>
      </c>
      <c r="U27" s="665">
        <f>H27</f>
        <v>100</v>
      </c>
      <c r="V27" s="664" t="s">
        <v>14</v>
      </c>
      <c r="W27" s="665">
        <f>J27</f>
        <v>100</v>
      </c>
      <c r="X27" s="666"/>
      <c r="Y27" s="336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9"/>
      <c r="Q29" s="1263">
        <f t="shared" si="11"/>
        <v>111</v>
      </c>
      <c r="R29" s="667" t="s">
        <v>14</v>
      </c>
      <c r="S29" s="668">
        <f t="shared" si="12"/>
        <v>100</v>
      </c>
      <c r="T29" s="667" t="s">
        <v>14</v>
      </c>
      <c r="U29" s="668">
        <f t="shared" si="13"/>
        <v>100</v>
      </c>
      <c r="V29" s="667" t="s">
        <v>14</v>
      </c>
      <c r="W29" s="668">
        <f t="shared" si="14"/>
        <v>100</v>
      </c>
      <c r="X29" s="1265"/>
      <c r="Y29" s="336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9"/>
      <c r="Q30" s="1263">
        <f t="shared" si="11"/>
        <v>111</v>
      </c>
      <c r="R30" s="667" t="s">
        <v>14</v>
      </c>
      <c r="S30" s="668">
        <f t="shared" si="12"/>
        <v>100</v>
      </c>
      <c r="T30" s="667" t="s">
        <v>14</v>
      </c>
      <c r="U30" s="668">
        <f t="shared" si="13"/>
        <v>100</v>
      </c>
      <c r="V30" s="667" t="s">
        <v>14</v>
      </c>
      <c r="W30" s="668">
        <f t="shared" si="14"/>
        <v>100</v>
      </c>
      <c r="X30" s="1265"/>
      <c r="Y30" s="336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9"/>
      <c r="Q31" s="1263">
        <f t="shared" si="11"/>
        <v>111</v>
      </c>
      <c r="R31" s="667" t="s">
        <v>14</v>
      </c>
      <c r="S31" s="668">
        <f t="shared" si="12"/>
        <v>100</v>
      </c>
      <c r="T31" s="667" t="s">
        <v>14</v>
      </c>
      <c r="U31" s="668">
        <f t="shared" si="13"/>
        <v>100</v>
      </c>
      <c r="V31" s="667" t="s">
        <v>14</v>
      </c>
      <c r="W31" s="668">
        <f t="shared" si="14"/>
        <v>100</v>
      </c>
      <c r="X31" s="1265"/>
      <c r="Y31" s="3361"/>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24" t="s">
        <v>1696</v>
      </c>
      <c r="Q32" s="1263" t="str">
        <f t="shared" si="11"/>
        <v>商业类型</v>
      </c>
      <c r="R32" s="667" t="s">
        <v>14</v>
      </c>
      <c r="S32" s="668">
        <f t="shared" si="12"/>
        <v>100</v>
      </c>
      <c r="T32" s="667" t="s">
        <v>14</v>
      </c>
      <c r="U32" s="668">
        <f t="shared" si="13"/>
        <v>100</v>
      </c>
      <c r="V32" s="667" t="s">
        <v>14</v>
      </c>
      <c r="W32" s="668">
        <f t="shared" si="14"/>
        <v>100</v>
      </c>
      <c r="X32" s="1265"/>
      <c r="Y32" s="336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25"/>
      <c r="Q33" s="531" t="str">
        <f t="shared" si="11"/>
        <v>项目建筑规模</v>
      </c>
      <c r="R33" s="669" t="s">
        <v>14</v>
      </c>
      <c r="S33" s="670" t="e">
        <f t="shared" si="12"/>
        <v>#N/A</v>
      </c>
      <c r="T33" s="669" t="s">
        <v>14</v>
      </c>
      <c r="U33" s="670" t="e">
        <f t="shared" si="13"/>
        <v>#N/A</v>
      </c>
      <c r="V33" s="669" t="s">
        <v>14</v>
      </c>
      <c r="W33" s="670" t="e">
        <f t="shared" si="14"/>
        <v>#N/A</v>
      </c>
      <c r="X33" s="671"/>
      <c r="Y33" s="336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25"/>
      <c r="Q34" s="1263" t="str">
        <f t="shared" si="11"/>
        <v>建筑结构</v>
      </c>
      <c r="R34" s="667" t="s">
        <v>14</v>
      </c>
      <c r="S34" s="668">
        <f t="shared" si="12"/>
        <v>100</v>
      </c>
      <c r="T34" s="667" t="s">
        <v>14</v>
      </c>
      <c r="U34" s="668">
        <f t="shared" si="13"/>
        <v>100</v>
      </c>
      <c r="V34" s="667" t="s">
        <v>14</v>
      </c>
      <c r="W34" s="668">
        <f t="shared" si="14"/>
        <v>100</v>
      </c>
      <c r="X34" s="1265"/>
      <c r="Y34" s="336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25"/>
      <c r="Q35" s="1263" t="str">
        <f t="shared" si="11"/>
        <v>公共部分装修</v>
      </c>
      <c r="R35" s="667" t="s">
        <v>14</v>
      </c>
      <c r="S35" s="668">
        <f t="shared" si="12"/>
        <v>100</v>
      </c>
      <c r="T35" s="667" t="s">
        <v>14</v>
      </c>
      <c r="U35" s="668">
        <f t="shared" si="13"/>
        <v>100</v>
      </c>
      <c r="V35" s="667" t="s">
        <v>14</v>
      </c>
      <c r="W35" s="668">
        <f t="shared" si="14"/>
        <v>100</v>
      </c>
      <c r="X35" s="1265"/>
      <c r="Y35" s="336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25"/>
      <c r="Q36" s="1263" t="str">
        <f t="shared" si="11"/>
        <v>成新度</v>
      </c>
      <c r="R36" s="667" t="s">
        <v>14</v>
      </c>
      <c r="S36" s="668" t="e">
        <f t="shared" si="12"/>
        <v>#N/A</v>
      </c>
      <c r="T36" s="667" t="s">
        <v>14</v>
      </c>
      <c r="U36" s="668" t="e">
        <f t="shared" si="13"/>
        <v>#N/A</v>
      </c>
      <c r="V36" s="667" t="s">
        <v>14</v>
      </c>
      <c r="W36" s="668" t="e">
        <f t="shared" si="14"/>
        <v>#N/A</v>
      </c>
      <c r="X36" s="1265"/>
      <c r="Y36" s="336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25"/>
      <c r="Q37" s="530" t="str">
        <f t="shared" si="11"/>
        <v>市政基础设施</v>
      </c>
      <c r="R37" s="664" t="s">
        <v>14</v>
      </c>
      <c r="S37" s="665">
        <f t="shared" si="12"/>
        <v>100</v>
      </c>
      <c r="T37" s="664" t="s">
        <v>14</v>
      </c>
      <c r="U37" s="665">
        <f t="shared" si="13"/>
        <v>100</v>
      </c>
      <c r="V37" s="664" t="s">
        <v>14</v>
      </c>
      <c r="W37" s="665">
        <f t="shared" si="14"/>
        <v>100</v>
      </c>
      <c r="X37" s="666"/>
      <c r="Y37" s="336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25" t="s">
        <v>1696</v>
      </c>
      <c r="Q38" s="1263" t="str">
        <f t="shared" si="11"/>
        <v>业态</v>
      </c>
      <c r="R38" s="667" t="s">
        <v>14</v>
      </c>
      <c r="S38" s="668">
        <f t="shared" si="12"/>
        <v>100</v>
      </c>
      <c r="T38" s="667" t="s">
        <v>14</v>
      </c>
      <c r="U38" s="668">
        <f t="shared" si="13"/>
        <v>100</v>
      </c>
      <c r="V38" s="667" t="s">
        <v>14</v>
      </c>
      <c r="W38" s="668">
        <f t="shared" si="14"/>
        <v>100</v>
      </c>
      <c r="X38" s="1265"/>
      <c r="Y38" s="336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25"/>
      <c r="Q39" s="1263" t="str">
        <f t="shared" si="11"/>
        <v>层高</v>
      </c>
      <c r="R39" s="667" t="s">
        <v>14</v>
      </c>
      <c r="S39" s="668">
        <f t="shared" si="12"/>
        <v>100</v>
      </c>
      <c r="T39" s="667" t="s">
        <v>14</v>
      </c>
      <c r="U39" s="668">
        <f t="shared" si="13"/>
        <v>100</v>
      </c>
      <c r="V39" s="667" t="s">
        <v>14</v>
      </c>
      <c r="W39" s="668">
        <f t="shared" si="14"/>
        <v>100</v>
      </c>
      <c r="X39" s="1265"/>
      <c r="Y39" s="336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5"/>
      <c r="Q40" s="1263" t="str">
        <f t="shared" si="11"/>
        <v>单套建筑面积</v>
      </c>
      <c r="R40" s="667" t="s">
        <v>14</v>
      </c>
      <c r="S40" s="668">
        <f t="shared" si="12"/>
        <v>100</v>
      </c>
      <c r="T40" s="667" t="s">
        <v>14</v>
      </c>
      <c r="U40" s="668">
        <f t="shared" si="13"/>
        <v>100</v>
      </c>
      <c r="V40" s="667" t="s">
        <v>14</v>
      </c>
      <c r="W40" s="668">
        <f t="shared" si="14"/>
        <v>100</v>
      </c>
      <c r="X40" s="1265"/>
      <c r="Y40" s="336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5"/>
      <c r="Q41" s="531" t="str">
        <f t="shared" si="11"/>
        <v>进深比</v>
      </c>
      <c r="R41" s="669" t="s">
        <v>14</v>
      </c>
      <c r="S41" s="670">
        <f t="shared" si="12"/>
        <v>100</v>
      </c>
      <c r="T41" s="669" t="s">
        <v>14</v>
      </c>
      <c r="U41" s="670">
        <f t="shared" si="13"/>
        <v>100</v>
      </c>
      <c r="V41" s="669" t="s">
        <v>14</v>
      </c>
      <c r="W41" s="670">
        <f t="shared" si="14"/>
        <v>100</v>
      </c>
      <c r="X41" s="671"/>
      <c r="Y41" s="336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25"/>
      <c r="Q42" s="1263" t="str">
        <f t="shared" si="11"/>
        <v>内部装修</v>
      </c>
      <c r="R42" s="667" t="s">
        <v>14</v>
      </c>
      <c r="S42" s="668">
        <f t="shared" si="12"/>
        <v>100</v>
      </c>
      <c r="T42" s="667" t="s">
        <v>14</v>
      </c>
      <c r="U42" s="668">
        <f t="shared" si="13"/>
        <v>100</v>
      </c>
      <c r="V42" s="667" t="s">
        <v>14</v>
      </c>
      <c r="W42" s="668">
        <f t="shared" si="14"/>
        <v>100</v>
      </c>
      <c r="X42" s="1265"/>
      <c r="Y42" s="3363"/>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25"/>
      <c r="Q43" s="1263" t="str">
        <f t="shared" si="11"/>
        <v>内部装修维护情况</v>
      </c>
      <c r="R43" s="667" t="s">
        <v>14</v>
      </c>
      <c r="S43" s="668">
        <f t="shared" si="12"/>
        <v>100</v>
      </c>
      <c r="T43" s="667" t="s">
        <v>14</v>
      </c>
      <c r="U43" s="668">
        <f t="shared" si="13"/>
        <v>100</v>
      </c>
      <c r="V43" s="667" t="s">
        <v>14</v>
      </c>
      <c r="W43" s="668">
        <f t="shared" si="14"/>
        <v>100</v>
      </c>
      <c r="X43" s="1265"/>
      <c r="Y43" s="336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25"/>
      <c r="Q44" s="530">
        <f t="shared" si="11"/>
        <v>111</v>
      </c>
      <c r="R44" s="664" t="s">
        <v>14</v>
      </c>
      <c r="S44" s="665">
        <f t="shared" si="12"/>
        <v>100</v>
      </c>
      <c r="T44" s="664" t="s">
        <v>14</v>
      </c>
      <c r="U44" s="665">
        <f t="shared" si="13"/>
        <v>100</v>
      </c>
      <c r="V44" s="664" t="s">
        <v>14</v>
      </c>
      <c r="W44" s="665">
        <f t="shared" si="14"/>
        <v>100</v>
      </c>
      <c r="X44" s="666"/>
      <c r="Y44" s="336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5"/>
      <c r="Q45" s="1263">
        <f t="shared" si="11"/>
        <v>111</v>
      </c>
      <c r="R45" s="667" t="s">
        <v>14</v>
      </c>
      <c r="S45" s="668">
        <f t="shared" si="12"/>
        <v>100</v>
      </c>
      <c r="T45" s="667" t="s">
        <v>14</v>
      </c>
      <c r="U45" s="668">
        <f t="shared" si="13"/>
        <v>100</v>
      </c>
      <c r="V45" s="667" t="s">
        <v>14</v>
      </c>
      <c r="W45" s="668">
        <f t="shared" si="14"/>
        <v>100</v>
      </c>
      <c r="X45" s="1265"/>
      <c r="Y45" s="3363"/>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26"/>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0"/>
      <c r="M47" s="2483"/>
      <c r="N47" s="2483"/>
      <c r="O47" s="2483"/>
      <c r="P47" s="3359" t="str">
        <f>A47</f>
        <v>成交单价（元/平方米）</v>
      </c>
      <c r="Q47" s="3359"/>
      <c r="R47" s="3364">
        <f>E47</f>
        <v>0</v>
      </c>
      <c r="S47" s="3364"/>
      <c r="T47" s="3364">
        <f>G47</f>
        <v>0</v>
      </c>
      <c r="U47" s="3364"/>
      <c r="V47" s="3364">
        <f>I47</f>
        <v>0</v>
      </c>
      <c r="W47" s="3364"/>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0"/>
      <c r="M48" s="2483"/>
      <c r="N48" s="2483"/>
      <c r="O48" s="2483"/>
      <c r="P48" s="3359" t="str">
        <f>A48</f>
        <v>比较价值（元/平方米）</v>
      </c>
      <c r="Q48" s="3359"/>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353" t="str">
        <f>A49</f>
        <v>估价对象XX用房的比较价值（楼面单价，元/平方米）</v>
      </c>
      <c r="Q49" s="3354"/>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受贵公司委托，我公司对北京市通州区宋庄镇双埠头村、大庞村、大兴庄村土地出让国有建设用地使用权及在建建筑物房地产抵押价值进行了预评估。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出让国有建设用地使用权及在建建筑物房地产，为所有。根据《国有土地使用证》[]，估价对象（分摊）出让国有建设用地使用权面积为0平方米，建筑面积为4949.51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出让国有建设用地使用权及在建建筑物房地产,属开发建设的，该项目尚在开发建设中。根据《国有土地使用证》[]，估价对象（分摊）出让国有建设用地使用权面积为0平方米，规划建筑面积为4949.51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宋庄镇双埠头村、大庞村、大兴庄村土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本次评估采用的主估价方法为成本法和假设开发法。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4949.5099999999966</v>
      </c>
      <c r="E3" s="1803"/>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437" t="s">
        <v>1775</v>
      </c>
      <c r="Q4" s="3438"/>
      <c r="R4" s="3441" t="s">
        <v>1771</v>
      </c>
      <c r="S4" s="3442"/>
      <c r="T4" s="3441" t="s">
        <v>1772</v>
      </c>
      <c r="U4" s="3442"/>
      <c r="V4" s="3443" t="s">
        <v>1773</v>
      </c>
      <c r="W4" s="3443"/>
      <c r="X4" s="1807"/>
      <c r="Y4" s="3441" t="s">
        <v>1775</v>
      </c>
      <c r="Z4" s="3442"/>
      <c r="AA4" s="3445" t="s">
        <v>1771</v>
      </c>
      <c r="AB4" s="3445" t="s">
        <v>1772</v>
      </c>
      <c r="AC4" s="3434" t="s">
        <v>1773</v>
      </c>
    </row>
    <row r="5" spans="1:29" ht="15">
      <c r="A5" s="348"/>
      <c r="B5" s="349"/>
      <c r="C5" s="3385" t="s">
        <v>1673</v>
      </c>
      <c r="D5" s="3386"/>
      <c r="E5" s="3392" t="s">
        <v>1674</v>
      </c>
      <c r="F5" s="3393"/>
      <c r="G5" s="3385" t="s">
        <v>1675</v>
      </c>
      <c r="H5" s="3386"/>
      <c r="I5" s="3385" t="s">
        <v>1676</v>
      </c>
      <c r="J5" s="3386"/>
      <c r="K5" s="537"/>
      <c r="L5" s="2482"/>
      <c r="M5" s="2483"/>
      <c r="N5" s="2483"/>
      <c r="O5" s="2483"/>
      <c r="P5" s="3439"/>
      <c r="Q5" s="3374"/>
      <c r="R5" s="3379"/>
      <c r="S5" s="3380"/>
      <c r="T5" s="3379"/>
      <c r="U5" s="3380"/>
      <c r="V5" s="3364"/>
      <c r="W5" s="3364"/>
      <c r="X5" s="1265"/>
      <c r="Y5" s="3379"/>
      <c r="Z5" s="3380"/>
      <c r="AA5" s="3366"/>
      <c r="AB5" s="3366"/>
      <c r="AC5" s="3435"/>
    </row>
    <row r="6" spans="1:29" ht="15.75" thickBot="1">
      <c r="A6" s="350"/>
      <c r="B6" s="351"/>
      <c r="C6" s="3383" t="s">
        <v>1677</v>
      </c>
      <c r="D6" s="3384"/>
      <c r="E6" s="3390" t="s">
        <v>1677</v>
      </c>
      <c r="F6" s="3391"/>
      <c r="G6" s="3383" t="s">
        <v>1677</v>
      </c>
      <c r="H6" s="3384"/>
      <c r="I6" s="3383" t="s">
        <v>1677</v>
      </c>
      <c r="J6" s="3384"/>
      <c r="K6" s="537" t="s">
        <v>1678</v>
      </c>
      <c r="L6" s="2482"/>
      <c r="M6" s="2483"/>
      <c r="N6" s="2483"/>
      <c r="O6" s="2483"/>
      <c r="P6" s="3440"/>
      <c r="Q6" s="3376"/>
      <c r="R6" s="3379"/>
      <c r="S6" s="3380"/>
      <c r="T6" s="3381"/>
      <c r="U6" s="3382"/>
      <c r="V6" s="3364"/>
      <c r="W6" s="3364"/>
      <c r="X6" s="1265"/>
      <c r="Y6" s="3381"/>
      <c r="Z6" s="3382"/>
      <c r="AA6" s="3367"/>
      <c r="AB6" s="3367"/>
      <c r="AC6" s="3436"/>
    </row>
    <row r="7" spans="1:29" s="102" customFormat="1" ht="15.75" thickBot="1">
      <c r="A7" s="352" t="s">
        <v>1679</v>
      </c>
      <c r="B7" s="353"/>
      <c r="C7" s="354">
        <f>'数据-取费表'!B2</f>
        <v>45664</v>
      </c>
      <c r="D7" s="355">
        <v>100</v>
      </c>
      <c r="E7" s="356"/>
      <c r="F7" s="357">
        <f>SUMIF(59:59,YEAR(E7)&amp;"-"&amp;MONTH(E7),60:60)</f>
        <v>0</v>
      </c>
      <c r="G7" s="356"/>
      <c r="H7" s="355">
        <f>SUMIF(59:59,YEAR(G7)&amp;"-"&amp;MONTH(G7),60:60)</f>
        <v>0</v>
      </c>
      <c r="I7" s="356"/>
      <c r="J7" s="355">
        <f>SUMIF(59:59,YEAR(I7)&amp;"-"&amp;MONTH(I7),60:60)</f>
        <v>0</v>
      </c>
      <c r="K7" s="38"/>
      <c r="L7" s="2484"/>
      <c r="M7" s="2436"/>
      <c r="N7" s="2436"/>
      <c r="O7" s="2436"/>
      <c r="P7" s="3444" t="s">
        <v>1680</v>
      </c>
      <c r="Q7" s="3389"/>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44"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58"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58"/>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58"/>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358"/>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358"/>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358"/>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8" t="s">
        <v>1691</v>
      </c>
      <c r="Q15" s="1263" t="str">
        <f t="shared" si="6"/>
        <v>办公集聚程度</v>
      </c>
      <c r="R15" s="667" t="s">
        <v>14</v>
      </c>
      <c r="S15" s="668">
        <f t="shared" si="0"/>
        <v>100</v>
      </c>
      <c r="T15" s="667" t="s">
        <v>14</v>
      </c>
      <c r="U15" s="668">
        <f t="shared" si="1"/>
        <v>100</v>
      </c>
      <c r="V15" s="667" t="s">
        <v>14</v>
      </c>
      <c r="W15" s="668">
        <f t="shared" si="2"/>
        <v>100</v>
      </c>
      <c r="X15" s="1265"/>
      <c r="Y15" s="3360" t="s">
        <v>1691</v>
      </c>
      <c r="Z15" s="1264" t="str">
        <f t="shared" si="7"/>
        <v>办公集聚程度</v>
      </c>
      <c r="AA15" s="1264">
        <f t="shared" si="3"/>
        <v>1</v>
      </c>
      <c r="AB15" s="1264">
        <f t="shared" si="4"/>
        <v>1</v>
      </c>
      <c r="AC15" s="1810">
        <f t="shared" si="5"/>
        <v>1</v>
      </c>
    </row>
    <row r="16" spans="1:29" ht="15">
      <c r="A16" s="367"/>
      <c r="B16" s="555"/>
      <c r="C16" s="1757"/>
      <c r="D16" s="387"/>
      <c r="E16" s="386"/>
      <c r="F16" s="387"/>
      <c r="G16" s="1757"/>
      <c r="H16" s="389"/>
      <c r="I16" s="386"/>
      <c r="J16" s="387"/>
      <c r="K16" s="541"/>
      <c r="L16" s="2488"/>
      <c r="M16" s="2483"/>
      <c r="N16" s="2483"/>
      <c r="O16" s="2483"/>
      <c r="P16" s="3429"/>
      <c r="Q16" s="1263"/>
      <c r="R16" s="667"/>
      <c r="S16" s="668"/>
      <c r="T16" s="667"/>
      <c r="U16" s="668"/>
      <c r="V16" s="667"/>
      <c r="W16" s="668"/>
      <c r="X16" s="1265"/>
      <c r="Y16" s="3361"/>
      <c r="Z16" s="1264"/>
      <c r="AA16" s="1264">
        <v>1</v>
      </c>
      <c r="AB16" s="1264">
        <v>1</v>
      </c>
      <c r="AC16" s="1810">
        <v>1</v>
      </c>
    </row>
    <row r="17" spans="1:29" ht="15">
      <c r="A17" s="367"/>
      <c r="B17" s="556" t="s">
        <v>1259</v>
      </c>
      <c r="C17" s="1811" t="str">
        <f>估价对象房地状况!C6</f>
        <v>T18\T48，较差</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9"/>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810">
        <f t="shared" si="5"/>
        <v>1</v>
      </c>
    </row>
    <row r="18" spans="1:29" ht="15">
      <c r="A18" s="367"/>
      <c r="B18" s="401"/>
      <c r="C18" s="1812"/>
      <c r="D18" s="389"/>
      <c r="E18" s="1755"/>
      <c r="F18" s="389"/>
      <c r="G18" s="1756"/>
      <c r="H18" s="387"/>
      <c r="I18" s="1756"/>
      <c r="J18" s="387"/>
      <c r="K18" s="541"/>
      <c r="L18" s="2488"/>
      <c r="M18" s="2483"/>
      <c r="N18" s="2483"/>
      <c r="O18" s="2483"/>
      <c r="P18" s="3429"/>
      <c r="Q18" s="1263"/>
      <c r="R18" s="667"/>
      <c r="S18" s="668"/>
      <c r="T18" s="667"/>
      <c r="U18" s="668"/>
      <c r="V18" s="667"/>
      <c r="W18" s="668"/>
      <c r="X18" s="1265"/>
      <c r="Y18" s="3361"/>
      <c r="Z18" s="1264"/>
      <c r="AA18" s="1264">
        <v>1</v>
      </c>
      <c r="AB18" s="1264">
        <v>1</v>
      </c>
      <c r="AC18" s="1810">
        <v>1</v>
      </c>
    </row>
    <row r="19" spans="1:29" ht="42.75">
      <c r="A19" s="367"/>
      <c r="B19" s="556" t="s">
        <v>1812</v>
      </c>
      <c r="C19" s="1811" t="str">
        <f>估价对象房地状况!C7</f>
        <v>新华联生活超市等；北京电影学院培训中心等，较差</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9"/>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810">
        <f t="shared" si="5"/>
        <v>1</v>
      </c>
    </row>
    <row r="20" spans="1:29" ht="15">
      <c r="A20" s="367"/>
      <c r="B20" s="401"/>
      <c r="C20" s="1757"/>
      <c r="D20" s="387"/>
      <c r="E20" s="1750"/>
      <c r="F20" s="387"/>
      <c r="G20" s="1751"/>
      <c r="H20" s="387"/>
      <c r="I20" s="1751"/>
      <c r="J20" s="387"/>
      <c r="K20" s="541"/>
      <c r="L20" s="2488"/>
      <c r="M20" s="2483"/>
      <c r="N20" s="2483"/>
      <c r="O20" s="2483"/>
      <c r="P20" s="3429"/>
      <c r="Q20" s="1263"/>
      <c r="R20" s="667"/>
      <c r="S20" s="668"/>
      <c r="T20" s="667"/>
      <c r="U20" s="668"/>
      <c r="V20" s="667"/>
      <c r="W20" s="668"/>
      <c r="X20" s="1265"/>
      <c r="Y20" s="3361"/>
      <c r="Z20" s="1264"/>
      <c r="AA20" s="1264">
        <v>1</v>
      </c>
      <c r="AB20" s="1264">
        <v>1</v>
      </c>
      <c r="AC20" s="1810">
        <v>1</v>
      </c>
    </row>
    <row r="21" spans="1:29" ht="15">
      <c r="A21" s="367"/>
      <c r="B21" s="557" t="s">
        <v>1813</v>
      </c>
      <c r="C21" s="1811"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9"/>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7"/>
      <c r="H22" s="387"/>
      <c r="I22" s="1757"/>
      <c r="J22" s="387"/>
      <c r="K22" s="1064"/>
      <c r="L22" s="2488"/>
      <c r="M22" s="2483"/>
      <c r="N22" s="2483"/>
      <c r="O22" s="2483"/>
      <c r="P22" s="3429"/>
      <c r="Q22" s="1263"/>
      <c r="R22" s="667"/>
      <c r="S22" s="668"/>
      <c r="T22" s="667"/>
      <c r="U22" s="668"/>
      <c r="V22" s="667"/>
      <c r="W22" s="668"/>
      <c r="X22" s="1265"/>
      <c r="Y22" s="3361"/>
      <c r="Z22" s="1264"/>
      <c r="AA22" s="1264">
        <v>1</v>
      </c>
      <c r="AB22" s="1264">
        <v>1</v>
      </c>
      <c r="AC22" s="1810">
        <v>1</v>
      </c>
    </row>
    <row r="23" spans="1:29" ht="57">
      <c r="A23" s="367"/>
      <c r="B23" s="556" t="s">
        <v>1814</v>
      </c>
      <c r="C23" s="1811" t="str">
        <f>估价对象房地状况!C9</f>
        <v>区域自然环境：；人文环境：北塘艺术区；综合评价环境状况一般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9"/>
      <c r="Q23" s="1263" t="str">
        <f>B23</f>
        <v>环境质量</v>
      </c>
      <c r="R23" s="667" t="s">
        <v>14</v>
      </c>
      <c r="S23" s="668">
        <f>F23</f>
        <v>100</v>
      </c>
      <c r="T23" s="667" t="s">
        <v>14</v>
      </c>
      <c r="U23" s="668">
        <f>H23</f>
        <v>100</v>
      </c>
      <c r="V23" s="667" t="s">
        <v>14</v>
      </c>
      <c r="W23" s="668">
        <f>J23</f>
        <v>100</v>
      </c>
      <c r="X23" s="1265"/>
      <c r="Y23" s="3361"/>
      <c r="Z23" s="1264" t="str">
        <f>Q23</f>
        <v>环境质量</v>
      </c>
      <c r="AA23" s="1264">
        <f t="shared" si="3"/>
        <v>1</v>
      </c>
      <c r="AB23" s="1264">
        <f t="shared" si="4"/>
        <v>1</v>
      </c>
      <c r="AC23" s="1810">
        <f t="shared" si="5"/>
        <v>1</v>
      </c>
    </row>
    <row r="24" spans="1:29" ht="15">
      <c r="A24" s="367"/>
      <c r="B24" s="557"/>
      <c r="C24" s="1757"/>
      <c r="D24" s="387"/>
      <c r="E24" s="1750"/>
      <c r="F24" s="387"/>
      <c r="G24" s="1751"/>
      <c r="H24" s="387"/>
      <c r="I24" s="1751"/>
      <c r="J24" s="387"/>
      <c r="K24" s="541"/>
      <c r="L24" s="2488"/>
      <c r="M24" s="2483"/>
      <c r="N24" s="2483"/>
      <c r="O24" s="2483"/>
      <c r="P24" s="3429"/>
      <c r="Q24" s="1263"/>
      <c r="R24" s="667"/>
      <c r="S24" s="668"/>
      <c r="T24" s="667"/>
      <c r="U24" s="668"/>
      <c r="V24" s="667"/>
      <c r="W24" s="668"/>
      <c r="X24" s="1265"/>
      <c r="Y24" s="3361"/>
      <c r="Z24" s="1264"/>
      <c r="AA24" s="1264">
        <v>1</v>
      </c>
      <c r="AB24" s="1264">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29"/>
      <c r="Q25" s="1263" t="str">
        <f>B25</f>
        <v>毗邻道路的类型与等级</v>
      </c>
      <c r="R25" s="667" t="s">
        <v>14</v>
      </c>
      <c r="S25" s="668">
        <f>F25</f>
        <v>100</v>
      </c>
      <c r="T25" s="667" t="s">
        <v>14</v>
      </c>
      <c r="U25" s="668">
        <f>H25</f>
        <v>100</v>
      </c>
      <c r="V25" s="667" t="s">
        <v>14</v>
      </c>
      <c r="W25" s="668">
        <f>J25</f>
        <v>100</v>
      </c>
      <c r="X25" s="1265"/>
      <c r="Y25" s="336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88"/>
      <c r="M26" s="2483"/>
      <c r="N26" s="2483"/>
      <c r="O26" s="2483"/>
      <c r="P26" s="3429"/>
      <c r="Q26" s="1263"/>
      <c r="R26" s="667"/>
      <c r="S26" s="668"/>
      <c r="T26" s="667"/>
      <c r="U26" s="668"/>
      <c r="V26" s="667"/>
      <c r="W26" s="668"/>
      <c r="X26" s="1265"/>
      <c r="Y26" s="3361"/>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9"/>
      <c r="Q27" s="1263" t="str">
        <f t="shared" ref="Q27:Q47" si="11">B27</f>
        <v>楼层</v>
      </c>
      <c r="R27" s="667" t="s">
        <v>14</v>
      </c>
      <c r="S27" s="668">
        <f>F27</f>
        <v>100</v>
      </c>
      <c r="T27" s="667" t="s">
        <v>14</v>
      </c>
      <c r="U27" s="668">
        <f>H27</f>
        <v>100</v>
      </c>
      <c r="V27" s="667" t="s">
        <v>14</v>
      </c>
      <c r="W27" s="668">
        <f>J27</f>
        <v>100</v>
      </c>
      <c r="X27" s="1265"/>
      <c r="Y27" s="3361"/>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9"/>
      <c r="Q28" s="530" t="str">
        <f t="shared" si="11"/>
        <v>朝向</v>
      </c>
      <c r="R28" s="664" t="s">
        <v>14</v>
      </c>
      <c r="S28" s="665">
        <f>F28</f>
        <v>100</v>
      </c>
      <c r="T28" s="664" t="s">
        <v>14</v>
      </c>
      <c r="U28" s="665">
        <f>H28</f>
        <v>100</v>
      </c>
      <c r="V28" s="664" t="s">
        <v>14</v>
      </c>
      <c r="W28" s="665">
        <f>J28</f>
        <v>100</v>
      </c>
      <c r="X28" s="666"/>
      <c r="Y28" s="3361"/>
      <c r="Z28" s="50" t="str">
        <f>Q28</f>
        <v>朝向</v>
      </c>
      <c r="AA28" s="1264">
        <f>D28/F28</f>
        <v>1</v>
      </c>
      <c r="AB28" s="1264">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361"/>
      <c r="Z29" s="1264">
        <f t="shared" ref="Z29:Z47" si="15">Q29</f>
        <v>111</v>
      </c>
      <c r="AA29" s="1264">
        <f t="shared" si="3"/>
        <v>1</v>
      </c>
      <c r="AB29" s="1264">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9"/>
      <c r="Q30" s="1263">
        <f t="shared" si="11"/>
        <v>111</v>
      </c>
      <c r="R30" s="667" t="s">
        <v>14</v>
      </c>
      <c r="S30" s="668">
        <f t="shared" si="12"/>
        <v>100</v>
      </c>
      <c r="T30" s="667" t="s">
        <v>14</v>
      </c>
      <c r="U30" s="668">
        <f t="shared" si="13"/>
        <v>100</v>
      </c>
      <c r="V30" s="667" t="s">
        <v>14</v>
      </c>
      <c r="W30" s="668">
        <f t="shared" si="14"/>
        <v>100</v>
      </c>
      <c r="X30" s="1265"/>
      <c r="Y30" s="3361"/>
      <c r="Z30" s="1264">
        <f t="shared" si="15"/>
        <v>111</v>
      </c>
      <c r="AA30" s="1264">
        <f t="shared" si="3"/>
        <v>1</v>
      </c>
      <c r="AB30" s="1264">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9"/>
      <c r="Q31" s="1263">
        <f t="shared" si="11"/>
        <v>111</v>
      </c>
      <c r="R31" s="667" t="s">
        <v>14</v>
      </c>
      <c r="S31" s="668">
        <f t="shared" si="12"/>
        <v>100</v>
      </c>
      <c r="T31" s="667" t="s">
        <v>14</v>
      </c>
      <c r="U31" s="668">
        <f t="shared" si="13"/>
        <v>100</v>
      </c>
      <c r="V31" s="667" t="s">
        <v>14</v>
      </c>
      <c r="W31" s="668">
        <f t="shared" si="14"/>
        <v>100</v>
      </c>
      <c r="X31" s="1265"/>
      <c r="Y31" s="3361"/>
      <c r="Z31" s="1264">
        <f t="shared" si="15"/>
        <v>111</v>
      </c>
      <c r="AA31" s="1264">
        <f t="shared" si="3"/>
        <v>1</v>
      </c>
      <c r="AB31" s="1264">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9"/>
      <c r="Q32" s="1263">
        <f t="shared" si="11"/>
        <v>111</v>
      </c>
      <c r="R32" s="667" t="s">
        <v>14</v>
      </c>
      <c r="S32" s="668">
        <f t="shared" si="12"/>
        <v>100</v>
      </c>
      <c r="T32" s="667" t="s">
        <v>14</v>
      </c>
      <c r="U32" s="668">
        <f t="shared" si="13"/>
        <v>100</v>
      </c>
      <c r="V32" s="667" t="s">
        <v>14</v>
      </c>
      <c r="W32" s="668">
        <f t="shared" si="14"/>
        <v>100</v>
      </c>
      <c r="X32" s="1265"/>
      <c r="Y32" s="3361"/>
      <c r="Z32" s="1264">
        <f t="shared" si="15"/>
        <v>111</v>
      </c>
      <c r="AA32" s="1264">
        <f t="shared" si="3"/>
        <v>1</v>
      </c>
      <c r="AB32" s="1264">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24" t="s">
        <v>1696</v>
      </c>
      <c r="Q33" s="1263" t="str">
        <f t="shared" si="11"/>
        <v>建筑类型</v>
      </c>
      <c r="R33" s="667" t="s">
        <v>14</v>
      </c>
      <c r="S33" s="668">
        <f t="shared" si="12"/>
        <v>100</v>
      </c>
      <c r="T33" s="667" t="s">
        <v>14</v>
      </c>
      <c r="U33" s="668">
        <f t="shared" si="13"/>
        <v>100</v>
      </c>
      <c r="V33" s="667" t="s">
        <v>14</v>
      </c>
      <c r="W33" s="668">
        <f t="shared" si="14"/>
        <v>100</v>
      </c>
      <c r="X33" s="1265"/>
      <c r="Y33" s="3363"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5"/>
      <c r="Q34" s="531" t="str">
        <f t="shared" si="11"/>
        <v>项目建筑规模</v>
      </c>
      <c r="R34" s="669" t="s">
        <v>14</v>
      </c>
      <c r="S34" s="670" t="e">
        <f t="shared" si="12"/>
        <v>#N/A</v>
      </c>
      <c r="T34" s="669" t="s">
        <v>14</v>
      </c>
      <c r="U34" s="670" t="e">
        <f t="shared" si="13"/>
        <v>#N/A</v>
      </c>
      <c r="V34" s="669" t="s">
        <v>14</v>
      </c>
      <c r="W34" s="670" t="e">
        <f t="shared" si="14"/>
        <v>#N/A</v>
      </c>
      <c r="X34" s="671"/>
      <c r="Y34" s="3363"/>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5"/>
      <c r="Q35" s="1263" t="str">
        <f t="shared" si="11"/>
        <v>建筑结构</v>
      </c>
      <c r="R35" s="667" t="s">
        <v>14</v>
      </c>
      <c r="S35" s="668">
        <f t="shared" si="12"/>
        <v>100</v>
      </c>
      <c r="T35" s="667" t="s">
        <v>14</v>
      </c>
      <c r="U35" s="668">
        <f t="shared" si="13"/>
        <v>100</v>
      </c>
      <c r="V35" s="667" t="s">
        <v>14</v>
      </c>
      <c r="W35" s="668">
        <f t="shared" si="14"/>
        <v>100</v>
      </c>
      <c r="X35" s="1265"/>
      <c r="Y35" s="3363"/>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5"/>
      <c r="Q36" s="1263" t="str">
        <f t="shared" si="11"/>
        <v>公共部分装修</v>
      </c>
      <c r="R36" s="667" t="s">
        <v>14</v>
      </c>
      <c r="S36" s="668">
        <f t="shared" si="12"/>
        <v>100</v>
      </c>
      <c r="T36" s="667" t="s">
        <v>14</v>
      </c>
      <c r="U36" s="668">
        <f t="shared" si="13"/>
        <v>100</v>
      </c>
      <c r="V36" s="667" t="s">
        <v>14</v>
      </c>
      <c r="W36" s="668">
        <f t="shared" si="14"/>
        <v>100</v>
      </c>
      <c r="X36" s="1265"/>
      <c r="Y36" s="3363"/>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5"/>
      <c r="Q37" s="1263" t="str">
        <f t="shared" si="11"/>
        <v>成新度</v>
      </c>
      <c r="R37" s="667" t="s">
        <v>14</v>
      </c>
      <c r="S37" s="668" t="e">
        <f t="shared" si="12"/>
        <v>#N/A</v>
      </c>
      <c r="T37" s="667" t="s">
        <v>14</v>
      </c>
      <c r="U37" s="668" t="e">
        <f t="shared" si="13"/>
        <v>#N/A</v>
      </c>
      <c r="V37" s="667" t="s">
        <v>14</v>
      </c>
      <c r="W37" s="668" t="e">
        <f t="shared" si="14"/>
        <v>#N/A</v>
      </c>
      <c r="X37" s="1265"/>
      <c r="Y37" s="3363"/>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5"/>
      <c r="Q38" s="530" t="str">
        <f t="shared" si="11"/>
        <v>写字楼等级</v>
      </c>
      <c r="R38" s="664" t="s">
        <v>14</v>
      </c>
      <c r="S38" s="665">
        <f t="shared" si="12"/>
        <v>100</v>
      </c>
      <c r="T38" s="664" t="s">
        <v>14</v>
      </c>
      <c r="U38" s="665">
        <f t="shared" si="13"/>
        <v>100</v>
      </c>
      <c r="V38" s="664" t="s">
        <v>14</v>
      </c>
      <c r="W38" s="665">
        <f t="shared" si="14"/>
        <v>100</v>
      </c>
      <c r="X38" s="666"/>
      <c r="Y38" s="336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5" t="s">
        <v>1696</v>
      </c>
      <c r="Q39" s="1263" t="str">
        <f t="shared" si="11"/>
        <v>物业管理</v>
      </c>
      <c r="R39" s="667" t="s">
        <v>14</v>
      </c>
      <c r="S39" s="668">
        <f t="shared" si="12"/>
        <v>100</v>
      </c>
      <c r="T39" s="667" t="s">
        <v>14</v>
      </c>
      <c r="U39" s="668">
        <f t="shared" si="13"/>
        <v>100</v>
      </c>
      <c r="V39" s="667" t="s">
        <v>14</v>
      </c>
      <c r="W39" s="668">
        <f t="shared" si="14"/>
        <v>100</v>
      </c>
      <c r="X39" s="1265"/>
      <c r="Y39" s="3363"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5"/>
      <c r="Q40" s="1263" t="str">
        <f t="shared" si="11"/>
        <v>市政基础设施</v>
      </c>
      <c r="R40" s="667" t="s">
        <v>14</v>
      </c>
      <c r="S40" s="668">
        <f t="shared" si="12"/>
        <v>100</v>
      </c>
      <c r="T40" s="667" t="s">
        <v>14</v>
      </c>
      <c r="U40" s="668">
        <f t="shared" si="13"/>
        <v>100</v>
      </c>
      <c r="V40" s="667" t="s">
        <v>14</v>
      </c>
      <c r="W40" s="668">
        <f t="shared" si="14"/>
        <v>100</v>
      </c>
      <c r="X40" s="1265"/>
      <c r="Y40" s="3363"/>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5"/>
      <c r="Q41" s="1263" t="str">
        <f t="shared" si="11"/>
        <v>层高</v>
      </c>
      <c r="R41" s="667" t="s">
        <v>14</v>
      </c>
      <c r="S41" s="668">
        <f t="shared" si="12"/>
        <v>100</v>
      </c>
      <c r="T41" s="667" t="s">
        <v>14</v>
      </c>
      <c r="U41" s="668">
        <f t="shared" si="13"/>
        <v>100</v>
      </c>
      <c r="V41" s="667" t="s">
        <v>14</v>
      </c>
      <c r="W41" s="668">
        <f t="shared" si="14"/>
        <v>100</v>
      </c>
      <c r="X41" s="1265"/>
      <c r="Y41" s="3363"/>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5"/>
      <c r="Q42" s="531" t="str">
        <f t="shared" si="11"/>
        <v>单套建筑面积</v>
      </c>
      <c r="R42" s="669" t="s">
        <v>14</v>
      </c>
      <c r="S42" s="670">
        <f t="shared" si="12"/>
        <v>100</v>
      </c>
      <c r="T42" s="669" t="s">
        <v>14</v>
      </c>
      <c r="U42" s="670">
        <f t="shared" si="13"/>
        <v>100</v>
      </c>
      <c r="V42" s="669" t="s">
        <v>14</v>
      </c>
      <c r="W42" s="670">
        <f t="shared" si="14"/>
        <v>100</v>
      </c>
      <c r="X42" s="671"/>
      <c r="Y42" s="3363"/>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5"/>
      <c r="Q43" s="1263" t="str">
        <f t="shared" si="11"/>
        <v>内部装修</v>
      </c>
      <c r="R43" s="667" t="s">
        <v>14</v>
      </c>
      <c r="S43" s="668">
        <f t="shared" si="12"/>
        <v>100</v>
      </c>
      <c r="T43" s="667" t="s">
        <v>14</v>
      </c>
      <c r="U43" s="668">
        <f t="shared" si="13"/>
        <v>100</v>
      </c>
      <c r="V43" s="667" t="s">
        <v>14</v>
      </c>
      <c r="W43" s="668">
        <f t="shared" si="14"/>
        <v>100</v>
      </c>
      <c r="X43" s="1265"/>
      <c r="Y43" s="3363"/>
      <c r="Z43" s="1264" t="str">
        <f t="shared" si="15"/>
        <v>内部装修</v>
      </c>
      <c r="AA43" s="1264">
        <f t="shared" si="3"/>
        <v>1</v>
      </c>
      <c r="AB43" s="1264">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25"/>
      <c r="Q44" s="1263" t="str">
        <f t="shared" si="11"/>
        <v>内部装修维护情况</v>
      </c>
      <c r="R44" s="667" t="s">
        <v>14</v>
      </c>
      <c r="S44" s="668">
        <f t="shared" si="12"/>
        <v>100</v>
      </c>
      <c r="T44" s="667" t="s">
        <v>14</v>
      </c>
      <c r="U44" s="668">
        <f t="shared" si="13"/>
        <v>100</v>
      </c>
      <c r="V44" s="667" t="s">
        <v>14</v>
      </c>
      <c r="W44" s="668">
        <f t="shared" si="14"/>
        <v>100</v>
      </c>
      <c r="X44" s="1265"/>
      <c r="Y44" s="3363"/>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5"/>
      <c r="Q45" s="530">
        <f t="shared" si="11"/>
        <v>111</v>
      </c>
      <c r="R45" s="664" t="s">
        <v>14</v>
      </c>
      <c r="S45" s="665">
        <f t="shared" si="12"/>
        <v>100</v>
      </c>
      <c r="T45" s="664" t="s">
        <v>14</v>
      </c>
      <c r="U45" s="665">
        <f t="shared" si="13"/>
        <v>100</v>
      </c>
      <c r="V45" s="664" t="s">
        <v>14</v>
      </c>
      <c r="W45" s="665">
        <f t="shared" si="14"/>
        <v>100</v>
      </c>
      <c r="X45" s="666"/>
      <c r="Y45" s="336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5"/>
      <c r="Q46" s="1263">
        <f t="shared" si="11"/>
        <v>111</v>
      </c>
      <c r="R46" s="667" t="s">
        <v>14</v>
      </c>
      <c r="S46" s="668">
        <f t="shared" si="12"/>
        <v>100</v>
      </c>
      <c r="T46" s="667" t="s">
        <v>14</v>
      </c>
      <c r="U46" s="668">
        <f t="shared" si="13"/>
        <v>100</v>
      </c>
      <c r="V46" s="667" t="s">
        <v>14</v>
      </c>
      <c r="W46" s="668">
        <f t="shared" si="14"/>
        <v>100</v>
      </c>
      <c r="X46" s="1265"/>
      <c r="Y46" s="3363"/>
      <c r="Z46" s="1264">
        <f t="shared" si="15"/>
        <v>111</v>
      </c>
      <c r="AA46" s="1264">
        <f t="shared" si="3"/>
        <v>1</v>
      </c>
      <c r="AB46" s="1264">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6"/>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0"/>
      <c r="M48" s="2483"/>
      <c r="N48" s="2483"/>
      <c r="O48" s="2483"/>
      <c r="P48" s="3358" t="str">
        <f>A48</f>
        <v>成交单价（元/平方米）</v>
      </c>
      <c r="Q48" s="3359"/>
      <c r="R48" s="3364">
        <f>E48</f>
        <v>0</v>
      </c>
      <c r="S48" s="3364"/>
      <c r="T48" s="3364">
        <f>G48</f>
        <v>0</v>
      </c>
      <c r="U48" s="3364"/>
      <c r="V48" s="3364">
        <f>I48</f>
        <v>0</v>
      </c>
      <c r="W48" s="3364"/>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0"/>
      <c r="M49" s="2483"/>
      <c r="N49" s="2483"/>
      <c r="O49" s="2483"/>
      <c r="P49" s="3358" t="str">
        <f>A49</f>
        <v>比较价值（元/平方米）</v>
      </c>
      <c r="Q49" s="3359"/>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0"/>
      <c r="M50" s="2483"/>
      <c r="N50" s="2483"/>
      <c r="O50" s="2483"/>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4949.5099999999966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6" t="s">
        <v>1770</v>
      </c>
      <c r="D4" s="3368"/>
      <c r="E4" s="3369" t="s">
        <v>1771</v>
      </c>
      <c r="F4" s="3370"/>
      <c r="G4" s="3356" t="s">
        <v>1772</v>
      </c>
      <c r="H4" s="3368"/>
      <c r="I4" s="3356" t="s">
        <v>1773</v>
      </c>
      <c r="J4" s="3368"/>
      <c r="K4" s="537" t="s">
        <v>1774</v>
      </c>
      <c r="L4" s="860"/>
      <c r="M4" s="861"/>
      <c r="N4" s="861"/>
      <c r="O4" s="861"/>
      <c r="P4" s="3371" t="s">
        <v>1775</v>
      </c>
      <c r="Q4" s="3372"/>
      <c r="R4" s="3377" t="s">
        <v>1771</v>
      </c>
      <c r="S4" s="3378"/>
      <c r="T4" s="3377" t="s">
        <v>1772</v>
      </c>
      <c r="U4" s="3378"/>
      <c r="V4" s="3364" t="s">
        <v>1773</v>
      </c>
      <c r="W4" s="3364"/>
      <c r="X4" s="1265"/>
      <c r="Y4" s="3377" t="s">
        <v>1775</v>
      </c>
      <c r="Z4" s="3378"/>
      <c r="AA4" s="3365" t="s">
        <v>1771</v>
      </c>
      <c r="AB4" s="3366" t="s">
        <v>1772</v>
      </c>
      <c r="AC4" s="3365" t="s">
        <v>1773</v>
      </c>
    </row>
    <row r="5" spans="1:29" ht="15">
      <c r="A5" s="348"/>
      <c r="B5" s="349"/>
      <c r="C5" s="3385" t="s">
        <v>1673</v>
      </c>
      <c r="D5" s="3386"/>
      <c r="E5" s="3392" t="s">
        <v>1674</v>
      </c>
      <c r="F5" s="3393"/>
      <c r="G5" s="3385" t="s">
        <v>1675</v>
      </c>
      <c r="H5" s="3386"/>
      <c r="I5" s="3385" t="s">
        <v>1676</v>
      </c>
      <c r="J5" s="3386"/>
      <c r="K5" s="537"/>
      <c r="L5" s="860"/>
      <c r="M5" s="861"/>
      <c r="N5" s="861"/>
      <c r="O5" s="861"/>
      <c r="P5" s="3373"/>
      <c r="Q5" s="3374"/>
      <c r="R5" s="3379"/>
      <c r="S5" s="3380"/>
      <c r="T5" s="3379"/>
      <c r="U5" s="3380"/>
      <c r="V5" s="3364"/>
      <c r="W5" s="3364"/>
      <c r="X5" s="1265"/>
      <c r="Y5" s="3379"/>
      <c r="Z5" s="3380"/>
      <c r="AA5" s="3366"/>
      <c r="AB5" s="3366"/>
      <c r="AC5" s="3366"/>
    </row>
    <row r="6" spans="1:29" ht="15.75" thickBot="1">
      <c r="A6" s="350"/>
      <c r="B6" s="351"/>
      <c r="C6" s="3383" t="s">
        <v>1677</v>
      </c>
      <c r="D6" s="3384"/>
      <c r="E6" s="3390" t="s">
        <v>1677</v>
      </c>
      <c r="F6" s="3391"/>
      <c r="G6" s="3383" t="s">
        <v>1677</v>
      </c>
      <c r="H6" s="3384"/>
      <c r="I6" s="3383" t="s">
        <v>1677</v>
      </c>
      <c r="J6" s="3384"/>
      <c r="K6" s="537" t="s">
        <v>1678</v>
      </c>
      <c r="L6" s="860"/>
      <c r="M6" s="861"/>
      <c r="N6" s="861"/>
      <c r="O6" s="861"/>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389"/>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0" t="s">
        <v>1691</v>
      </c>
      <c r="Q15" s="1263" t="str">
        <f t="shared" si="6"/>
        <v>产业集聚程度</v>
      </c>
      <c r="R15" s="667" t="s">
        <v>14</v>
      </c>
      <c r="S15" s="668">
        <f t="shared" si="0"/>
        <v>100</v>
      </c>
      <c r="T15" s="667" t="s">
        <v>14</v>
      </c>
      <c r="U15" s="668">
        <f t="shared" si="1"/>
        <v>100</v>
      </c>
      <c r="V15" s="667" t="s">
        <v>14</v>
      </c>
      <c r="W15" s="668">
        <f t="shared" si="2"/>
        <v>100</v>
      </c>
      <c r="X15" s="1265"/>
      <c r="Y15" s="336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1"/>
      <c r="Q16" s="1263"/>
      <c r="R16" s="667"/>
      <c r="S16" s="668"/>
      <c r="T16" s="667"/>
      <c r="U16" s="668"/>
      <c r="V16" s="667"/>
      <c r="W16" s="668"/>
      <c r="X16" s="1265"/>
      <c r="Y16" s="3361"/>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1"/>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61"/>
      <c r="Q18" s="1263"/>
      <c r="R18" s="667"/>
      <c r="S18" s="668"/>
      <c r="T18" s="667"/>
      <c r="U18" s="668"/>
      <c r="V18" s="667"/>
      <c r="W18" s="668"/>
      <c r="X18" s="1265"/>
      <c r="Y18" s="3361"/>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1"/>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61"/>
      <c r="Q20" s="1263"/>
      <c r="R20" s="667"/>
      <c r="S20" s="668"/>
      <c r="T20" s="667"/>
      <c r="U20" s="668"/>
      <c r="V20" s="667"/>
      <c r="W20" s="668"/>
      <c r="X20" s="1265"/>
      <c r="Y20" s="3361"/>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1"/>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61"/>
      <c r="Q22" s="1263"/>
      <c r="R22" s="667"/>
      <c r="S22" s="668"/>
      <c r="T22" s="667"/>
      <c r="U22" s="668"/>
      <c r="V22" s="667"/>
      <c r="W22" s="668"/>
      <c r="X22" s="1265"/>
      <c r="Y22" s="3361"/>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1"/>
      <c r="Q23" s="1263" t="str">
        <f>B23</f>
        <v>环境质量</v>
      </c>
      <c r="R23" s="667" t="s">
        <v>14</v>
      </c>
      <c r="S23" s="668">
        <f>F23</f>
        <v>100</v>
      </c>
      <c r="T23" s="667" t="s">
        <v>14</v>
      </c>
      <c r="U23" s="668">
        <f>H23</f>
        <v>100</v>
      </c>
      <c r="V23" s="667" t="s">
        <v>14</v>
      </c>
      <c r="W23" s="668">
        <f>J23</f>
        <v>100</v>
      </c>
      <c r="X23" s="1265"/>
      <c r="Y23" s="3361"/>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61"/>
      <c r="Q24" s="1263"/>
      <c r="R24" s="667"/>
      <c r="S24" s="668"/>
      <c r="T24" s="667"/>
      <c r="U24" s="668"/>
      <c r="V24" s="667"/>
      <c r="W24" s="668"/>
      <c r="X24" s="1265"/>
      <c r="Y24" s="336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1"/>
      <c r="Q25" s="1263">
        <f>B25</f>
        <v>111</v>
      </c>
      <c r="R25" s="667" t="s">
        <v>14</v>
      </c>
      <c r="S25" s="668">
        <f>F25</f>
        <v>100</v>
      </c>
      <c r="T25" s="667" t="s">
        <v>14</v>
      </c>
      <c r="U25" s="668">
        <f>H25</f>
        <v>100</v>
      </c>
      <c r="V25" s="667" t="s">
        <v>14</v>
      </c>
      <c r="W25" s="668">
        <f>J25</f>
        <v>100</v>
      </c>
      <c r="X25" s="1265"/>
      <c r="Y25" s="336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1"/>
      <c r="Q26" s="1263">
        <f t="shared" ref="Q26:Q40" si="11">B26</f>
        <v>111</v>
      </c>
      <c r="R26" s="667" t="s">
        <v>14</v>
      </c>
      <c r="S26" s="668">
        <f>F26</f>
        <v>100</v>
      </c>
      <c r="T26" s="667" t="s">
        <v>14</v>
      </c>
      <c r="U26" s="668">
        <f>H26</f>
        <v>100</v>
      </c>
      <c r="V26" s="667" t="s">
        <v>14</v>
      </c>
      <c r="W26" s="668">
        <f>J26</f>
        <v>100</v>
      </c>
      <c r="X26" s="1265"/>
      <c r="Y26" s="336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1"/>
      <c r="Q27" s="530">
        <f t="shared" si="11"/>
        <v>111</v>
      </c>
      <c r="R27" s="664" t="s">
        <v>14</v>
      </c>
      <c r="S27" s="665">
        <f>F27</f>
        <v>100</v>
      </c>
      <c r="T27" s="664" t="s">
        <v>14</v>
      </c>
      <c r="U27" s="665">
        <f>H27</f>
        <v>100</v>
      </c>
      <c r="V27" s="664" t="s">
        <v>14</v>
      </c>
      <c r="W27" s="665">
        <f>J27</f>
        <v>100</v>
      </c>
      <c r="X27" s="666"/>
      <c r="Y27" s="336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1"/>
      <c r="Q28" s="1263">
        <f t="shared" si="11"/>
        <v>111</v>
      </c>
      <c r="R28" s="667" t="s">
        <v>14</v>
      </c>
      <c r="S28" s="668">
        <f t="shared" ref="S28:S40" si="12">F28</f>
        <v>100</v>
      </c>
      <c r="T28" s="667" t="s">
        <v>14</v>
      </c>
      <c r="U28" s="668">
        <f t="shared" ref="U28:U40" si="13">H28</f>
        <v>100</v>
      </c>
      <c r="V28" s="667" t="s">
        <v>14</v>
      </c>
      <c r="W28" s="668">
        <f t="shared" ref="W28:W40" si="14">J28</f>
        <v>100</v>
      </c>
      <c r="X28" s="1265"/>
      <c r="Y28" s="3361"/>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62" t="s">
        <v>1696</v>
      </c>
      <c r="Q29" s="1263" t="str">
        <f t="shared" si="11"/>
        <v>建筑类型</v>
      </c>
      <c r="R29" s="667" t="s">
        <v>14</v>
      </c>
      <c r="S29" s="668">
        <f t="shared" si="12"/>
        <v>100</v>
      </c>
      <c r="T29" s="667" t="s">
        <v>14</v>
      </c>
      <c r="U29" s="668">
        <f t="shared" si="13"/>
        <v>100</v>
      </c>
      <c r="V29" s="667" t="s">
        <v>14</v>
      </c>
      <c r="W29" s="668">
        <f t="shared" si="14"/>
        <v>100</v>
      </c>
      <c r="X29" s="1265"/>
      <c r="Y29" s="336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3"/>
      <c r="Q30" s="531" t="str">
        <f t="shared" si="11"/>
        <v>项目建筑规模</v>
      </c>
      <c r="R30" s="669" t="s">
        <v>14</v>
      </c>
      <c r="S30" s="670" t="e">
        <f t="shared" si="12"/>
        <v>#N/A</v>
      </c>
      <c r="T30" s="669" t="s">
        <v>14</v>
      </c>
      <c r="U30" s="670" t="e">
        <f t="shared" si="13"/>
        <v>#N/A</v>
      </c>
      <c r="V30" s="669" t="s">
        <v>14</v>
      </c>
      <c r="W30" s="670" t="e">
        <f t="shared" si="14"/>
        <v>#N/A</v>
      </c>
      <c r="X30" s="671"/>
      <c r="Y30" s="336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3"/>
      <c r="Q31" s="1263" t="str">
        <f t="shared" si="11"/>
        <v>建筑结构</v>
      </c>
      <c r="R31" s="667" t="s">
        <v>14</v>
      </c>
      <c r="S31" s="668">
        <f t="shared" si="12"/>
        <v>100</v>
      </c>
      <c r="T31" s="667" t="s">
        <v>14</v>
      </c>
      <c r="U31" s="668">
        <f t="shared" si="13"/>
        <v>100</v>
      </c>
      <c r="V31" s="667" t="s">
        <v>14</v>
      </c>
      <c r="W31" s="668">
        <f t="shared" si="14"/>
        <v>100</v>
      </c>
      <c r="X31" s="1265"/>
      <c r="Y31" s="336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3"/>
      <c r="Q32" s="1263" t="str">
        <f t="shared" si="11"/>
        <v>公共部分装修</v>
      </c>
      <c r="R32" s="667" t="s">
        <v>14</v>
      </c>
      <c r="S32" s="668">
        <f t="shared" si="12"/>
        <v>100</v>
      </c>
      <c r="T32" s="667" t="s">
        <v>14</v>
      </c>
      <c r="U32" s="668">
        <f t="shared" si="13"/>
        <v>100</v>
      </c>
      <c r="V32" s="667" t="s">
        <v>14</v>
      </c>
      <c r="W32" s="668">
        <f t="shared" si="14"/>
        <v>100</v>
      </c>
      <c r="X32" s="1265"/>
      <c r="Y32" s="336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3"/>
      <c r="Q33" s="1263" t="str">
        <f t="shared" si="11"/>
        <v>成新度</v>
      </c>
      <c r="R33" s="667" t="s">
        <v>14</v>
      </c>
      <c r="S33" s="668" t="e">
        <f t="shared" si="12"/>
        <v>#N/A</v>
      </c>
      <c r="T33" s="667" t="s">
        <v>14</v>
      </c>
      <c r="U33" s="668" t="e">
        <f t="shared" si="13"/>
        <v>#N/A</v>
      </c>
      <c r="V33" s="667" t="s">
        <v>14</v>
      </c>
      <c r="W33" s="668" t="e">
        <f t="shared" si="14"/>
        <v>#N/A</v>
      </c>
      <c r="X33" s="1265"/>
      <c r="Y33" s="336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3"/>
      <c r="Q34" s="530" t="str">
        <f t="shared" si="11"/>
        <v>物业管理</v>
      </c>
      <c r="R34" s="664" t="s">
        <v>14</v>
      </c>
      <c r="S34" s="665">
        <f t="shared" si="12"/>
        <v>100</v>
      </c>
      <c r="T34" s="664" t="s">
        <v>14</v>
      </c>
      <c r="U34" s="665">
        <f t="shared" si="13"/>
        <v>100</v>
      </c>
      <c r="V34" s="664" t="s">
        <v>14</v>
      </c>
      <c r="W34" s="665">
        <f t="shared" si="14"/>
        <v>100</v>
      </c>
      <c r="X34" s="666"/>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3" t="s">
        <v>1696</v>
      </c>
      <c r="Q35" s="1263" t="str">
        <f t="shared" si="11"/>
        <v>市政基础设施</v>
      </c>
      <c r="R35" s="667" t="s">
        <v>14</v>
      </c>
      <c r="S35" s="668">
        <f t="shared" si="12"/>
        <v>100</v>
      </c>
      <c r="T35" s="667" t="s">
        <v>14</v>
      </c>
      <c r="U35" s="668">
        <f t="shared" si="13"/>
        <v>100</v>
      </c>
      <c r="V35" s="667" t="s">
        <v>14</v>
      </c>
      <c r="W35" s="668">
        <f t="shared" si="14"/>
        <v>100</v>
      </c>
      <c r="X35" s="1265"/>
      <c r="Y35" s="336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3"/>
      <c r="Q36" s="1263" t="str">
        <f t="shared" si="11"/>
        <v>内部装修</v>
      </c>
      <c r="R36" s="667" t="s">
        <v>14</v>
      </c>
      <c r="S36" s="668">
        <f t="shared" si="12"/>
        <v>100</v>
      </c>
      <c r="T36" s="667" t="s">
        <v>14</v>
      </c>
      <c r="U36" s="668">
        <f t="shared" si="13"/>
        <v>100</v>
      </c>
      <c r="V36" s="667" t="s">
        <v>14</v>
      </c>
      <c r="W36" s="668">
        <f t="shared" si="14"/>
        <v>100</v>
      </c>
      <c r="X36" s="1265"/>
      <c r="Y36" s="336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3"/>
      <c r="Q37" s="1263" t="str">
        <f t="shared" si="11"/>
        <v>内部装修状况</v>
      </c>
      <c r="R37" s="667" t="s">
        <v>14</v>
      </c>
      <c r="S37" s="668">
        <f t="shared" si="12"/>
        <v>100</v>
      </c>
      <c r="T37" s="667" t="s">
        <v>14</v>
      </c>
      <c r="U37" s="668">
        <f t="shared" si="13"/>
        <v>100</v>
      </c>
      <c r="V37" s="667" t="s">
        <v>14</v>
      </c>
      <c r="W37" s="668">
        <f t="shared" si="14"/>
        <v>100</v>
      </c>
      <c r="X37" s="1265"/>
      <c r="Y37" s="336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3"/>
      <c r="Q38" s="531">
        <f t="shared" si="11"/>
        <v>111</v>
      </c>
      <c r="R38" s="669" t="s">
        <v>14</v>
      </c>
      <c r="S38" s="670">
        <f t="shared" si="12"/>
        <v>100</v>
      </c>
      <c r="T38" s="669" t="s">
        <v>14</v>
      </c>
      <c r="U38" s="670">
        <f t="shared" si="13"/>
        <v>100</v>
      </c>
      <c r="V38" s="669" t="s">
        <v>14</v>
      </c>
      <c r="W38" s="670">
        <f t="shared" si="14"/>
        <v>100</v>
      </c>
      <c r="X38" s="671"/>
      <c r="Y38" s="336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3"/>
      <c r="Q39" s="1263">
        <f t="shared" si="11"/>
        <v>111</v>
      </c>
      <c r="R39" s="667" t="s">
        <v>14</v>
      </c>
      <c r="S39" s="668">
        <f t="shared" si="12"/>
        <v>100</v>
      </c>
      <c r="T39" s="667" t="s">
        <v>14</v>
      </c>
      <c r="U39" s="668">
        <f t="shared" si="13"/>
        <v>100</v>
      </c>
      <c r="V39" s="667" t="s">
        <v>14</v>
      </c>
      <c r="W39" s="668">
        <f t="shared" si="14"/>
        <v>100</v>
      </c>
      <c r="X39" s="1265"/>
      <c r="Y39" s="3363"/>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4">
        <f>E41</f>
        <v>0</v>
      </c>
      <c r="S41" s="3364"/>
      <c r="T41" s="3364">
        <f>G41</f>
        <v>0</v>
      </c>
      <c r="U41" s="3364"/>
      <c r="V41" s="3364">
        <f>I41</f>
        <v>0</v>
      </c>
      <c r="W41" s="3364"/>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59" t="str">
        <f>A42</f>
        <v>比较价值（元/平方米）</v>
      </c>
      <c r="Q42" s="3359"/>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3" t="str">
        <f>A43</f>
        <v>估价对象XX用房的比较价值（楼面单价，元/平方米）</v>
      </c>
      <c r="Q43" s="3354"/>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371" t="s">
        <v>1775</v>
      </c>
      <c r="Q4" s="3372"/>
      <c r="R4" s="3377" t="s">
        <v>1771</v>
      </c>
      <c r="S4" s="3378"/>
      <c r="T4" s="3377" t="s">
        <v>1772</v>
      </c>
      <c r="U4" s="3378"/>
      <c r="V4" s="3364" t="s">
        <v>1773</v>
      </c>
      <c r="W4" s="3364"/>
      <c r="X4" s="1265"/>
      <c r="Y4" s="3377" t="s">
        <v>1775</v>
      </c>
      <c r="Z4" s="3378"/>
      <c r="AA4" s="3365" t="s">
        <v>1771</v>
      </c>
      <c r="AB4" s="3366" t="s">
        <v>1772</v>
      </c>
      <c r="AC4" s="3365" t="s">
        <v>1773</v>
      </c>
    </row>
    <row r="5" spans="1:29" ht="15">
      <c r="A5" s="348"/>
      <c r="B5" s="349"/>
      <c r="C5" s="3385" t="s">
        <v>1673</v>
      </c>
      <c r="D5" s="3386"/>
      <c r="E5" s="3392" t="s">
        <v>1674</v>
      </c>
      <c r="F5" s="3393"/>
      <c r="G5" s="3385" t="s">
        <v>1675</v>
      </c>
      <c r="H5" s="3386"/>
      <c r="I5" s="3385" t="s">
        <v>1676</v>
      </c>
      <c r="J5" s="3386"/>
      <c r="K5" s="537"/>
      <c r="L5" s="2482"/>
      <c r="M5" s="2483"/>
      <c r="N5" s="2483"/>
      <c r="O5" s="2483"/>
      <c r="P5" s="3373"/>
      <c r="Q5" s="3374"/>
      <c r="R5" s="3379"/>
      <c r="S5" s="3380"/>
      <c r="T5" s="3379"/>
      <c r="U5" s="3380"/>
      <c r="V5" s="3364"/>
      <c r="W5" s="3364"/>
      <c r="X5" s="1265"/>
      <c r="Y5" s="3379"/>
      <c r="Z5" s="3380"/>
      <c r="AA5" s="3366"/>
      <c r="AB5" s="3366"/>
      <c r="AC5" s="3366"/>
    </row>
    <row r="6" spans="1:29" ht="15.75" thickBot="1">
      <c r="A6" s="350"/>
      <c r="B6" s="351"/>
      <c r="C6" s="3383" t="s">
        <v>1677</v>
      </c>
      <c r="D6" s="3384"/>
      <c r="E6" s="3390" t="s">
        <v>1677</v>
      </c>
      <c r="F6" s="3391"/>
      <c r="G6" s="3383" t="s">
        <v>1677</v>
      </c>
      <c r="H6" s="3384"/>
      <c r="I6" s="3383" t="s">
        <v>1677</v>
      </c>
      <c r="J6" s="3384"/>
      <c r="K6" s="537" t="s">
        <v>1678</v>
      </c>
      <c r="L6" s="2482"/>
      <c r="M6" s="2483"/>
      <c r="N6" s="2483"/>
      <c r="O6" s="2483"/>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c r="F7" s="357">
        <f>SUMIF(48:48,YEAR(E7)&amp;"-"&amp;MONTH(E7),49:49)</f>
        <v>0</v>
      </c>
      <c r="G7" s="356"/>
      <c r="H7" s="355">
        <f>SUMIF(48:48,YEAR(G7)&amp;"-"&amp;MONTH(G7),49:49)</f>
        <v>0</v>
      </c>
      <c r="I7" s="356"/>
      <c r="J7" s="355">
        <f>SUMIF(48:48,YEAR(I7)&amp;"-"&amp;MONTH(I7),49:49)</f>
        <v>0</v>
      </c>
      <c r="K7" s="38"/>
      <c r="L7" s="2484"/>
      <c r="M7" s="2436"/>
      <c r="N7" s="2436"/>
      <c r="O7" s="2436"/>
      <c r="P7" s="3387" t="s">
        <v>1680</v>
      </c>
      <c r="Q7" s="3389"/>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59"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59"/>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59"/>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59"/>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59"/>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45" t="s">
        <v>1690</v>
      </c>
      <c r="B14" s="554" t="s">
        <v>1833</v>
      </c>
      <c r="C14" s="1817" t="str">
        <f>IF(B1="工业",估价对象房地状况!G4,估价对象房地状况!C6)</f>
        <v>T18\T48，较差</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0" t="s">
        <v>1691</v>
      </c>
      <c r="Q14" s="1263" t="str">
        <f t="shared" si="6"/>
        <v>交通便捷度</v>
      </c>
      <c r="R14" s="667" t="s">
        <v>14</v>
      </c>
      <c r="S14" s="668">
        <f t="shared" si="0"/>
        <v>100</v>
      </c>
      <c r="T14" s="667" t="s">
        <v>14</v>
      </c>
      <c r="U14" s="668">
        <f t="shared" si="1"/>
        <v>100</v>
      </c>
      <c r="V14" s="667" t="s">
        <v>14</v>
      </c>
      <c r="W14" s="668">
        <f t="shared" si="2"/>
        <v>100</v>
      </c>
      <c r="X14" s="1265"/>
      <c r="Y14" s="336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61"/>
      <c r="Q15" s="1263"/>
      <c r="R15" s="667"/>
      <c r="S15" s="668"/>
      <c r="T15" s="667"/>
      <c r="U15" s="668"/>
      <c r="V15" s="667"/>
      <c r="W15" s="668"/>
      <c r="X15" s="1265"/>
      <c r="Y15" s="3361"/>
      <c r="Z15" s="1264"/>
      <c r="AA15" s="1264">
        <v>1</v>
      </c>
      <c r="AB15" s="1264">
        <v>1</v>
      </c>
      <c r="AC15" s="1264">
        <v>1</v>
      </c>
    </row>
    <row r="16" spans="1:29" ht="57">
      <c r="A16" s="348"/>
      <c r="B16" s="556" t="s">
        <v>1812</v>
      </c>
      <c r="C16" s="1753" t="str">
        <f>IF(B1="工业",估价对象房地状况!G5,估价对象房地状况!C7)</f>
        <v>新华联生活超市等；北京电影学院培训中心等，较差</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61"/>
      <c r="Q16" s="1263" t="str">
        <f>B16</f>
        <v>公共配套设施</v>
      </c>
      <c r="R16" s="667" t="s">
        <v>14</v>
      </c>
      <c r="S16" s="668">
        <f>F16</f>
        <v>100</v>
      </c>
      <c r="T16" s="667" t="s">
        <v>14</v>
      </c>
      <c r="U16" s="668">
        <f>H16</f>
        <v>100</v>
      </c>
      <c r="V16" s="667" t="s">
        <v>14</v>
      </c>
      <c r="W16" s="668">
        <f>J16</f>
        <v>100</v>
      </c>
      <c r="X16" s="1265"/>
      <c r="Y16" s="3361"/>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88"/>
      <c r="M17" s="2483"/>
      <c r="N17" s="2483"/>
      <c r="O17" s="2483"/>
      <c r="P17" s="3361"/>
      <c r="Q17" s="1263"/>
      <c r="R17" s="667"/>
      <c r="S17" s="668"/>
      <c r="T17" s="667"/>
      <c r="U17" s="668"/>
      <c r="V17" s="667"/>
      <c r="W17" s="668"/>
      <c r="X17" s="1265"/>
      <c r="Y17" s="3361"/>
      <c r="Z17" s="1264"/>
      <c r="AA17" s="1264">
        <v>1</v>
      </c>
      <c r="AB17" s="1264">
        <v>1</v>
      </c>
      <c r="AC17" s="1264">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61"/>
      <c r="Q18" s="1263" t="str">
        <f>B18</f>
        <v>基础设施水平</v>
      </c>
      <c r="R18" s="667" t="s">
        <v>14</v>
      </c>
      <c r="S18" s="668">
        <f>F18</f>
        <v>100</v>
      </c>
      <c r="T18" s="667" t="s">
        <v>14</v>
      </c>
      <c r="U18" s="668">
        <f>H18</f>
        <v>100</v>
      </c>
      <c r="V18" s="667" t="s">
        <v>14</v>
      </c>
      <c r="W18" s="668">
        <f>J18</f>
        <v>100</v>
      </c>
      <c r="X18" s="1265"/>
      <c r="Y18" s="3361"/>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88"/>
      <c r="M19" s="2483"/>
      <c r="N19" s="2483"/>
      <c r="O19" s="2483"/>
      <c r="P19" s="3361"/>
      <c r="Q19" s="1263"/>
      <c r="R19" s="667"/>
      <c r="S19" s="668"/>
      <c r="T19" s="667"/>
      <c r="U19" s="668"/>
      <c r="V19" s="667"/>
      <c r="W19" s="668"/>
      <c r="X19" s="1265"/>
      <c r="Y19" s="3361"/>
      <c r="Z19" s="1264"/>
      <c r="AA19" s="1264">
        <v>1</v>
      </c>
      <c r="AB19" s="1264">
        <v>1</v>
      </c>
      <c r="AC19" s="1264">
        <v>1</v>
      </c>
    </row>
    <row r="20" spans="1:29" ht="71.25">
      <c r="A20" s="348"/>
      <c r="B20" s="556" t="s">
        <v>1834</v>
      </c>
      <c r="C20" s="1753" t="str">
        <f>IF(B1="工业",估价对象房地状况!G7,估价对象房地状况!C9)</f>
        <v>区域自然环境：；人文环境：北塘艺术区；综合评价环境状况一般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61"/>
      <c r="Q20" s="1263" t="str">
        <f>B20</f>
        <v>自然及人文环境</v>
      </c>
      <c r="R20" s="667" t="s">
        <v>14</v>
      </c>
      <c r="S20" s="668">
        <f>F20</f>
        <v>100</v>
      </c>
      <c r="T20" s="667" t="s">
        <v>14</v>
      </c>
      <c r="U20" s="668">
        <f>H20</f>
        <v>100</v>
      </c>
      <c r="V20" s="667" t="s">
        <v>14</v>
      </c>
      <c r="W20" s="668">
        <f>J20</f>
        <v>100</v>
      </c>
      <c r="X20" s="1265"/>
      <c r="Y20" s="336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61"/>
      <c r="Q21" s="1263"/>
      <c r="R21" s="667"/>
      <c r="S21" s="668"/>
      <c r="T21" s="667"/>
      <c r="U21" s="668"/>
      <c r="V21" s="667"/>
      <c r="W21" s="668"/>
      <c r="X21" s="1265"/>
      <c r="Y21" s="336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61"/>
      <c r="Q22" s="1263" t="str">
        <f>B22</f>
        <v>楼层</v>
      </c>
      <c r="R22" s="667" t="s">
        <v>14</v>
      </c>
      <c r="S22" s="668">
        <f>F22</f>
        <v>100</v>
      </c>
      <c r="T22" s="667" t="s">
        <v>14</v>
      </c>
      <c r="U22" s="668">
        <f>H22</f>
        <v>100</v>
      </c>
      <c r="V22" s="667" t="s">
        <v>14</v>
      </c>
      <c r="W22" s="668">
        <f>J22</f>
        <v>100</v>
      </c>
      <c r="X22" s="1265"/>
      <c r="Y22" s="336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61"/>
      <c r="Q23" s="1263">
        <f>B23</f>
        <v>111</v>
      </c>
      <c r="R23" s="667" t="s">
        <v>14</v>
      </c>
      <c r="S23" s="668">
        <f>F23</f>
        <v>100</v>
      </c>
      <c r="T23" s="667" t="s">
        <v>14</v>
      </c>
      <c r="U23" s="668">
        <f>H23</f>
        <v>100</v>
      </c>
      <c r="V23" s="667" t="s">
        <v>14</v>
      </c>
      <c r="W23" s="668">
        <f>J23</f>
        <v>100</v>
      </c>
      <c r="X23" s="1265"/>
      <c r="Y23" s="336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61"/>
      <c r="Q24" s="1263">
        <f t="shared" ref="Q24:Q36" si="11">B24</f>
        <v>111</v>
      </c>
      <c r="R24" s="667" t="s">
        <v>14</v>
      </c>
      <c r="S24" s="668">
        <f>F24</f>
        <v>100</v>
      </c>
      <c r="T24" s="667" t="s">
        <v>14</v>
      </c>
      <c r="U24" s="668">
        <f>H24</f>
        <v>100</v>
      </c>
      <c r="V24" s="667" t="s">
        <v>14</v>
      </c>
      <c r="W24" s="668">
        <f>J24</f>
        <v>100</v>
      </c>
      <c r="X24" s="1265"/>
      <c r="Y24" s="336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61"/>
      <c r="Q25" s="530">
        <f t="shared" si="11"/>
        <v>111</v>
      </c>
      <c r="R25" s="664" t="s">
        <v>14</v>
      </c>
      <c r="S25" s="665">
        <f>F25</f>
        <v>100</v>
      </c>
      <c r="T25" s="664" t="s">
        <v>14</v>
      </c>
      <c r="U25" s="665">
        <f>H25</f>
        <v>100</v>
      </c>
      <c r="V25" s="664" t="s">
        <v>14</v>
      </c>
      <c r="W25" s="665">
        <f>J25</f>
        <v>100</v>
      </c>
      <c r="X25" s="666"/>
      <c r="Y25" s="3361"/>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63"/>
      <c r="Q27" s="531" t="str">
        <f t="shared" si="11"/>
        <v>项目停车位配比</v>
      </c>
      <c r="R27" s="669" t="s">
        <v>14</v>
      </c>
      <c r="S27" s="670">
        <f t="shared" si="12"/>
        <v>100</v>
      </c>
      <c r="T27" s="669" t="s">
        <v>14</v>
      </c>
      <c r="U27" s="670">
        <f t="shared" si="13"/>
        <v>100</v>
      </c>
      <c r="V27" s="669" t="s">
        <v>14</v>
      </c>
      <c r="W27" s="670">
        <f t="shared" si="14"/>
        <v>100</v>
      </c>
      <c r="X27" s="671"/>
      <c r="Y27" s="336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63"/>
      <c r="Q28" s="1263" t="str">
        <f t="shared" si="11"/>
        <v>公共部分装修</v>
      </c>
      <c r="R28" s="667" t="s">
        <v>14</v>
      </c>
      <c r="S28" s="668">
        <f t="shared" si="12"/>
        <v>100</v>
      </c>
      <c r="T28" s="667" t="s">
        <v>14</v>
      </c>
      <c r="U28" s="668">
        <f t="shared" si="13"/>
        <v>100</v>
      </c>
      <c r="V28" s="667" t="s">
        <v>14</v>
      </c>
      <c r="W28" s="668">
        <f t="shared" si="14"/>
        <v>100</v>
      </c>
      <c r="X28" s="1265"/>
      <c r="Y28" s="336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63"/>
      <c r="Q29" s="1263" t="str">
        <f t="shared" si="11"/>
        <v>成新率</v>
      </c>
      <c r="R29" s="667" t="s">
        <v>14</v>
      </c>
      <c r="S29" s="668" t="e">
        <f t="shared" si="12"/>
        <v>#N/A</v>
      </c>
      <c r="T29" s="667" t="s">
        <v>14</v>
      </c>
      <c r="U29" s="668" t="e">
        <f t="shared" si="13"/>
        <v>#N/A</v>
      </c>
      <c r="V29" s="667" t="s">
        <v>14</v>
      </c>
      <c r="W29" s="668" t="e">
        <f t="shared" si="14"/>
        <v>#N/A</v>
      </c>
      <c r="X29" s="1265"/>
      <c r="Y29" s="336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63"/>
      <c r="Q30" s="1263" t="str">
        <f t="shared" si="11"/>
        <v>物业等级</v>
      </c>
      <c r="R30" s="667" t="s">
        <v>14</v>
      </c>
      <c r="S30" s="668">
        <f t="shared" si="12"/>
        <v>100</v>
      </c>
      <c r="T30" s="667" t="s">
        <v>14</v>
      </c>
      <c r="U30" s="668">
        <f t="shared" si="13"/>
        <v>100</v>
      </c>
      <c r="V30" s="667" t="s">
        <v>14</v>
      </c>
      <c r="W30" s="668">
        <f t="shared" si="14"/>
        <v>100</v>
      </c>
      <c r="X30" s="1265"/>
      <c r="Y30" s="336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63"/>
      <c r="Q31" s="530" t="str">
        <f t="shared" si="11"/>
        <v>停车位面积</v>
      </c>
      <c r="R31" s="664" t="s">
        <v>14</v>
      </c>
      <c r="S31" s="665" t="e">
        <f t="shared" si="12"/>
        <v>#N/A</v>
      </c>
      <c r="T31" s="664" t="s">
        <v>14</v>
      </c>
      <c r="U31" s="665" t="e">
        <f t="shared" si="13"/>
        <v>#N/A</v>
      </c>
      <c r="V31" s="664" t="s">
        <v>14</v>
      </c>
      <c r="W31" s="665" t="e">
        <f t="shared" si="14"/>
        <v>#N/A</v>
      </c>
      <c r="X31" s="666"/>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63" t="s">
        <v>1696</v>
      </c>
      <c r="Q32" s="1263" t="str">
        <f t="shared" si="11"/>
        <v>车位类型</v>
      </c>
      <c r="R32" s="667" t="s">
        <v>14</v>
      </c>
      <c r="S32" s="668">
        <f t="shared" si="12"/>
        <v>100</v>
      </c>
      <c r="T32" s="667" t="s">
        <v>14</v>
      </c>
      <c r="U32" s="668">
        <f t="shared" si="13"/>
        <v>100</v>
      </c>
      <c r="V32" s="667" t="s">
        <v>14</v>
      </c>
      <c r="W32" s="668">
        <f t="shared" si="14"/>
        <v>100</v>
      </c>
      <c r="X32" s="1265"/>
      <c r="Y32" s="336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63"/>
      <c r="Q33" s="1263" t="str">
        <f t="shared" si="11"/>
        <v>是否直接入户</v>
      </c>
      <c r="R33" s="667" t="s">
        <v>14</v>
      </c>
      <c r="S33" s="668">
        <f t="shared" si="12"/>
        <v>100</v>
      </c>
      <c r="T33" s="667" t="s">
        <v>14</v>
      </c>
      <c r="U33" s="668">
        <f t="shared" si="13"/>
        <v>100</v>
      </c>
      <c r="V33" s="667" t="s">
        <v>14</v>
      </c>
      <c r="W33" s="668">
        <f t="shared" si="14"/>
        <v>100</v>
      </c>
      <c r="X33" s="1265"/>
      <c r="Y33" s="336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63"/>
      <c r="Q35" s="531">
        <f t="shared" si="11"/>
        <v>111</v>
      </c>
      <c r="R35" s="669" t="s">
        <v>14</v>
      </c>
      <c r="S35" s="670">
        <f t="shared" si="12"/>
        <v>100</v>
      </c>
      <c r="T35" s="669" t="s">
        <v>14</v>
      </c>
      <c r="U35" s="670">
        <f t="shared" si="13"/>
        <v>100</v>
      </c>
      <c r="V35" s="669" t="s">
        <v>14</v>
      </c>
      <c r="W35" s="670">
        <f t="shared" si="14"/>
        <v>100</v>
      </c>
      <c r="X35" s="671"/>
      <c r="Y35" s="336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63"/>
      <c r="Q36" s="1263">
        <f t="shared" si="11"/>
        <v>111</v>
      </c>
      <c r="R36" s="667" t="s">
        <v>14</v>
      </c>
      <c r="S36" s="668">
        <f t="shared" si="12"/>
        <v>100</v>
      </c>
      <c r="T36" s="667" t="s">
        <v>14</v>
      </c>
      <c r="U36" s="668">
        <f t="shared" si="13"/>
        <v>100</v>
      </c>
      <c r="V36" s="667" t="s">
        <v>14</v>
      </c>
      <c r="W36" s="668">
        <f t="shared" si="14"/>
        <v>100</v>
      </c>
      <c r="X36" s="1265"/>
      <c r="Y36" s="3363"/>
      <c r="Z36" s="1264">
        <f t="shared" si="15"/>
        <v>111</v>
      </c>
      <c r="AA36" s="1264">
        <f t="shared" si="3"/>
        <v>1</v>
      </c>
      <c r="AB36" s="1264">
        <f t="shared" si="4"/>
        <v>1</v>
      </c>
      <c r="AC36" s="1264">
        <f t="shared" si="5"/>
        <v>1</v>
      </c>
    </row>
    <row r="37" spans="1:29" ht="15">
      <c r="A37" s="416" t="s">
        <v>1844</v>
      </c>
      <c r="B37" s="1819" t="s">
        <v>3345</v>
      </c>
      <c r="C37" s="1081" t="s">
        <v>0</v>
      </c>
      <c r="D37" s="418"/>
      <c r="E37" s="419"/>
      <c r="F37" s="420"/>
      <c r="G37" s="421"/>
      <c r="H37" s="422"/>
      <c r="I37" s="419"/>
      <c r="J37" s="422"/>
      <c r="K37" s="545"/>
      <c r="L37" s="2490"/>
      <c r="M37" s="2483"/>
      <c r="N37" s="2483"/>
      <c r="O37" s="2483"/>
      <c r="P37" s="3359" t="str">
        <f>A37</f>
        <v>成交单价</v>
      </c>
      <c r="Q37" s="3359"/>
      <c r="R37" s="3364">
        <f>E37</f>
        <v>0</v>
      </c>
      <c r="S37" s="3364"/>
      <c r="T37" s="3364">
        <f>G37</f>
        <v>0</v>
      </c>
      <c r="U37" s="3364"/>
      <c r="V37" s="3364">
        <f>I37</f>
        <v>0</v>
      </c>
      <c r="W37" s="3364"/>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0"/>
      <c r="M38" s="2483"/>
      <c r="N38" s="2483"/>
      <c r="O38" s="2483"/>
      <c r="P38" s="3359" t="str">
        <f>A38</f>
        <v>比较价值（元/平方米）</v>
      </c>
      <c r="Q38" s="3359"/>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53" t="str">
        <f>A39</f>
        <v>估价对象XX用房的比较价值（楼面单价，元/平方米）</v>
      </c>
      <c r="Q39" s="3354"/>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371" t="s">
        <v>1775</v>
      </c>
      <c r="Q4" s="3372"/>
      <c r="R4" s="3377" t="s">
        <v>1771</v>
      </c>
      <c r="S4" s="3378"/>
      <c r="T4" s="3377" t="s">
        <v>1772</v>
      </c>
      <c r="U4" s="3378"/>
      <c r="V4" s="3364" t="s">
        <v>1773</v>
      </c>
      <c r="W4" s="3364"/>
      <c r="X4" s="1265"/>
      <c r="Y4" s="3377" t="s">
        <v>1775</v>
      </c>
      <c r="Z4" s="3378"/>
      <c r="AA4" s="3365" t="s">
        <v>1771</v>
      </c>
      <c r="AB4" s="3366" t="s">
        <v>1772</v>
      </c>
      <c r="AC4" s="3365" t="s">
        <v>1773</v>
      </c>
    </row>
    <row r="5" spans="1:29" ht="15">
      <c r="A5" s="348"/>
      <c r="B5" s="349"/>
      <c r="C5" s="3385" t="s">
        <v>1673</v>
      </c>
      <c r="D5" s="3386"/>
      <c r="E5" s="3392" t="s">
        <v>1674</v>
      </c>
      <c r="F5" s="3393"/>
      <c r="G5" s="3385" t="s">
        <v>1675</v>
      </c>
      <c r="H5" s="3386"/>
      <c r="I5" s="3385" t="s">
        <v>1676</v>
      </c>
      <c r="J5" s="3386"/>
      <c r="K5" s="537"/>
      <c r="L5" s="2482"/>
      <c r="M5" s="2483"/>
      <c r="N5" s="2483"/>
      <c r="O5" s="2483"/>
      <c r="P5" s="3373"/>
      <c r="Q5" s="3374"/>
      <c r="R5" s="3379"/>
      <c r="S5" s="3380"/>
      <c r="T5" s="3379"/>
      <c r="U5" s="3380"/>
      <c r="V5" s="3364"/>
      <c r="W5" s="3364"/>
      <c r="X5" s="1265"/>
      <c r="Y5" s="3379"/>
      <c r="Z5" s="3380"/>
      <c r="AA5" s="3366"/>
      <c r="AB5" s="3366"/>
      <c r="AC5" s="3366"/>
    </row>
    <row r="6" spans="1:29" ht="15.75" thickBot="1">
      <c r="A6" s="350"/>
      <c r="B6" s="351"/>
      <c r="C6" s="3383" t="s">
        <v>1677</v>
      </c>
      <c r="D6" s="3384"/>
      <c r="E6" s="3390" t="s">
        <v>1677</v>
      </c>
      <c r="F6" s="3391"/>
      <c r="G6" s="3383" t="s">
        <v>1677</v>
      </c>
      <c r="H6" s="3384"/>
      <c r="I6" s="3383" t="s">
        <v>1677</v>
      </c>
      <c r="J6" s="3384"/>
      <c r="K6" s="537" t="s">
        <v>1678</v>
      </c>
      <c r="L6" s="2482"/>
      <c r="M6" s="2483"/>
      <c r="N6" s="2483"/>
      <c r="O6" s="2483"/>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87" t="s">
        <v>1680</v>
      </c>
      <c r="Q7" s="3389"/>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59"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59"/>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59"/>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59"/>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59"/>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79" t="s">
        <v>1690</v>
      </c>
      <c r="B14" s="58" t="s">
        <v>1833</v>
      </c>
      <c r="C14" s="1817" t="str">
        <f>IF(B1="工业",估价对象房地状况!G4,估价对象房地状况!C6)</f>
        <v>T18\T48，较差</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0" t="s">
        <v>1691</v>
      </c>
      <c r="Q14" s="1263" t="str">
        <f t="shared" si="6"/>
        <v>交通便捷度</v>
      </c>
      <c r="R14" s="667" t="s">
        <v>14</v>
      </c>
      <c r="S14" s="668">
        <f t="shared" si="0"/>
        <v>100</v>
      </c>
      <c r="T14" s="667" t="s">
        <v>14</v>
      </c>
      <c r="U14" s="668">
        <f t="shared" si="1"/>
        <v>100</v>
      </c>
      <c r="V14" s="667" t="s">
        <v>14</v>
      </c>
      <c r="W14" s="668">
        <f t="shared" si="2"/>
        <v>100</v>
      </c>
      <c r="X14" s="1265"/>
      <c r="Y14" s="336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61"/>
      <c r="Q15" s="1263"/>
      <c r="R15" s="667"/>
      <c r="S15" s="668"/>
      <c r="T15" s="667"/>
      <c r="U15" s="668"/>
      <c r="V15" s="667"/>
      <c r="W15" s="668"/>
      <c r="X15" s="1265"/>
      <c r="Y15" s="3361"/>
      <c r="Z15" s="1264"/>
      <c r="AA15" s="1264">
        <v>1</v>
      </c>
      <c r="AB15" s="1264">
        <v>1</v>
      </c>
      <c r="AC15" s="1264">
        <v>1</v>
      </c>
    </row>
    <row r="16" spans="1:29" ht="57">
      <c r="A16" s="367"/>
      <c r="B16" s="390" t="s">
        <v>1812</v>
      </c>
      <c r="C16" s="1753" t="str">
        <f>IF(B1="工业",估价对象房地状况!G5,估价对象房地状况!C7)</f>
        <v>新华联生活超市等；北京电影学院培训中心等，较差</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61"/>
      <c r="Q16" s="1263" t="str">
        <f>B16</f>
        <v>公共配套设施</v>
      </c>
      <c r="R16" s="667" t="s">
        <v>14</v>
      </c>
      <c r="S16" s="668">
        <f>F16</f>
        <v>100</v>
      </c>
      <c r="T16" s="667" t="s">
        <v>14</v>
      </c>
      <c r="U16" s="668">
        <f>H16</f>
        <v>100</v>
      </c>
      <c r="V16" s="667" t="s">
        <v>14</v>
      </c>
      <c r="W16" s="668">
        <f>J16</f>
        <v>100</v>
      </c>
      <c r="X16" s="1265"/>
      <c r="Y16" s="3361"/>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88"/>
      <c r="M17" s="2483"/>
      <c r="N17" s="2483"/>
      <c r="O17" s="2538"/>
      <c r="P17" s="3361"/>
      <c r="Q17" s="1263"/>
      <c r="R17" s="667"/>
      <c r="S17" s="668"/>
      <c r="T17" s="667"/>
      <c r="U17" s="668"/>
      <c r="V17" s="667"/>
      <c r="W17" s="668"/>
      <c r="X17" s="1265"/>
      <c r="Y17" s="3361"/>
      <c r="Z17" s="1264"/>
      <c r="AA17" s="1264">
        <v>1</v>
      </c>
      <c r="AB17" s="1264">
        <v>1</v>
      </c>
      <c r="AC17" s="1264">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61"/>
      <c r="Q18" s="1263" t="str">
        <f>B18</f>
        <v>基础设施水平</v>
      </c>
      <c r="R18" s="667" t="s">
        <v>14</v>
      </c>
      <c r="S18" s="668">
        <f>F18</f>
        <v>100</v>
      </c>
      <c r="T18" s="667" t="s">
        <v>14</v>
      </c>
      <c r="U18" s="668">
        <f>H18</f>
        <v>100</v>
      </c>
      <c r="V18" s="667" t="s">
        <v>14</v>
      </c>
      <c r="W18" s="668">
        <f>J18</f>
        <v>100</v>
      </c>
      <c r="X18" s="1265"/>
      <c r="Y18" s="3361"/>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88"/>
      <c r="M19" s="2483"/>
      <c r="N19" s="2483"/>
      <c r="O19" s="2538"/>
      <c r="P19" s="3361"/>
      <c r="Q19" s="1263"/>
      <c r="R19" s="667"/>
      <c r="S19" s="668"/>
      <c r="T19" s="667"/>
      <c r="U19" s="668"/>
      <c r="V19" s="667"/>
      <c r="W19" s="668"/>
      <c r="X19" s="1265"/>
      <c r="Y19" s="3361"/>
      <c r="Z19" s="1264"/>
      <c r="AA19" s="1264">
        <v>1</v>
      </c>
      <c r="AB19" s="1264">
        <v>1</v>
      </c>
      <c r="AC19" s="1264">
        <v>1</v>
      </c>
    </row>
    <row r="20" spans="1:29" ht="71.25">
      <c r="A20" s="367"/>
      <c r="B20" s="390" t="s">
        <v>1834</v>
      </c>
      <c r="C20" s="1753" t="str">
        <f>IF(B1="工业",估价对象房地状况!G7,估价对象房地状况!C9)</f>
        <v>区域自然环境：；人文环境：北塘艺术区；综合评价环境状况一般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61"/>
      <c r="Q20" s="1263" t="str">
        <f>B20</f>
        <v>自然及人文环境</v>
      </c>
      <c r="R20" s="667" t="s">
        <v>14</v>
      </c>
      <c r="S20" s="668">
        <f>F20</f>
        <v>100</v>
      </c>
      <c r="T20" s="667" t="s">
        <v>14</v>
      </c>
      <c r="U20" s="668">
        <f>H20</f>
        <v>100</v>
      </c>
      <c r="V20" s="667" t="s">
        <v>14</v>
      </c>
      <c r="W20" s="668">
        <f>J20</f>
        <v>100</v>
      </c>
      <c r="X20" s="1265"/>
      <c r="Y20" s="336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61"/>
      <c r="Q21" s="1263"/>
      <c r="R21" s="667"/>
      <c r="S21" s="668"/>
      <c r="T21" s="667"/>
      <c r="U21" s="668"/>
      <c r="V21" s="667"/>
      <c r="W21" s="668"/>
      <c r="X21" s="1265"/>
      <c r="Y21" s="336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61"/>
      <c r="Q22" s="1263" t="str">
        <f>B22</f>
        <v>楼层</v>
      </c>
      <c r="R22" s="667" t="s">
        <v>14</v>
      </c>
      <c r="S22" s="668">
        <f>F22</f>
        <v>100</v>
      </c>
      <c r="T22" s="667" t="s">
        <v>14</v>
      </c>
      <c r="U22" s="668">
        <f>H22</f>
        <v>100</v>
      </c>
      <c r="V22" s="667" t="s">
        <v>14</v>
      </c>
      <c r="W22" s="668">
        <f>J22</f>
        <v>100</v>
      </c>
      <c r="X22" s="1265"/>
      <c r="Y22" s="336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61"/>
      <c r="Q23" s="1263">
        <f>B23</f>
        <v>111</v>
      </c>
      <c r="R23" s="667" t="s">
        <v>14</v>
      </c>
      <c r="S23" s="668">
        <f>F23</f>
        <v>100</v>
      </c>
      <c r="T23" s="667" t="s">
        <v>14</v>
      </c>
      <c r="U23" s="668">
        <f>H23</f>
        <v>100</v>
      </c>
      <c r="V23" s="667" t="s">
        <v>14</v>
      </c>
      <c r="W23" s="668">
        <f>J23</f>
        <v>100</v>
      </c>
      <c r="X23" s="1265"/>
      <c r="Y23" s="336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61"/>
      <c r="Q24" s="1263">
        <f t="shared" ref="Q24:Q34" si="11">B24</f>
        <v>111</v>
      </c>
      <c r="R24" s="667" t="s">
        <v>14</v>
      </c>
      <c r="S24" s="668">
        <f>F24</f>
        <v>100</v>
      </c>
      <c r="T24" s="667" t="s">
        <v>14</v>
      </c>
      <c r="U24" s="668">
        <f>H24</f>
        <v>100</v>
      </c>
      <c r="V24" s="667" t="s">
        <v>14</v>
      </c>
      <c r="W24" s="668">
        <f>J24</f>
        <v>100</v>
      </c>
      <c r="X24" s="1265"/>
      <c r="Y24" s="336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361"/>
      <c r="Q25" s="530">
        <f t="shared" si="11"/>
        <v>111</v>
      </c>
      <c r="R25" s="664" t="s">
        <v>14</v>
      </c>
      <c r="S25" s="665">
        <f>F25</f>
        <v>100</v>
      </c>
      <c r="T25" s="664" t="s">
        <v>14</v>
      </c>
      <c r="U25" s="665">
        <f>H25</f>
        <v>100</v>
      </c>
      <c r="V25" s="664" t="s">
        <v>14</v>
      </c>
      <c r="W25" s="665">
        <f>J25</f>
        <v>100</v>
      </c>
      <c r="X25" s="666"/>
      <c r="Y25" s="3361"/>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3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63"/>
      <c r="Q27" s="531" t="str">
        <f t="shared" si="11"/>
        <v>成新率</v>
      </c>
      <c r="R27" s="669" t="s">
        <v>14</v>
      </c>
      <c r="S27" s="670" t="e">
        <f t="shared" si="12"/>
        <v>#N/A</v>
      </c>
      <c r="T27" s="669" t="s">
        <v>14</v>
      </c>
      <c r="U27" s="670" t="e">
        <f t="shared" si="13"/>
        <v>#N/A</v>
      </c>
      <c r="V27" s="669" t="s">
        <v>14</v>
      </c>
      <c r="W27" s="670" t="e">
        <f t="shared" si="14"/>
        <v>#N/A</v>
      </c>
      <c r="X27" s="671"/>
      <c r="Y27" s="336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63"/>
      <c r="Q28" s="1263" t="str">
        <f t="shared" si="11"/>
        <v>物业等级</v>
      </c>
      <c r="R28" s="667" t="s">
        <v>14</v>
      </c>
      <c r="S28" s="668">
        <f t="shared" si="12"/>
        <v>100</v>
      </c>
      <c r="T28" s="667" t="s">
        <v>14</v>
      </c>
      <c r="U28" s="668">
        <f t="shared" si="13"/>
        <v>100</v>
      </c>
      <c r="V28" s="667" t="s">
        <v>14</v>
      </c>
      <c r="W28" s="668">
        <f t="shared" si="14"/>
        <v>100</v>
      </c>
      <c r="X28" s="1265"/>
      <c r="Y28" s="336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63"/>
      <c r="Q29" s="1263" t="str">
        <f t="shared" si="11"/>
        <v>有无电梯</v>
      </c>
      <c r="R29" s="667" t="s">
        <v>14</v>
      </c>
      <c r="S29" s="668">
        <f t="shared" si="12"/>
        <v>100</v>
      </c>
      <c r="T29" s="667" t="s">
        <v>14</v>
      </c>
      <c r="U29" s="668">
        <f t="shared" si="13"/>
        <v>100</v>
      </c>
      <c r="V29" s="667" t="s">
        <v>14</v>
      </c>
      <c r="W29" s="668">
        <f t="shared" si="14"/>
        <v>100</v>
      </c>
      <c r="X29" s="1265"/>
      <c r="Y29" s="336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63"/>
      <c r="Q30" s="1263" t="str">
        <f t="shared" si="11"/>
        <v>建筑面积</v>
      </c>
      <c r="R30" s="667" t="s">
        <v>14</v>
      </c>
      <c r="S30" s="668" t="e">
        <f t="shared" si="12"/>
        <v>#N/A</v>
      </c>
      <c r="T30" s="667" t="s">
        <v>14</v>
      </c>
      <c r="U30" s="668" t="e">
        <f t="shared" si="13"/>
        <v>#N/A</v>
      </c>
      <c r="V30" s="667" t="s">
        <v>14</v>
      </c>
      <c r="W30" s="668" t="e">
        <f t="shared" si="14"/>
        <v>#N/A</v>
      </c>
      <c r="X30" s="1265"/>
      <c r="Y30" s="336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63"/>
      <c r="Q31" s="530" t="str">
        <f t="shared" si="11"/>
        <v>是否封闭</v>
      </c>
      <c r="R31" s="664" t="s">
        <v>14</v>
      </c>
      <c r="S31" s="665">
        <f t="shared" si="12"/>
        <v>100</v>
      </c>
      <c r="T31" s="664" t="s">
        <v>14</v>
      </c>
      <c r="U31" s="665">
        <f t="shared" si="13"/>
        <v>100</v>
      </c>
      <c r="V31" s="664" t="s">
        <v>14</v>
      </c>
      <c r="W31" s="665">
        <f t="shared" si="14"/>
        <v>100</v>
      </c>
      <c r="X31" s="666"/>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63" t="s">
        <v>1696</v>
      </c>
      <c r="Q32" s="1263">
        <f t="shared" si="11"/>
        <v>111</v>
      </c>
      <c r="R32" s="667" t="s">
        <v>14</v>
      </c>
      <c r="S32" s="668">
        <f t="shared" si="12"/>
        <v>100</v>
      </c>
      <c r="T32" s="667" t="s">
        <v>14</v>
      </c>
      <c r="U32" s="668">
        <f t="shared" si="13"/>
        <v>100</v>
      </c>
      <c r="V32" s="667" t="s">
        <v>14</v>
      </c>
      <c r="W32" s="668">
        <f t="shared" si="14"/>
        <v>100</v>
      </c>
      <c r="X32" s="1265"/>
      <c r="Y32" s="336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63"/>
      <c r="Q33" s="1263">
        <f t="shared" si="11"/>
        <v>111</v>
      </c>
      <c r="R33" s="667" t="s">
        <v>14</v>
      </c>
      <c r="S33" s="668">
        <f t="shared" si="12"/>
        <v>100</v>
      </c>
      <c r="T33" s="667" t="s">
        <v>14</v>
      </c>
      <c r="U33" s="668">
        <f t="shared" si="13"/>
        <v>100</v>
      </c>
      <c r="V33" s="667" t="s">
        <v>14</v>
      </c>
      <c r="W33" s="668">
        <f t="shared" si="14"/>
        <v>100</v>
      </c>
      <c r="X33" s="1265"/>
      <c r="Y33" s="3363"/>
      <c r="Z33" s="1264">
        <f t="shared" si="15"/>
        <v>111</v>
      </c>
      <c r="AA33" s="1264">
        <f t="shared" si="3"/>
        <v>1</v>
      </c>
      <c r="AB33" s="1264">
        <f t="shared" si="4"/>
        <v>1</v>
      </c>
      <c r="AC33" s="1264">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0"/>
      <c r="M35" s="2483"/>
      <c r="N35" s="2483"/>
      <c r="O35" s="2483"/>
      <c r="P35" s="3359" t="str">
        <f>A35</f>
        <v>成交单价（元/平方米）</v>
      </c>
      <c r="Q35" s="3359"/>
      <c r="R35" s="3364">
        <f>E35</f>
        <v>0</v>
      </c>
      <c r="S35" s="3364"/>
      <c r="T35" s="3364">
        <f>G35</f>
        <v>0</v>
      </c>
      <c r="U35" s="3364"/>
      <c r="V35" s="3364">
        <f>I35</f>
        <v>0</v>
      </c>
      <c r="W35" s="3364"/>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0"/>
      <c r="M36" s="2483"/>
      <c r="N36" s="2483"/>
      <c r="O36" s="2483"/>
      <c r="P36" s="3359" t="str">
        <f>A36</f>
        <v>比较价值（元/平方米）</v>
      </c>
      <c r="Q36" s="3359"/>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353" t="str">
        <f>A37</f>
        <v>估价对象XX用房的比较价值（楼面单价，元/平方米）</v>
      </c>
      <c r="Q37" s="3354"/>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56" t="s">
        <v>1770</v>
      </c>
      <c r="D4" s="3368"/>
      <c r="E4" s="3369" t="s">
        <v>1771</v>
      </c>
      <c r="F4" s="3370"/>
      <c r="G4" s="3356" t="s">
        <v>1772</v>
      </c>
      <c r="H4" s="3368"/>
      <c r="I4" s="3356" t="s">
        <v>1773</v>
      </c>
      <c r="J4" s="3368"/>
      <c r="K4" s="537" t="s">
        <v>1774</v>
      </c>
      <c r="L4" s="2482"/>
      <c r="M4" s="2483"/>
      <c r="N4" s="2483"/>
      <c r="O4" s="2483"/>
      <c r="P4" s="3371" t="s">
        <v>1775</v>
      </c>
      <c r="Q4" s="3372"/>
      <c r="R4" s="3377" t="s">
        <v>1771</v>
      </c>
      <c r="S4" s="3378"/>
      <c r="T4" s="3377" t="s">
        <v>1772</v>
      </c>
      <c r="U4" s="3378"/>
      <c r="V4" s="3364" t="s">
        <v>1773</v>
      </c>
      <c r="W4" s="3364"/>
      <c r="X4" s="1265"/>
      <c r="Y4" s="3377" t="s">
        <v>1775</v>
      </c>
      <c r="Z4" s="3378"/>
      <c r="AA4" s="3365" t="s">
        <v>1771</v>
      </c>
      <c r="AB4" s="3366" t="s">
        <v>1772</v>
      </c>
      <c r="AC4" s="3365" t="s">
        <v>1773</v>
      </c>
    </row>
    <row r="5" spans="1:29" ht="15">
      <c r="A5" s="348"/>
      <c r="B5" s="349"/>
      <c r="C5" s="3385" t="s">
        <v>1673</v>
      </c>
      <c r="D5" s="3386"/>
      <c r="E5" s="3392" t="s">
        <v>1674</v>
      </c>
      <c r="F5" s="3393"/>
      <c r="G5" s="3385" t="s">
        <v>1675</v>
      </c>
      <c r="H5" s="3386"/>
      <c r="I5" s="3385" t="s">
        <v>1676</v>
      </c>
      <c r="J5" s="3386"/>
      <c r="K5" s="537"/>
      <c r="L5" s="2482"/>
      <c r="M5" s="2483"/>
      <c r="N5" s="2483"/>
      <c r="O5" s="2483"/>
      <c r="P5" s="3373"/>
      <c r="Q5" s="3374"/>
      <c r="R5" s="3379"/>
      <c r="S5" s="3380"/>
      <c r="T5" s="3379"/>
      <c r="U5" s="3380"/>
      <c r="V5" s="3364"/>
      <c r="W5" s="3364"/>
      <c r="X5" s="1265"/>
      <c r="Y5" s="3379"/>
      <c r="Z5" s="3380"/>
      <c r="AA5" s="3366"/>
      <c r="AB5" s="3366"/>
      <c r="AC5" s="3366"/>
    </row>
    <row r="6" spans="1:29" ht="15.75" thickBot="1">
      <c r="A6" s="350"/>
      <c r="B6" s="351"/>
      <c r="C6" s="3447" t="s">
        <v>1919</v>
      </c>
      <c r="D6" s="3448"/>
      <c r="E6" s="3449" t="s">
        <v>1919</v>
      </c>
      <c r="F6" s="3450"/>
      <c r="G6" s="3447" t="s">
        <v>1919</v>
      </c>
      <c r="H6" s="3448"/>
      <c r="I6" s="3447" t="s">
        <v>1919</v>
      </c>
      <c r="J6" s="3448"/>
      <c r="K6" s="537" t="s">
        <v>1678</v>
      </c>
      <c r="L6" s="2482"/>
      <c r="M6" s="2483"/>
      <c r="N6" s="2483"/>
      <c r="O6" s="2483"/>
      <c r="P6" s="3375"/>
      <c r="Q6" s="3376"/>
      <c r="R6" s="3379"/>
      <c r="S6" s="3380"/>
      <c r="T6" s="3381"/>
      <c r="U6" s="3382"/>
      <c r="V6" s="3364"/>
      <c r="W6" s="3364"/>
      <c r="X6" s="1265"/>
      <c r="Y6" s="3381"/>
      <c r="Z6" s="3382"/>
      <c r="AA6" s="3367"/>
      <c r="AB6" s="3367"/>
      <c r="AC6" s="3367"/>
    </row>
    <row r="7" spans="1:29" s="102" customFormat="1" ht="15.75" thickBot="1">
      <c r="A7" s="352" t="s">
        <v>1679</v>
      </c>
      <c r="B7" s="353"/>
      <c r="C7" s="354">
        <f>'数据-取费表'!B2</f>
        <v>45664</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87" t="s">
        <v>1680</v>
      </c>
      <c r="Q7" s="3389"/>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59"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359"/>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59"/>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59"/>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59"/>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59"/>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60" t="s">
        <v>1691</v>
      </c>
      <c r="Q15" s="1263" t="str">
        <f t="shared" si="6"/>
        <v>产业集聚程度</v>
      </c>
      <c r="R15" s="667" t="s">
        <v>14</v>
      </c>
      <c r="S15" s="668">
        <f t="shared" si="0"/>
        <v>100</v>
      </c>
      <c r="T15" s="667" t="s">
        <v>14</v>
      </c>
      <c r="U15" s="668">
        <f t="shared" si="1"/>
        <v>100</v>
      </c>
      <c r="V15" s="667" t="s">
        <v>14</v>
      </c>
      <c r="W15" s="668">
        <f t="shared" si="2"/>
        <v>100</v>
      </c>
      <c r="X15" s="1265"/>
      <c r="Y15" s="3360"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88"/>
      <c r="M16" s="2483"/>
      <c r="N16" s="2483"/>
      <c r="O16" s="2538"/>
      <c r="P16" s="3361"/>
      <c r="Q16" s="1263"/>
      <c r="R16" s="667"/>
      <c r="S16" s="668"/>
      <c r="T16" s="667"/>
      <c r="U16" s="668"/>
      <c r="V16" s="667"/>
      <c r="W16" s="668"/>
      <c r="X16" s="1265"/>
      <c r="Y16" s="3361"/>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61"/>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88"/>
      <c r="M18" s="2483"/>
      <c r="N18" s="2483"/>
      <c r="O18" s="2538"/>
      <c r="P18" s="3361"/>
      <c r="Q18" s="1263"/>
      <c r="R18" s="667"/>
      <c r="S18" s="668"/>
      <c r="T18" s="667"/>
      <c r="U18" s="668"/>
      <c r="V18" s="667"/>
      <c r="W18" s="668"/>
      <c r="X18" s="1265"/>
      <c r="Y18" s="3361"/>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61"/>
      <c r="Q19" s="1263" t="str">
        <f t="shared" ref="Q19:Q33" si="8">B19</f>
        <v>区域土地利用方向</v>
      </c>
      <c r="R19" s="667" t="s">
        <v>14</v>
      </c>
      <c r="S19" s="668">
        <f>F19</f>
        <v>100</v>
      </c>
      <c r="T19" s="667" t="s">
        <v>14</v>
      </c>
      <c r="U19" s="668">
        <f>H19</f>
        <v>100</v>
      </c>
      <c r="V19" s="667" t="s">
        <v>14</v>
      </c>
      <c r="W19" s="668">
        <f>J19</f>
        <v>100</v>
      </c>
      <c r="X19" s="1265"/>
      <c r="Y19" s="3361"/>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88"/>
      <c r="M20" s="2483"/>
      <c r="N20" s="2483"/>
      <c r="O20" s="2538"/>
      <c r="P20" s="3361"/>
      <c r="Q20" s="1263"/>
      <c r="R20" s="667"/>
      <c r="S20" s="668"/>
      <c r="T20" s="667"/>
      <c r="U20" s="668"/>
      <c r="V20" s="667"/>
      <c r="W20" s="668"/>
      <c r="X20" s="1265"/>
      <c r="Y20" s="3361"/>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61"/>
      <c r="Q21" s="1263" t="str">
        <f t="shared" si="8"/>
        <v>环境状况</v>
      </c>
      <c r="R21" s="667" t="s">
        <v>14</v>
      </c>
      <c r="S21" s="668">
        <f>F21</f>
        <v>100</v>
      </c>
      <c r="T21" s="667" t="s">
        <v>14</v>
      </c>
      <c r="U21" s="668">
        <f>H21</f>
        <v>100</v>
      </c>
      <c r="V21" s="667" t="s">
        <v>14</v>
      </c>
      <c r="W21" s="668">
        <f>J21</f>
        <v>100</v>
      </c>
      <c r="X21" s="1265"/>
      <c r="Y21" s="3361"/>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88"/>
      <c r="M22" s="2483"/>
      <c r="N22" s="2483"/>
      <c r="O22" s="2538"/>
      <c r="P22" s="3361"/>
      <c r="Q22" s="1263"/>
      <c r="R22" s="667"/>
      <c r="S22" s="668"/>
      <c r="T22" s="667"/>
      <c r="U22" s="668"/>
      <c r="V22" s="667"/>
      <c r="W22" s="668"/>
      <c r="X22" s="1265"/>
      <c r="Y22" s="3361"/>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61"/>
      <c r="Q23" s="530" t="str">
        <f t="shared" si="8"/>
        <v>公共配套设施</v>
      </c>
      <c r="R23" s="664" t="s">
        <v>14</v>
      </c>
      <c r="S23" s="665">
        <f>F23</f>
        <v>100</v>
      </c>
      <c r="T23" s="664" t="s">
        <v>14</v>
      </c>
      <c r="U23" s="665">
        <f>H23</f>
        <v>100</v>
      </c>
      <c r="V23" s="664" t="s">
        <v>14</v>
      </c>
      <c r="W23" s="665">
        <f>J23</f>
        <v>100</v>
      </c>
      <c r="X23" s="666"/>
      <c r="Y23" s="3361"/>
      <c r="Z23" s="50" t="str">
        <f>Q23</f>
        <v>公共配套设施</v>
      </c>
      <c r="AA23" s="1264">
        <f>D23/F23</f>
        <v>1</v>
      </c>
      <c r="AB23" s="1264">
        <f>D23/H23</f>
        <v>1</v>
      </c>
      <c r="AC23" s="1264">
        <f>D23/J23</f>
        <v>1</v>
      </c>
    </row>
    <row r="24" spans="1:29" s="102" customFormat="1" ht="15">
      <c r="A24" s="443"/>
      <c r="B24" s="401"/>
      <c r="C24" s="1824"/>
      <c r="D24" s="387"/>
      <c r="E24" s="1757"/>
      <c r="F24" s="387"/>
      <c r="G24" s="1757"/>
      <c r="H24" s="387"/>
      <c r="I24" s="386"/>
      <c r="J24" s="387"/>
      <c r="K24" s="592"/>
      <c r="L24" s="2484"/>
      <c r="M24" s="2436"/>
      <c r="N24" s="2436"/>
      <c r="O24" s="2536"/>
      <c r="P24" s="3361"/>
      <c r="Q24" s="530"/>
      <c r="R24" s="664"/>
      <c r="S24" s="665"/>
      <c r="T24" s="664"/>
      <c r="U24" s="665"/>
      <c r="V24" s="664"/>
      <c r="W24" s="665"/>
      <c r="X24" s="666"/>
      <c r="Y24" s="3361"/>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61"/>
      <c r="Q25" s="530" t="str">
        <f t="shared" ref="Q25" si="9">B25</f>
        <v>基础设施水平</v>
      </c>
      <c r="R25" s="664" t="s">
        <v>14</v>
      </c>
      <c r="S25" s="665">
        <f>F25</f>
        <v>100</v>
      </c>
      <c r="T25" s="664" t="s">
        <v>14</v>
      </c>
      <c r="U25" s="665">
        <f>H25</f>
        <v>100</v>
      </c>
      <c r="V25" s="664" t="s">
        <v>14</v>
      </c>
      <c r="W25" s="665">
        <f>J25</f>
        <v>100</v>
      </c>
      <c r="X25" s="666"/>
      <c r="Y25" s="336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4"/>
      <c r="M26" s="2436"/>
      <c r="N26" s="2436"/>
      <c r="O26" s="2536"/>
      <c r="P26" s="3361"/>
      <c r="Q26" s="530"/>
      <c r="R26" s="664"/>
      <c r="S26" s="665"/>
      <c r="T26" s="664"/>
      <c r="U26" s="665"/>
      <c r="V26" s="664"/>
      <c r="W26" s="665"/>
      <c r="X26" s="666"/>
      <c r="Y26" s="336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6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1"/>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61"/>
      <c r="Q28" s="1263" t="str">
        <f t="shared" si="8"/>
        <v>毗邻道路的类型与等级</v>
      </c>
      <c r="R28" s="667" t="s">
        <v>14</v>
      </c>
      <c r="S28" s="668">
        <f t="shared" si="10"/>
        <v>100</v>
      </c>
      <c r="T28" s="667" t="s">
        <v>14</v>
      </c>
      <c r="U28" s="668">
        <f t="shared" si="11"/>
        <v>100</v>
      </c>
      <c r="V28" s="667" t="s">
        <v>14</v>
      </c>
      <c r="W28" s="668">
        <f t="shared" si="12"/>
        <v>100</v>
      </c>
      <c r="X28" s="1265"/>
      <c r="Y28" s="3361"/>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88"/>
      <c r="M29" s="2483"/>
      <c r="N29" s="2483"/>
      <c r="O29" s="2538"/>
      <c r="P29" s="3361"/>
      <c r="Q29" s="1263"/>
      <c r="R29" s="667"/>
      <c r="S29" s="668"/>
      <c r="T29" s="667"/>
      <c r="U29" s="668"/>
      <c r="V29" s="667"/>
      <c r="W29" s="668"/>
      <c r="X29" s="1265"/>
      <c r="Y29" s="336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61"/>
      <c r="Q30" s="1263" t="str">
        <f t="shared" si="8"/>
        <v>土地级别</v>
      </c>
      <c r="R30" s="667" t="s">
        <v>14</v>
      </c>
      <c r="S30" s="668">
        <f t="shared" si="10"/>
        <v>100</v>
      </c>
      <c r="T30" s="667" t="s">
        <v>14</v>
      </c>
      <c r="U30" s="668">
        <f t="shared" si="11"/>
        <v>100</v>
      </c>
      <c r="V30" s="667" t="s">
        <v>14</v>
      </c>
      <c r="W30" s="668">
        <f t="shared" si="12"/>
        <v>100</v>
      </c>
      <c r="X30" s="1265"/>
      <c r="Y30" s="336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61"/>
      <c r="Q31" s="1263">
        <f t="shared" si="8"/>
        <v>111</v>
      </c>
      <c r="R31" s="667" t="s">
        <v>14</v>
      </c>
      <c r="S31" s="668">
        <f t="shared" si="10"/>
        <v>100</v>
      </c>
      <c r="T31" s="667" t="s">
        <v>14</v>
      </c>
      <c r="U31" s="668">
        <f t="shared" si="11"/>
        <v>100</v>
      </c>
      <c r="V31" s="667" t="s">
        <v>14</v>
      </c>
      <c r="W31" s="668">
        <f t="shared" si="12"/>
        <v>100</v>
      </c>
      <c r="X31" s="1265"/>
      <c r="Y31" s="336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62" t="s">
        <v>1696</v>
      </c>
      <c r="Q32" s="1263">
        <f t="shared" si="8"/>
        <v>111</v>
      </c>
      <c r="R32" s="667" t="s">
        <v>14</v>
      </c>
      <c r="S32" s="668">
        <f t="shared" si="10"/>
        <v>100</v>
      </c>
      <c r="T32" s="667" t="s">
        <v>14</v>
      </c>
      <c r="U32" s="668">
        <f t="shared" si="11"/>
        <v>100</v>
      </c>
      <c r="V32" s="667" t="s">
        <v>14</v>
      </c>
      <c r="W32" s="668">
        <f t="shared" si="12"/>
        <v>100</v>
      </c>
      <c r="X32" s="1265"/>
      <c r="Y32" s="3363"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63"/>
      <c r="Q33" s="1263">
        <f t="shared" si="8"/>
        <v>111</v>
      </c>
      <c r="R33" s="669" t="s">
        <v>14</v>
      </c>
      <c r="S33" s="670">
        <f t="shared" si="10"/>
        <v>100</v>
      </c>
      <c r="T33" s="669" t="s">
        <v>14</v>
      </c>
      <c r="U33" s="670">
        <f t="shared" si="11"/>
        <v>100</v>
      </c>
      <c r="V33" s="669" t="s">
        <v>14</v>
      </c>
      <c r="W33" s="670">
        <f t="shared" si="12"/>
        <v>100</v>
      </c>
      <c r="X33" s="671"/>
      <c r="Y33" s="336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63"/>
      <c r="Q34" s="1263" t="str">
        <f>B34</f>
        <v>宗地面积</v>
      </c>
      <c r="R34" s="667" t="s">
        <v>14</v>
      </c>
      <c r="S34" s="668" t="e">
        <f t="shared" si="10"/>
        <v>#N/A</v>
      </c>
      <c r="T34" s="667" t="s">
        <v>14</v>
      </c>
      <c r="U34" s="668" t="e">
        <f t="shared" si="11"/>
        <v>#N/A</v>
      </c>
      <c r="V34" s="667" t="s">
        <v>14</v>
      </c>
      <c r="W34" s="668" t="e">
        <f t="shared" si="12"/>
        <v>#N/A</v>
      </c>
      <c r="X34" s="1265"/>
      <c r="Y34" s="3363"/>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63"/>
      <c r="Q35" s="1263" t="str">
        <f t="shared" ref="Q35:Q40" si="14">B35</f>
        <v>宗地形状</v>
      </c>
      <c r="R35" s="667" t="s">
        <v>14</v>
      </c>
      <c r="S35" s="668">
        <f t="shared" si="10"/>
        <v>100</v>
      </c>
      <c r="T35" s="667" t="s">
        <v>14</v>
      </c>
      <c r="U35" s="668">
        <f t="shared" si="11"/>
        <v>100</v>
      </c>
      <c r="V35" s="667" t="s">
        <v>14</v>
      </c>
      <c r="W35" s="668">
        <f t="shared" si="12"/>
        <v>100</v>
      </c>
      <c r="X35" s="1265"/>
      <c r="Y35" s="3363"/>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363"/>
      <c r="Q36" s="1263" t="str">
        <f t="shared" si="14"/>
        <v>宗地开发程度</v>
      </c>
      <c r="R36" s="664" t="s">
        <v>14</v>
      </c>
      <c r="S36" s="665">
        <f t="shared" si="10"/>
        <v>100</v>
      </c>
      <c r="T36" s="664" t="s">
        <v>14</v>
      </c>
      <c r="U36" s="665">
        <f t="shared" si="11"/>
        <v>100</v>
      </c>
      <c r="V36" s="664" t="s">
        <v>14</v>
      </c>
      <c r="W36" s="665">
        <f t="shared" si="12"/>
        <v>100</v>
      </c>
      <c r="X36" s="666"/>
      <c r="Y36" s="336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63" t="s">
        <v>1696</v>
      </c>
      <c r="Q37" s="1263" t="str">
        <f t="shared" si="14"/>
        <v>工程地质条件</v>
      </c>
      <c r="R37" s="667" t="s">
        <v>14</v>
      </c>
      <c r="S37" s="668">
        <f t="shared" si="10"/>
        <v>100</v>
      </c>
      <c r="T37" s="667" t="s">
        <v>14</v>
      </c>
      <c r="U37" s="668">
        <f t="shared" si="11"/>
        <v>100</v>
      </c>
      <c r="V37" s="667" t="s">
        <v>14</v>
      </c>
      <c r="W37" s="668">
        <f t="shared" si="12"/>
        <v>100</v>
      </c>
      <c r="X37" s="1265"/>
      <c r="Y37" s="336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63"/>
      <c r="Q38" s="1263">
        <f t="shared" si="14"/>
        <v>111</v>
      </c>
      <c r="R38" s="667" t="s">
        <v>14</v>
      </c>
      <c r="S38" s="668">
        <f t="shared" si="10"/>
        <v>100</v>
      </c>
      <c r="T38" s="667" t="s">
        <v>14</v>
      </c>
      <c r="U38" s="668">
        <f t="shared" si="11"/>
        <v>100</v>
      </c>
      <c r="V38" s="667" t="s">
        <v>14</v>
      </c>
      <c r="W38" s="668">
        <f t="shared" si="12"/>
        <v>100</v>
      </c>
      <c r="X38" s="1265"/>
      <c r="Y38" s="336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63"/>
      <c r="Q39" s="1263">
        <f t="shared" si="14"/>
        <v>111</v>
      </c>
      <c r="R39" s="667" t="s">
        <v>14</v>
      </c>
      <c r="S39" s="668">
        <f t="shared" si="10"/>
        <v>100</v>
      </c>
      <c r="T39" s="667" t="s">
        <v>14</v>
      </c>
      <c r="U39" s="668">
        <f t="shared" si="11"/>
        <v>100</v>
      </c>
      <c r="V39" s="667" t="s">
        <v>14</v>
      </c>
      <c r="W39" s="668">
        <f t="shared" si="12"/>
        <v>100</v>
      </c>
      <c r="X39" s="1265"/>
      <c r="Y39" s="3363"/>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63"/>
      <c r="Q40" s="1263">
        <f t="shared" si="14"/>
        <v>111</v>
      </c>
      <c r="R40" s="669" t="s">
        <v>14</v>
      </c>
      <c r="S40" s="670">
        <f t="shared" si="10"/>
        <v>100</v>
      </c>
      <c r="T40" s="669" t="s">
        <v>14</v>
      </c>
      <c r="U40" s="670">
        <f t="shared" si="11"/>
        <v>100</v>
      </c>
      <c r="V40" s="669" t="s">
        <v>14</v>
      </c>
      <c r="W40" s="670">
        <f t="shared" si="12"/>
        <v>100</v>
      </c>
      <c r="X40" s="671"/>
      <c r="Y40" s="3363"/>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0"/>
      <c r="M41" s="2483"/>
      <c r="N41" s="2483"/>
      <c r="O41" s="2483"/>
      <c r="P41" s="3359" t="str">
        <f>A41</f>
        <v>成交单价</v>
      </c>
      <c r="Q41" s="3359"/>
      <c r="R41" s="3364">
        <f>E41</f>
        <v>0</v>
      </c>
      <c r="S41" s="3364"/>
      <c r="T41" s="3364">
        <f>G41</f>
        <v>0</v>
      </c>
      <c r="U41" s="3364"/>
      <c r="V41" s="3364">
        <f>I41</f>
        <v>0</v>
      </c>
      <c r="W41" s="3364"/>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0"/>
      <c r="M42" s="2483"/>
      <c r="N42" s="2483"/>
      <c r="O42" s="2483"/>
      <c r="P42" s="3359" t="str">
        <f>A42</f>
        <v>比较价值（元/平方米）</v>
      </c>
      <c r="Q42" s="3359"/>
      <c r="R42" s="3352" t="e">
        <f>ROUND(PRODUCT(R41,AA7:AA40),0)</f>
        <v>#DIV/0!</v>
      </c>
      <c r="S42" s="3352"/>
      <c r="T42" s="3352" t="e">
        <f>ROUND(PRODUCT(T41,AB7:AB40),0)</f>
        <v>#DIV/0!</v>
      </c>
      <c r="U42" s="3352"/>
      <c r="V42" s="3352" t="e">
        <f>ROUND(PRODUCT(V41,AC7:AC40),0)</f>
        <v>#DIV/0!</v>
      </c>
      <c r="W42" s="33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353" t="str">
        <f>A43</f>
        <v>估价对象XX用房的比较价值（楼面单价，元/平方米）</v>
      </c>
      <c r="Q43" s="3354"/>
      <c r="R43" s="3355" t="e">
        <f>ROUND(IF(D42="简单平均",AVERAGE(R42:W42),R42*F42+T42*H42+V42*J42),0)</f>
        <v>#DIV/0!</v>
      </c>
      <c r="S43" s="3355"/>
      <c r="T43" s="3355"/>
      <c r="U43" s="3355"/>
      <c r="V43" s="3355"/>
      <c r="W43" s="335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29" t="s">
        <v>1883</v>
      </c>
      <c r="D50" s="1830" t="s">
        <v>1884</v>
      </c>
      <c r="E50" s="606" t="s">
        <v>1885</v>
      </c>
      <c r="F50" s="607" t="s">
        <v>1886</v>
      </c>
      <c r="G50" s="3356" t="s">
        <v>1887</v>
      </c>
      <c r="H50" s="3357"/>
      <c r="I50" s="1264" t="s">
        <v>1923</v>
      </c>
      <c r="J50" s="1264">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4949.5099999999966</v>
      </c>
      <c r="F51" s="611" t="e">
        <f t="shared" ref="F51:F60" si="15">ROUND(B51*E51/10000,0)</f>
        <v>#DIV/0!</v>
      </c>
      <c r="G51" s="3358"/>
      <c r="H51" s="335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91">
        <v>0.25</v>
      </c>
      <c r="E52" s="614"/>
      <c r="F52" s="611" t="e">
        <f t="shared" si="15"/>
        <v>#DIV/0!</v>
      </c>
      <c r="G52" s="2746" t="s">
        <v>1892</v>
      </c>
      <c r="H52" s="834" t="str">
        <f>项目基本情况!B37</f>
        <v>七级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91">
        <v>0.25</v>
      </c>
      <c r="E53" s="614"/>
      <c r="F53" s="611" t="e">
        <f t="shared" si="15"/>
        <v>#DIV/0!</v>
      </c>
      <c r="G53" s="2747"/>
      <c r="H53" s="834" t="str">
        <f>项目基本情况!B37</f>
        <v>七级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91">
        <v>0.25</v>
      </c>
      <c r="E54" s="614"/>
      <c r="F54" s="611" t="e">
        <f t="shared" si="15"/>
        <v>#DIV/0!</v>
      </c>
      <c r="G54" s="2747"/>
      <c r="H54" s="834" t="str">
        <f>项目基本情况!B37</f>
        <v>七级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七级</v>
      </c>
      <c r="I56" s="727">
        <f>SUMIF(修正!A57:A68,H56,修正!E57:E68)</f>
        <v>0.25</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七级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七级</v>
      </c>
      <c r="I60" s="727">
        <f>SUMIF(修正!A57:A68,H60,修正!G57:G68)</f>
        <v>0.15</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0"/>
      <c r="G1" s="2540"/>
      <c r="H1" s="2540"/>
      <c r="I1" s="2540"/>
      <c r="J1" s="2540"/>
      <c r="K1" s="2540"/>
      <c r="L1" s="2540"/>
      <c r="M1" s="2540"/>
      <c r="N1" s="2540"/>
      <c r="O1" s="2540"/>
      <c r="P1" s="2540"/>
    </row>
    <row r="2" spans="1:16" ht="15.75">
      <c r="A2" s="1982" t="s">
        <v>2073</v>
      </c>
      <c r="B2" s="2384" t="e">
        <f ca="1">SUMIF(B6:B13,"&lt;&gt;#ref!",B6:B13)</f>
        <v>#DIV/0!</v>
      </c>
      <c r="C2" s="1982" t="s">
        <v>2074</v>
      </c>
      <c r="D2" s="1982" t="s">
        <v>2075</v>
      </c>
      <c r="E2" s="2394">
        <f ca="1">SUMIF(E6:E13,"&lt;&gt;#ref!",E6:E13)</f>
        <v>0</v>
      </c>
      <c r="F2" s="2540"/>
      <c r="G2" s="2540"/>
      <c r="H2" s="2540"/>
      <c r="I2" s="2540"/>
      <c r="J2" s="2540"/>
      <c r="K2" s="2540"/>
      <c r="L2" s="2540"/>
      <c r="M2" s="2540"/>
      <c r="N2" s="2540"/>
      <c r="O2" s="2540"/>
      <c r="P2" s="2540"/>
    </row>
    <row r="3" spans="1:16" ht="15.75">
      <c r="A3" s="1982" t="s">
        <v>2076</v>
      </c>
      <c r="B3" s="2384" t="e">
        <f ca="1">ROUND(B2*10000/E2,0)</f>
        <v>#DIV/0!</v>
      </c>
      <c r="C3" s="1982"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3"/>
      <c r="D5" s="2540"/>
      <c r="E5" s="2393" t="s">
        <v>2079</v>
      </c>
      <c r="F5" s="2540"/>
      <c r="G5" s="2540"/>
      <c r="H5" s="2540"/>
      <c r="I5" s="2540"/>
      <c r="J5" s="2540"/>
      <c r="K5" s="2540"/>
      <c r="L5" s="2540"/>
      <c r="M5" s="2540"/>
      <c r="N5" s="2540"/>
      <c r="O5" s="2540"/>
      <c r="P5" s="2540"/>
    </row>
    <row r="6" spans="1:16" ht="15.75">
      <c r="A6" s="2391" t="s">
        <v>2080</v>
      </c>
      <c r="B6" s="2384" t="e">
        <f ca="1">SUMIF(INDIRECT("'"&amp;A6&amp;"'"&amp;"!A:A"),"总价",INDIRECT("'"&amp;A6&amp;"'"&amp;"!B:B"))</f>
        <v>#DIV/0!</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75">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6"/>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0</v>
      </c>
      <c r="T2" s="3059" t="e">
        <f t="shared" ref="T2:T16" si="0">ROUND($C$5*$C$22*$C$23*$C$24*S2*$C$28,0)</f>
        <v>#DIV/0!</v>
      </c>
      <c r="U2" s="1130"/>
      <c r="V2" s="3059"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4"/>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0</v>
      </c>
      <c r="T3" s="3059" t="e">
        <f t="shared" si="0"/>
        <v>#DIV/0!</v>
      </c>
      <c r="U3" s="1130"/>
      <c r="V3" s="3059" t="e">
        <f t="shared" ref="V3:V16" si="1">ROUND(T3*U3/10000,0)</f>
        <v>#DIV/0!</v>
      </c>
      <c r="W3" s="1133"/>
      <c r="X3" s="1133"/>
      <c r="Y3" s="1133"/>
      <c r="Z3" s="1133"/>
      <c r="AA3" s="1133"/>
      <c r="AB3" s="1133"/>
      <c r="AC3" s="1134"/>
      <c r="AD3" s="1135"/>
      <c r="AE3" s="1135"/>
      <c r="AF3" s="1135"/>
      <c r="AG3" s="1135"/>
      <c r="AH3" s="1135"/>
      <c r="AI3" s="1135"/>
      <c r="AJ3" s="1136"/>
    </row>
    <row r="4" spans="1:36" ht="15.75">
      <c r="A4" s="3464"/>
      <c r="B4" s="3465"/>
      <c r="C4" s="3465"/>
      <c r="D4" s="3466"/>
      <c r="E4" s="3466"/>
      <c r="F4" s="3466"/>
      <c r="G4" s="3466"/>
      <c r="H4" s="3466"/>
      <c r="I4" s="3466"/>
      <c r="J4" s="3467"/>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v>
      </c>
      <c r="T4" s="3059" t="e">
        <f t="shared" si="0"/>
        <v>#DIV/0!</v>
      </c>
      <c r="U4" s="1130"/>
      <c r="V4" s="3059"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v>
      </c>
      <c r="T5" s="3059" t="e">
        <f t="shared" si="0"/>
        <v>#DIV/0!</v>
      </c>
      <c r="U5" s="1130"/>
      <c r="V5" s="3059"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v>
      </c>
      <c r="T6" s="3059" t="e">
        <f t="shared" si="0"/>
        <v>#DIV/0!</v>
      </c>
      <c r="U6" s="1130"/>
      <c r="V6" s="3059" t="e">
        <f t="shared" si="1"/>
        <v>#DIV/0!</v>
      </c>
      <c r="W6" s="1133"/>
      <c r="X6" s="1133"/>
      <c r="Y6" s="1133"/>
      <c r="Z6" s="1133"/>
      <c r="AA6" s="1133"/>
      <c r="AB6" s="1133"/>
      <c r="AC6" s="1853"/>
      <c r="AD6" s="1854"/>
      <c r="AE6" s="1854"/>
      <c r="AF6" s="1854"/>
      <c r="AG6" s="1854"/>
      <c r="AH6" s="1854"/>
      <c r="AI6" s="1854"/>
      <c r="AJ6" s="1855"/>
    </row>
    <row r="7" spans="1:36" ht="24.75" thickBot="1">
      <c r="A7" s="3008"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t="e">
        <f t="shared" si="0"/>
        <v>#DIV/0!</v>
      </c>
      <c r="U7" s="1130"/>
      <c r="V7" s="3059"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5"/>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t="e">
        <f t="shared" si="0"/>
        <v>#DIV/0!</v>
      </c>
      <c r="U8" s="1130"/>
      <c r="V8" s="3059" t="e">
        <f t="shared" si="1"/>
        <v>#DIV/0!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t="e">
        <f t="shared" si="0"/>
        <v>#DIV/0!</v>
      </c>
      <c r="U9" s="1130"/>
      <c r="V9" s="3059" t="e">
        <f t="shared" si="1"/>
        <v>#DIV/0!</v>
      </c>
      <c r="W9" s="3463"/>
      <c r="X9" s="3060" t="s">
        <v>3259</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t="e">
        <f t="shared" si="0"/>
        <v>#DIV/0!</v>
      </c>
      <c r="U10" s="1130"/>
      <c r="V10" s="3059" t="e">
        <f t="shared" si="1"/>
        <v>#DIV/0!</v>
      </c>
      <c r="W10" s="346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t="e">
        <f t="shared" si="0"/>
        <v>#DIV/0!</v>
      </c>
      <c r="U11" s="1130"/>
      <c r="V11" s="3059" t="e">
        <f t="shared" si="1"/>
        <v>#DIV/0!</v>
      </c>
      <c r="W11" s="1133"/>
      <c r="X11" s="1133"/>
      <c r="Y11" s="1133"/>
      <c r="Z11" s="1133"/>
      <c r="AA11" s="1133"/>
      <c r="AB11" s="1133"/>
      <c r="AC11" s="1134"/>
      <c r="AD11" s="2549"/>
      <c r="AE11" s="2549"/>
      <c r="AF11" s="2549"/>
      <c r="AG11" s="2549"/>
      <c r="AH11" s="2549"/>
      <c r="AI11" s="2549"/>
      <c r="AJ11" s="2550"/>
    </row>
    <row r="12" spans="1:36" ht="25.5" thickBot="1">
      <c r="A12" s="3008" t="s">
        <v>3229</v>
      </c>
      <c r="B12" s="3009" t="s">
        <v>3230</v>
      </c>
      <c r="C12" s="3010"/>
      <c r="D12" s="3011" t="s">
        <v>3231</v>
      </c>
      <c r="E12" s="3012" t="s">
        <v>3232</v>
      </c>
      <c r="F12" s="3013"/>
      <c r="G12" s="3014"/>
      <c r="H12" s="3014"/>
      <c r="I12" s="3014"/>
      <c r="J12" s="3015"/>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t="e">
        <f t="shared" si="0"/>
        <v>#DIV/0!</v>
      </c>
      <c r="U12" s="1130"/>
      <c r="V12" s="3059" t="e">
        <f t="shared" si="1"/>
        <v>#DIV/0!</v>
      </c>
      <c r="W12" s="1133"/>
      <c r="X12" s="1133"/>
      <c r="Y12" s="1133"/>
      <c r="Z12" s="1133"/>
      <c r="AA12" s="1133"/>
      <c r="AB12" s="1133"/>
      <c r="AC12" s="1134"/>
      <c r="AD12" s="2549"/>
      <c r="AE12" s="2549"/>
      <c r="AF12" s="2549"/>
      <c r="AG12" s="2549"/>
      <c r="AH12" s="2549"/>
      <c r="AI12" s="2549"/>
      <c r="AJ12" s="2550"/>
    </row>
    <row r="13" spans="1:36" ht="15.75" thickBot="1">
      <c r="A13" s="3008" t="s">
        <v>3233</v>
      </c>
      <c r="B13" s="1876" t="s">
        <v>1982</v>
      </c>
      <c r="C13" s="711">
        <f>ROUND(C16*D16*E16*F16*G16*H16*I16*J16,4)</f>
        <v>0</v>
      </c>
      <c r="D13" s="1877" t="s">
        <v>1983</v>
      </c>
      <c r="E13" s="1878"/>
      <c r="F13" s="1878"/>
      <c r="G13" s="1879"/>
      <c r="H13" s="1879"/>
      <c r="I13" s="1879"/>
      <c r="J13" s="1880"/>
      <c r="K13" s="1056"/>
      <c r="L13" s="3"/>
      <c r="M13" s="4"/>
      <c r="N13" s="3006"/>
      <c r="O13" s="1056"/>
      <c r="P13" s="1056"/>
      <c r="Q13" s="1056"/>
      <c r="R13" s="1129">
        <v>12</v>
      </c>
      <c r="S13" s="1130"/>
      <c r="T13" s="3059" t="e">
        <f t="shared" si="0"/>
        <v>#DIV/0!</v>
      </c>
      <c r="U13" s="1130"/>
      <c r="V13" s="3059" t="e">
        <f t="shared" si="1"/>
        <v>#DIV/0!</v>
      </c>
      <c r="W13" s="1133"/>
      <c r="X13" s="1133"/>
      <c r="Y13" s="1133"/>
      <c r="Z13" s="1133"/>
      <c r="AA13" s="1133"/>
      <c r="AB13" s="1133"/>
      <c r="AC13" s="1134"/>
      <c r="AD13" s="2549"/>
      <c r="AE13" s="2549"/>
      <c r="AF13" s="2549"/>
      <c r="AG13" s="2549"/>
      <c r="AH13" s="2549"/>
      <c r="AI13" s="2549"/>
      <c r="AJ13" s="2550"/>
    </row>
    <row r="14" spans="1:36" ht="15">
      <c r="A14" s="3004"/>
      <c r="B14" s="1881" t="s">
        <v>1985</v>
      </c>
      <c r="C14" s="1882" t="s">
        <v>1986</v>
      </c>
      <c r="D14" s="1261" t="s">
        <v>1987</v>
      </c>
      <c r="E14" s="27" t="s">
        <v>1988</v>
      </c>
      <c r="F14" s="3016" t="s">
        <v>3234</v>
      </c>
      <c r="G14" s="3016" t="s">
        <v>3234</v>
      </c>
      <c r="H14" s="3016" t="s">
        <v>3234</v>
      </c>
      <c r="I14" s="3016" t="s">
        <v>3234</v>
      </c>
      <c r="J14" s="3016" t="s">
        <v>3234</v>
      </c>
      <c r="K14" s="1056"/>
      <c r="L14" s="1056"/>
      <c r="M14" s="1056"/>
      <c r="N14" s="1056"/>
      <c r="O14" s="1056"/>
      <c r="P14" s="1056"/>
      <c r="Q14" s="1056"/>
      <c r="R14" s="1129">
        <v>13</v>
      </c>
      <c r="S14" s="1130"/>
      <c r="T14" s="3059" t="e">
        <f t="shared" si="0"/>
        <v>#DIV/0!</v>
      </c>
      <c r="U14" s="1130"/>
      <c r="V14" s="3059" t="e">
        <f t="shared" si="1"/>
        <v>#DIV/0!</v>
      </c>
      <c r="W14" s="1133"/>
      <c r="X14" s="1133"/>
      <c r="Y14" s="1133"/>
      <c r="Z14" s="1133"/>
      <c r="AA14" s="1133"/>
      <c r="AB14" s="1133"/>
      <c r="AC14" s="1134"/>
      <c r="AD14" s="2549"/>
      <c r="AE14" s="2549"/>
      <c r="AF14" s="2549"/>
      <c r="AG14" s="2549"/>
      <c r="AH14" s="2549"/>
      <c r="AI14" s="2549"/>
      <c r="AJ14" s="2550"/>
    </row>
    <row r="15" spans="1:36" ht="15">
      <c r="A15" s="3004"/>
      <c r="B15" s="1883"/>
      <c r="C15" s="1884"/>
      <c r="D15" s="1885"/>
      <c r="E15" s="1886"/>
      <c r="F15" s="1470" t="s">
        <v>3235</v>
      </c>
      <c r="G15" s="1926"/>
      <c r="H15" s="3017"/>
      <c r="I15" s="3018"/>
      <c r="J15" s="3019"/>
      <c r="K15" s="1056"/>
      <c r="L15" s="1056"/>
      <c r="M15" s="1056"/>
      <c r="N15" s="1056"/>
      <c r="O15" s="1056"/>
      <c r="P15" s="1056"/>
      <c r="Q15" s="1056"/>
      <c r="R15" s="1129">
        <v>14</v>
      </c>
      <c r="S15" s="1130"/>
      <c r="T15" s="3059" t="e">
        <f t="shared" si="0"/>
        <v>#DIV/0!</v>
      </c>
      <c r="U15" s="1130"/>
      <c r="V15" s="3059" t="e">
        <f t="shared" si="1"/>
        <v>#DIV/0!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2"/>
      <c r="M16" s="1842"/>
      <c r="N16" s="1842"/>
      <c r="O16" s="1842"/>
      <c r="P16" s="1842"/>
      <c r="Q16" s="1056"/>
      <c r="R16" s="1129">
        <v>15</v>
      </c>
      <c r="S16" s="1130"/>
      <c r="T16" s="3059" t="e">
        <f t="shared" si="0"/>
        <v>#DIV/0!</v>
      </c>
      <c r="U16" s="1130"/>
      <c r="V16" s="3059" t="e">
        <f t="shared" si="1"/>
        <v>#DIV/0!</v>
      </c>
      <c r="W16" s="1133"/>
      <c r="X16" s="1133"/>
      <c r="Y16" s="1133"/>
      <c r="Z16" s="1133"/>
      <c r="AA16" s="1133"/>
      <c r="AB16" s="1133"/>
      <c r="AC16" s="1134"/>
      <c r="AD16" s="2549"/>
      <c r="AE16" s="2549"/>
      <c r="AF16" s="2549"/>
      <c r="AG16" s="2549"/>
      <c r="AH16" s="2549"/>
      <c r="AI16" s="2549"/>
      <c r="AJ16" s="2550"/>
    </row>
    <row r="17" spans="1:37">
      <c r="A17" s="3031" t="s">
        <v>3236</v>
      </c>
      <c r="B17" s="3023" t="s">
        <v>3237</v>
      </c>
      <c r="C17" s="3032">
        <f>ROUND(IF(OR(E2="工业",E2="公共服务"),1,IF(AND(E18=0,E19=0),1,IF(AND(E18=J24,E19=G19),0.8,IF(E19=0,1+E17*(-0.2),1+E17*G17*(-0.2))))),4)</f>
        <v>1</v>
      </c>
      <c r="D17" s="3024" t="s">
        <v>3238</v>
      </c>
      <c r="E17" s="3032" t="e">
        <f>ROUND(G18/I18,2)</f>
        <v>#DIV/0!</v>
      </c>
      <c r="F17" s="3024" t="s">
        <v>3241</v>
      </c>
      <c r="G17" s="3032" t="e">
        <f>ROUND(E19/G19,2)</f>
        <v>#DIV/0!</v>
      </c>
      <c r="H17" s="3032"/>
      <c r="I17" s="3032"/>
      <c r="J17" s="3033"/>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4"/>
      <c r="B18" s="2306"/>
      <c r="C18" s="3030"/>
      <c r="D18" s="3025" t="s">
        <v>3239</v>
      </c>
      <c r="E18" s="2353"/>
      <c r="F18" s="3026" t="s">
        <v>3242</v>
      </c>
      <c r="G18" s="3030">
        <f>ROUND(1-(1/(POWER(1+G24,E18))),4)</f>
        <v>0</v>
      </c>
      <c r="H18" s="3026" t="s">
        <v>3244</v>
      </c>
      <c r="I18" s="3030">
        <f>ROUND(1-(1/(POWER(1+G24,J24))),4)</f>
        <v>0</v>
      </c>
      <c r="J18" s="3035"/>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48"/>
    </row>
    <row r="19" spans="1:37" s="1856" customFormat="1" ht="15" thickBot="1">
      <c r="A19" s="3036"/>
      <c r="B19" s="3037"/>
      <c r="C19" s="3038"/>
      <c r="D19" s="3038" t="s">
        <v>3240</v>
      </c>
      <c r="E19" s="3039"/>
      <c r="F19" s="3040" t="s">
        <v>3243</v>
      </c>
      <c r="G19" s="3039"/>
      <c r="H19" s="3038"/>
      <c r="I19" s="3038"/>
      <c r="J19" s="3041"/>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1"/>
      <c r="AH19" s="1978"/>
      <c r="AI19" s="561"/>
      <c r="AJ19" s="561"/>
      <c r="AK19" s="1897"/>
    </row>
    <row r="20" spans="1:37" s="1856" customFormat="1" ht="14.25">
      <c r="A20" s="3468" t="s">
        <v>3245</v>
      </c>
      <c r="B20" s="159" t="s">
        <v>1994</v>
      </c>
      <c r="C20" s="3027" t="e">
        <f>ROUND(IF(F21="与级别开发程度一致",0,(G21-E21)/C21),0)</f>
        <v>#DIV/0!</v>
      </c>
      <c r="D20" s="3042" t="s">
        <v>1998</v>
      </c>
      <c r="E20" s="3043"/>
      <c r="F20" s="3474" t="s">
        <v>1995</v>
      </c>
      <c r="G20" s="3475"/>
      <c r="H20" s="3028"/>
      <c r="I20" s="3028"/>
      <c r="J20" s="3029"/>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6" customFormat="1" ht="15" thickBot="1">
      <c r="A21" s="346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6" customFormat="1" ht="15.75" thickBot="1">
      <c r="A22" s="1994" t="s">
        <v>363</v>
      </c>
      <c r="B22" s="1995" t="s">
        <v>2000</v>
      </c>
      <c r="C22" s="1996">
        <f>SUMIF(修正!C20:C51,E3,修正!E20:E51)</f>
        <v>0</v>
      </c>
      <c r="D22" s="1997"/>
      <c r="E22" s="1998"/>
      <c r="F22" s="1998"/>
      <c r="G22" s="1998"/>
      <c r="H22" s="1998"/>
      <c r="I22" s="1998"/>
      <c r="J22" s="1999"/>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7">
        <v>44197</v>
      </c>
      <c r="F23" s="1894" t="s">
        <v>2003</v>
      </c>
      <c r="G23" s="718">
        <f>'数据-取费表'!B2</f>
        <v>45664</v>
      </c>
      <c r="H23" s="3044" t="s">
        <v>3247</v>
      </c>
      <c r="I23" s="3045" t="str">
        <f>IF(H23="季度增幅（自定义）",SUMIF(N25:N28,E2,O25:O28),"")</f>
        <v/>
      </c>
      <c r="J23" s="3137" t="s">
        <v>3246</v>
      </c>
      <c r="K23" s="1061"/>
      <c r="L23" s="1895" t="s">
        <v>2004</v>
      </c>
      <c r="M23" s="1241">
        <f>ROUND(SUMIF(地价!B2:G2,E2,地价!B16:G16),0)</f>
        <v>0</v>
      </c>
      <c r="N23" s="1896"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存贷款利率!E27/100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5" t="s">
        <v>366</v>
      </c>
      <c r="B25" s="1906" t="s">
        <v>3326</v>
      </c>
      <c r="C25" s="461">
        <f>IF(B25="容积率修正",IF(G3&lt;10,D26,J26),C27)</f>
        <v>0</v>
      </c>
      <c r="D25" s="1907"/>
      <c r="E25" s="1907"/>
      <c r="F25" s="1907"/>
      <c r="G25" s="1907"/>
      <c r="H25" s="1907"/>
      <c r="I25" s="1907"/>
      <c r="J25" s="1908"/>
      <c r="K25" s="1061"/>
      <c r="L25" s="2548"/>
      <c r="M25" s="2548"/>
      <c r="N25" s="1909"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3249</v>
      </c>
      <c r="J26" s="374" t="str">
        <f>IF(G3&gt;=10,D115,"——")</f>
        <v>——</v>
      </c>
      <c r="K26" s="1061"/>
      <c r="L26" s="2548"/>
      <c r="M26" s="2548"/>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48"/>
      <c r="M28" s="2548"/>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1" t="s">
        <v>1936</v>
      </c>
      <c r="M30" s="3052" t="s">
        <v>1990</v>
      </c>
      <c r="N30" s="3052" t="s">
        <v>1991</v>
      </c>
      <c r="O30" s="3052" t="s">
        <v>1992</v>
      </c>
      <c r="P30" s="3052" t="s">
        <v>1993</v>
      </c>
      <c r="Q30" s="3055" t="s">
        <v>3253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6" t="s">
        <v>3251</v>
      </c>
      <c r="G33" s="1939"/>
      <c r="H33" s="1939"/>
      <c r="I33" s="1939"/>
      <c r="J33" s="1940"/>
      <c r="K33" s="1056"/>
      <c r="L33" s="3049" t="s">
        <v>3254</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49" t="s">
        <v>3255</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7" t="s">
        <v>3252</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3256</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0"/>
      <c r="K37" s="3057" t="s">
        <v>3257</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9"/>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3"/>
      <c r="B39" s="1882" t="s">
        <v>3250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58" t="s">
        <v>3258</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t="str">
        <f>估价对象房地状况!C18</f>
        <v>T18\T48，较差</v>
      </c>
      <c r="C51" s="1885"/>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3260</v>
      </c>
      <c r="B52" s="1262">
        <f>估价对象房地状况!C19</f>
        <v>0</v>
      </c>
      <c r="C52" s="1885"/>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t="str">
        <f>估价对象房地状况!C24</f>
        <v>次干道——徐宋路</v>
      </c>
      <c r="C54" s="1885"/>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40" t="str">
        <f>估价对象房地状况!C21</f>
        <v>新华联生活超市等；北京电影学院培训中心等，较差</v>
      </c>
      <c r="C56" s="1885"/>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t="str">
        <f>估价对象房地状况!C22</f>
        <v>七通</v>
      </c>
      <c r="C57" s="1885"/>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5" t="s">
        <v>2061</v>
      </c>
      <c r="B58" s="1976" t="str">
        <f>估价对象房地状况!C20</f>
        <v>区域自然环境：；人文环境：北塘艺术区；综合评价环境状况一般</v>
      </c>
      <c r="C58" s="1885"/>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2053</v>
      </c>
      <c r="B62" s="1262" t="str">
        <f>估价对象房地状况!C18</f>
        <v>T18\T48，较差</v>
      </c>
      <c r="C62" s="1885"/>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6" t="s">
        <v>3260</v>
      </c>
      <c r="B63" s="1262">
        <f>估价对象房地状况!C19</f>
        <v>0</v>
      </c>
      <c r="C63" s="1885"/>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t="str">
        <f>估价对象房地状况!C24</f>
        <v>次干道——徐宋路</v>
      </c>
      <c r="C65" s="1885"/>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新华联生活超市等；北京电影学院培训中心等，较差</v>
      </c>
      <c r="C67" s="1885"/>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2060</v>
      </c>
      <c r="B68" s="1240" t="str">
        <f>估价对象房地状况!C22</f>
        <v>七通</v>
      </c>
      <c r="C68" s="1885"/>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5" t="s">
        <v>2061</v>
      </c>
      <c r="B69" s="1977" t="str">
        <f>估价对象房地状况!C20</f>
        <v>区域自然环境：；人文环境：北塘艺术区；综合评价环境状况一般</v>
      </c>
      <c r="C69" s="1885"/>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5.5">
      <c r="A72" s="1968" t="s">
        <v>2066</v>
      </c>
      <c r="B72" s="1971" t="str">
        <f>估价对象房地状况!C15</f>
        <v>在建：金地北京壹街区；佰富苑、艺和苑等，一般</v>
      </c>
      <c r="C72" s="1885"/>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2053</v>
      </c>
      <c r="B73" s="1262" t="str">
        <f>估价对象房地状况!C18</f>
        <v>T18\T48，较差</v>
      </c>
      <c r="C73" s="1885"/>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6" t="s">
        <v>3260</v>
      </c>
      <c r="B74" s="1262">
        <f>估价对象房地状况!C19</f>
        <v>0</v>
      </c>
      <c r="C74" s="1885"/>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t="str">
        <f>估价对象房地状况!C24</f>
        <v>次干道——徐宋路</v>
      </c>
      <c r="C75" s="1885"/>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新华联生活超市等；北京电影学院培训中心等，较差</v>
      </c>
      <c r="C76" s="1885"/>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2060</v>
      </c>
      <c r="B77" s="1240" t="str">
        <f>估价对象房地状况!C22</f>
        <v>七通</v>
      </c>
      <c r="C77" s="1885"/>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2"/>
      <c r="P78" s="1842"/>
      <c r="Z78" s="1843"/>
      <c r="AA78" s="1893"/>
      <c r="AG78" s="1058"/>
      <c r="AK78" s="1893"/>
    </row>
    <row r="79" spans="1:37" ht="38.25">
      <c r="A79" s="1968" t="s">
        <v>2061</v>
      </c>
      <c r="B79" s="1971" t="str">
        <f>估价对象房地状况!C20</f>
        <v>区域自然环境：；人文环境：北塘艺术区；综合评价环境状况一般</v>
      </c>
      <c r="C79" s="1885"/>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2053</v>
      </c>
      <c r="B84" s="1262">
        <f>估价对象房地状况!G16</f>
        <v>0</v>
      </c>
      <c r="C84" s="1885"/>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3"/>
      <c r="AA84" s="1893"/>
      <c r="AG84" s="1058"/>
      <c r="AK84" s="1893"/>
    </row>
    <row r="85" spans="1:37" ht="36">
      <c r="A85" s="3066" t="s">
        <v>3261</v>
      </c>
      <c r="B85" s="1262">
        <f>估价对象房地状况!G17</f>
        <v>0</v>
      </c>
      <c r="C85" s="1885"/>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3"/>
      <c r="AA86" s="1893"/>
      <c r="AG86" s="1058"/>
      <c r="AK86" s="1893"/>
    </row>
    <row r="87" spans="1:37" ht="24">
      <c r="A87" s="1968" t="s">
        <v>2059</v>
      </c>
      <c r="B87" s="1240">
        <f>估价对象房地状况!G19</f>
        <v>0</v>
      </c>
      <c r="C87" s="1885"/>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4">
      <c r="A88" s="1968" t="s">
        <v>2060</v>
      </c>
      <c r="B88" s="1240">
        <f>估价对象房地状况!G20</f>
        <v>0</v>
      </c>
      <c r="C88" s="1885"/>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15" thickBot="1">
      <c r="A90" s="1975" t="s">
        <v>2072</v>
      </c>
      <c r="B90" s="1980">
        <f>估价对象房地状况!G18</f>
        <v>0</v>
      </c>
      <c r="C90" s="1885"/>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2603</v>
      </c>
      <c r="B91" s="3075">
        <f>1+E93</f>
        <v>1</v>
      </c>
      <c r="C91" s="3068"/>
      <c r="D91" s="3069"/>
      <c r="E91" s="1674"/>
      <c r="F91" s="1674"/>
      <c r="G91" s="3070"/>
      <c r="H91" s="3071"/>
      <c r="I91" s="3072"/>
      <c r="J91" s="3073"/>
      <c r="K91" s="3073"/>
      <c r="L91" s="3073"/>
      <c r="M91" s="3073"/>
      <c r="N91" s="3073"/>
    </row>
    <row r="92" spans="1:37" ht="24.75">
      <c r="A92" s="3076" t="s">
        <v>3262</v>
      </c>
      <c r="B92" s="2306"/>
      <c r="C92" s="2306" t="s">
        <v>3271</v>
      </c>
      <c r="D92" s="2306" t="s">
        <v>3272</v>
      </c>
      <c r="E92" s="3048" t="s">
        <v>3273</v>
      </c>
      <c r="F92" s="3078" t="s">
        <v>3274</v>
      </c>
      <c r="G92" s="2306" t="s">
        <v>3275</v>
      </c>
      <c r="H92" s="3085" t="s">
        <v>3278</v>
      </c>
      <c r="I92" s="2306" t="s">
        <v>3279</v>
      </c>
      <c r="J92" s="2148" t="s">
        <v>3280</v>
      </c>
      <c r="K92" s="2148" t="s">
        <v>3281</v>
      </c>
      <c r="L92" s="2148" t="s">
        <v>3282</v>
      </c>
      <c r="M92" s="2148" t="s">
        <v>3283</v>
      </c>
      <c r="N92" s="2148" t="s">
        <v>3284</v>
      </c>
    </row>
    <row r="93" spans="1:37" ht="24">
      <c r="A93" s="3066" t="s">
        <v>3263</v>
      </c>
      <c r="B93" s="1221"/>
      <c r="C93" s="1885"/>
      <c r="D93" s="2306">
        <f>SUMIF($J$92:$N$92,C93,J93:N93)</f>
        <v>0</v>
      </c>
      <c r="E93" s="3079">
        <f>ROUND(SUM(D93:D101),4)</f>
        <v>0</v>
      </c>
      <c r="F93" s="1674"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14.25">
      <c r="A94" s="3076" t="s">
        <v>3264</v>
      </c>
      <c r="B94" s="3067" t="str">
        <f>估价对象房地状况!C18</f>
        <v>T18\T48，较差</v>
      </c>
      <c r="C94" s="1885"/>
      <c r="D94" s="2306">
        <f t="shared" ref="D94:D101" si="30">SUMIF($J$60:$N$60,C94,J94:N94)</f>
        <v>0</v>
      </c>
      <c r="E94" s="3080"/>
      <c r="F94" s="1674"/>
      <c r="G94" s="3070"/>
      <c r="H94" s="3115" t="str">
        <f>IFERROR(ROUNDDOWN($F$93*I94/2,4),"——")</f>
        <v>——</v>
      </c>
      <c r="I94" s="3064">
        <v>0.26</v>
      </c>
      <c r="J94" s="1910">
        <f t="shared" si="27"/>
        <v>0</v>
      </c>
      <c r="K94" s="1910">
        <f t="shared" si="28"/>
        <v>0</v>
      </c>
      <c r="L94" s="1910">
        <v>0</v>
      </c>
      <c r="M94" s="1910">
        <f t="shared" si="29"/>
        <v>0</v>
      </c>
      <c r="N94" s="1910">
        <f t="shared" si="29"/>
        <v>0</v>
      </c>
    </row>
    <row r="95" spans="1:37" ht="36">
      <c r="A95" s="3066" t="s">
        <v>3260</v>
      </c>
      <c r="B95" s="3067">
        <f>估价对象房地状况!C19</f>
        <v>0</v>
      </c>
      <c r="C95" s="1885"/>
      <c r="D95" s="2306">
        <f t="shared" si="30"/>
        <v>0</v>
      </c>
      <c r="E95" s="3080"/>
      <c r="F95" s="1674"/>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6.75">
      <c r="A96" s="3076" t="s">
        <v>3265</v>
      </c>
      <c r="B96" s="3082" t="s">
        <v>3276</v>
      </c>
      <c r="C96" s="1885"/>
      <c r="D96" s="2306">
        <f t="shared" si="30"/>
        <v>0</v>
      </c>
      <c r="E96" s="3080"/>
      <c r="F96" s="1674"/>
      <c r="G96" s="3070"/>
      <c r="H96" s="3115" t="str">
        <f t="shared" si="31"/>
        <v>——</v>
      </c>
      <c r="I96" s="3064">
        <v>0.05</v>
      </c>
      <c r="J96" s="1910">
        <f t="shared" si="27"/>
        <v>0</v>
      </c>
      <c r="K96" s="1910">
        <f t="shared" si="28"/>
        <v>0</v>
      </c>
      <c r="L96" s="1910">
        <v>0</v>
      </c>
      <c r="M96" s="1910">
        <f t="shared" si="29"/>
        <v>0</v>
      </c>
      <c r="N96" s="1910">
        <f t="shared" si="29"/>
        <v>0</v>
      </c>
    </row>
    <row r="97" spans="1:14" ht="24">
      <c r="A97" s="3076" t="s">
        <v>3266</v>
      </c>
      <c r="B97" s="3067" t="str">
        <f>估价对象房地状况!C24</f>
        <v>次干道——徐宋路</v>
      </c>
      <c r="C97" s="1885"/>
      <c r="D97" s="2306">
        <f t="shared" si="30"/>
        <v>0</v>
      </c>
      <c r="E97" s="3080"/>
      <c r="F97" s="1674"/>
      <c r="G97" s="3070"/>
      <c r="H97" s="3115" t="str">
        <f t="shared" si="31"/>
        <v>——</v>
      </c>
      <c r="I97" s="3064">
        <v>0.05</v>
      </c>
      <c r="J97" s="1910">
        <f t="shared" si="27"/>
        <v>0</v>
      </c>
      <c r="K97" s="1910">
        <f t="shared" si="28"/>
        <v>0</v>
      </c>
      <c r="L97" s="1910">
        <v>0</v>
      </c>
      <c r="M97" s="1910">
        <f t="shared" si="29"/>
        <v>0</v>
      </c>
      <c r="N97" s="1910">
        <f t="shared" si="29"/>
        <v>0</v>
      </c>
    </row>
    <row r="98" spans="1:14" ht="24">
      <c r="A98" s="3076" t="s">
        <v>3267</v>
      </c>
      <c r="B98" s="3083" t="s">
        <v>3277</v>
      </c>
      <c r="C98" s="1885"/>
      <c r="D98" s="2306">
        <f t="shared" si="30"/>
        <v>0</v>
      </c>
      <c r="E98" s="3080"/>
      <c r="F98" s="1674"/>
      <c r="G98" s="3070"/>
      <c r="H98" s="3115" t="str">
        <f t="shared" si="31"/>
        <v>——</v>
      </c>
      <c r="I98" s="3064">
        <v>0.06</v>
      </c>
      <c r="J98" s="1910">
        <f t="shared" si="27"/>
        <v>0</v>
      </c>
      <c r="K98" s="1910">
        <f t="shared" si="28"/>
        <v>0</v>
      </c>
      <c r="L98" s="1910">
        <v>0</v>
      </c>
      <c r="M98" s="1910">
        <f t="shared" si="29"/>
        <v>0</v>
      </c>
      <c r="N98" s="1910">
        <f t="shared" si="29"/>
        <v>0</v>
      </c>
    </row>
    <row r="99" spans="1:14" ht="25.5">
      <c r="A99" s="3076" t="s">
        <v>3268</v>
      </c>
      <c r="B99" s="3067" t="str">
        <f>估价对象房地状况!C21</f>
        <v>新华联生活超市等；北京电影学院培训中心等，较差</v>
      </c>
      <c r="C99" s="1885"/>
      <c r="D99" s="2306">
        <f t="shared" si="30"/>
        <v>0</v>
      </c>
      <c r="E99" s="3080"/>
      <c r="F99" s="1674"/>
      <c r="G99" s="3070"/>
      <c r="H99" s="3115" t="str">
        <f t="shared" si="31"/>
        <v>——</v>
      </c>
      <c r="I99" s="3064">
        <v>0.06</v>
      </c>
      <c r="J99" s="1910">
        <f t="shared" si="27"/>
        <v>0</v>
      </c>
      <c r="K99" s="1910">
        <f t="shared" si="28"/>
        <v>0</v>
      </c>
      <c r="L99" s="1910">
        <v>0</v>
      </c>
      <c r="M99" s="1910">
        <f t="shared" si="29"/>
        <v>0</v>
      </c>
      <c r="N99" s="1910">
        <f t="shared" si="29"/>
        <v>0</v>
      </c>
    </row>
    <row r="100" spans="1:14" ht="24">
      <c r="A100" s="3076" t="s">
        <v>3269</v>
      </c>
      <c r="B100" s="3067" t="str">
        <f>估价对象房地状况!C22</f>
        <v>七通</v>
      </c>
      <c r="C100" s="1885"/>
      <c r="D100" s="2306">
        <f t="shared" si="30"/>
        <v>0</v>
      </c>
      <c r="E100" s="3080"/>
      <c r="F100" s="1674"/>
      <c r="G100" s="3070"/>
      <c r="H100" s="3115" t="str">
        <f t="shared" si="31"/>
        <v>——</v>
      </c>
      <c r="I100" s="3064">
        <v>0.09</v>
      </c>
      <c r="J100" s="1910">
        <f t="shared" si="27"/>
        <v>0</v>
      </c>
      <c r="K100" s="1910">
        <f t="shared" si="28"/>
        <v>0</v>
      </c>
      <c r="L100" s="1910">
        <v>0</v>
      </c>
      <c r="M100" s="1910">
        <f t="shared" si="29"/>
        <v>0</v>
      </c>
      <c r="N100" s="1910">
        <f t="shared" si="29"/>
        <v>0</v>
      </c>
    </row>
    <row r="101" spans="1:14" ht="39" thickBot="1">
      <c r="A101" s="3077" t="s">
        <v>3270</v>
      </c>
      <c r="B101" s="3084" t="str">
        <f>估价对象房地状况!C20</f>
        <v>区域自然环境：；人文环境：北塘艺术区；综合评价环境状况一般</v>
      </c>
      <c r="C101" s="1885"/>
      <c r="D101" s="2306">
        <f t="shared" si="30"/>
        <v>0</v>
      </c>
      <c r="E101" s="3081"/>
      <c r="F101" s="1674"/>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470" t="s">
        <v>3285</v>
      </c>
      <c r="B103" s="3470"/>
      <c r="C103" s="3470"/>
      <c r="D103" s="3470"/>
      <c r="E103" s="3470"/>
      <c r="F103" s="3470"/>
      <c r="G103" s="3470"/>
      <c r="H103" s="3470"/>
      <c r="I103" s="3470"/>
      <c r="J103" s="3470"/>
      <c r="K103" s="1666"/>
      <c r="L103" s="1666"/>
      <c r="M103" s="1666"/>
      <c r="N103" s="1666"/>
    </row>
    <row r="104" spans="1:14">
      <c r="A104" s="3471" t="s">
        <v>3286</v>
      </c>
      <c r="B104" s="3471" t="s">
        <v>3287</v>
      </c>
      <c r="C104" s="3086" t="s">
        <v>3288</v>
      </c>
      <c r="D104" s="3087"/>
      <c r="E104" s="3087"/>
      <c r="F104" s="3087"/>
      <c r="G104" s="3087"/>
      <c r="H104" s="3087"/>
      <c r="I104" s="3087"/>
      <c r="J104" s="3088"/>
      <c r="K104" s="3089"/>
      <c r="L104" s="3089"/>
      <c r="M104" s="3089"/>
      <c r="N104" s="3089"/>
    </row>
    <row r="105" spans="1:14">
      <c r="A105" s="3471"/>
      <c r="B105" s="3471"/>
      <c r="C105" s="3090" t="s">
        <v>3289</v>
      </c>
      <c r="D105" s="3090" t="s">
        <v>3290</v>
      </c>
      <c r="E105" s="3090" t="s">
        <v>3291</v>
      </c>
      <c r="F105" s="3090" t="s">
        <v>3292</v>
      </c>
      <c r="G105" s="3090" t="s">
        <v>3293</v>
      </c>
      <c r="H105" s="3090" t="s">
        <v>3294</v>
      </c>
      <c r="I105" s="3090" t="s">
        <v>3295</v>
      </c>
      <c r="J105" s="3090" t="s">
        <v>3296</v>
      </c>
      <c r="K105" s="3090" t="s">
        <v>3297</v>
      </c>
      <c r="L105" s="3090" t="s">
        <v>3298</v>
      </c>
      <c r="M105" s="3090" t="s">
        <v>3299</v>
      </c>
      <c r="N105" s="3090" t="s">
        <v>3300</v>
      </c>
    </row>
    <row r="106" spans="1:14">
      <c r="A106" s="3457" t="s">
        <v>3301</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8"/>
      <c r="B111" s="3090" t="s">
        <v>3259</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60" t="s">
        <v>3302</v>
      </c>
      <c r="B113" s="3460"/>
      <c r="C113" s="3460"/>
      <c r="D113" s="3460"/>
      <c r="E113" s="3460"/>
      <c r="F113" s="3460"/>
      <c r="G113" s="3460"/>
      <c r="H113" s="3460"/>
      <c r="I113" s="3460"/>
      <c r="J113" s="3460"/>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5" thickBot="1">
      <c r="A115" s="3093"/>
      <c r="B115" s="3093"/>
      <c r="C115" s="3093"/>
      <c r="D115" s="3093"/>
      <c r="E115" s="3093"/>
      <c r="F115" s="3093"/>
      <c r="G115" s="3093"/>
      <c r="H115" s="3093"/>
      <c r="I115" s="3093"/>
      <c r="J115" s="3093"/>
      <c r="K115" s="1962"/>
      <c r="L115" s="3093"/>
      <c r="M115" s="3093"/>
      <c r="N115" s="3093"/>
    </row>
    <row r="116" spans="1:14" ht="25.5" thickBot="1">
      <c r="A116" s="3094" t="s">
        <v>3303</v>
      </c>
      <c r="B116" s="3110">
        <f>G3</f>
        <v>0</v>
      </c>
      <c r="C116" s="3095" t="s">
        <v>3304</v>
      </c>
      <c r="D116" s="3096">
        <f>SUMPRODUCT((A118:A122=F116)*(B117:M117=H116)*B118:M122)</f>
        <v>0</v>
      </c>
      <c r="E116" s="162" t="s">
        <v>3305</v>
      </c>
      <c r="F116" s="3097">
        <f>E2</f>
        <v>0</v>
      </c>
      <c r="G116" s="162" t="s">
        <v>3306</v>
      </c>
      <c r="H116" s="3097">
        <f>G2</f>
        <v>0</v>
      </c>
      <c r="I116" s="162"/>
      <c r="J116" s="3098"/>
      <c r="K116" s="3098"/>
      <c r="L116" s="3098"/>
      <c r="M116" s="3098"/>
      <c r="N116" s="3093"/>
    </row>
    <row r="117" spans="1:14">
      <c r="A117" s="3099"/>
      <c r="B117" s="3100" t="s">
        <v>3307</v>
      </c>
      <c r="C117" s="3100" t="s">
        <v>3308</v>
      </c>
      <c r="D117" s="3100" t="s">
        <v>3309</v>
      </c>
      <c r="E117" s="3101" t="s">
        <v>3310</v>
      </c>
      <c r="F117" s="3101" t="s">
        <v>3311</v>
      </c>
      <c r="G117" s="3101" t="s">
        <v>3312</v>
      </c>
      <c r="H117" s="3102" t="s">
        <v>3313</v>
      </c>
      <c r="I117" s="3102" t="s">
        <v>3314</v>
      </c>
      <c r="J117" s="3103" t="s">
        <v>3315</v>
      </c>
      <c r="K117" s="3103" t="s">
        <v>3316</v>
      </c>
      <c r="L117" s="3103" t="s">
        <v>3317</v>
      </c>
      <c r="M117" s="3104" t="s">
        <v>3318</v>
      </c>
      <c r="N117" s="3093"/>
    </row>
    <row r="118" spans="1:14">
      <c r="A118" s="3053" t="s">
        <v>3319</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3320</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3321</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3322</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2603</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485" t="s">
        <v>2598</v>
      </c>
      <c r="B20" s="3480" t="s">
        <v>2619</v>
      </c>
      <c r="C20" s="2838" t="s">
        <v>2430</v>
      </c>
      <c r="D20" s="2839"/>
      <c r="E20" s="2840">
        <v>1</v>
      </c>
      <c r="F20" s="2841" t="s">
        <v>2431</v>
      </c>
      <c r="G20" s="2841"/>
    </row>
    <row r="21" spans="1:13" ht="19.5" customHeight="1">
      <c r="A21" s="3486"/>
      <c r="B21" s="3479"/>
      <c r="C21" s="2842" t="s">
        <v>2432</v>
      </c>
      <c r="D21" s="2843"/>
      <c r="E21" s="2844">
        <v>1</v>
      </c>
      <c r="F21" s="2841" t="s">
        <v>2433</v>
      </c>
      <c r="G21" s="2841"/>
    </row>
    <row r="22" spans="1:13" ht="19.5" customHeight="1">
      <c r="A22" s="3486"/>
      <c r="B22" s="3479"/>
      <c r="C22" s="2842" t="s">
        <v>2434</v>
      </c>
      <c r="D22" s="2843"/>
      <c r="E22" s="2844">
        <v>0.9</v>
      </c>
      <c r="F22" s="2841" t="s">
        <v>2435</v>
      </c>
      <c r="G22" s="2841"/>
    </row>
    <row r="23" spans="1:13" ht="19.5" customHeight="1">
      <c r="A23" s="3486"/>
      <c r="B23" s="3479"/>
      <c r="C23" s="2842" t="s">
        <v>2436</v>
      </c>
      <c r="D23" s="2843"/>
      <c r="E23" s="2844">
        <v>0.9</v>
      </c>
      <c r="F23" s="2841" t="s">
        <v>2437</v>
      </c>
      <c r="G23" s="2841"/>
    </row>
    <row r="24" spans="1:13" ht="19.5" customHeight="1">
      <c r="A24" s="3486"/>
      <c r="B24" s="3479"/>
      <c r="C24" s="2842" t="s">
        <v>2438</v>
      </c>
      <c r="D24" s="2843"/>
      <c r="E24" s="2844">
        <v>0.8</v>
      </c>
      <c r="F24" s="2841" t="s">
        <v>2439</v>
      </c>
      <c r="G24" s="2841"/>
    </row>
    <row r="25" spans="1:13" ht="19.5" customHeight="1" thickBot="1">
      <c r="A25" s="3487"/>
      <c r="B25" s="3481"/>
      <c r="C25" s="2845" t="s">
        <v>2440</v>
      </c>
      <c r="D25" s="2846"/>
      <c r="E25" s="2847">
        <v>0.8</v>
      </c>
      <c r="F25" s="2841" t="s">
        <v>2441</v>
      </c>
      <c r="G25" s="2841"/>
    </row>
    <row r="26" spans="1:13" ht="19.5" customHeight="1" thickBot="1">
      <c r="A26" s="2848" t="s">
        <v>2620</v>
      </c>
      <c r="B26" s="2849" t="s">
        <v>2619</v>
      </c>
      <c r="C26" s="2850" t="s">
        <v>2621</v>
      </c>
      <c r="D26" s="2851"/>
      <c r="E26" s="2852">
        <v>1</v>
      </c>
      <c r="F26" s="2841" t="s">
        <v>2442</v>
      </c>
      <c r="G26" s="2841"/>
    </row>
    <row r="27" spans="1:13" ht="19.5" customHeight="1">
      <c r="A27" s="3482" t="s">
        <v>2622</v>
      </c>
      <c r="B27" s="3480" t="s">
        <v>2603</v>
      </c>
      <c r="C27" s="2838" t="s">
        <v>2443</v>
      </c>
      <c r="D27" s="2839"/>
      <c r="E27" s="2840">
        <v>1</v>
      </c>
      <c r="F27" s="2841" t="s">
        <v>2444</v>
      </c>
      <c r="G27" s="2841"/>
    </row>
    <row r="28" spans="1:13" ht="19.5" customHeight="1">
      <c r="A28" s="3483"/>
      <c r="B28" s="3479"/>
      <c r="C28" s="2842" t="s">
        <v>2445</v>
      </c>
      <c r="D28" s="2843"/>
      <c r="E28" s="2844">
        <v>1</v>
      </c>
      <c r="F28" s="2841" t="s">
        <v>2446</v>
      </c>
      <c r="G28" s="2841"/>
    </row>
    <row r="29" spans="1:13" ht="19.5" customHeight="1">
      <c r="A29" s="3483"/>
      <c r="B29" s="3479"/>
      <c r="C29" s="2842" t="s">
        <v>2447</v>
      </c>
      <c r="D29" s="2843"/>
      <c r="E29" s="2844">
        <v>0.8</v>
      </c>
      <c r="F29" s="2841" t="s">
        <v>2448</v>
      </c>
      <c r="G29" s="2841"/>
    </row>
    <row r="30" spans="1:13" ht="19.5" customHeight="1">
      <c r="A30" s="3483"/>
      <c r="B30" s="3479"/>
      <c r="C30" s="2842" t="s">
        <v>2449</v>
      </c>
      <c r="D30" s="2843"/>
      <c r="E30" s="2844">
        <v>0.8</v>
      </c>
      <c r="F30" s="2841" t="s">
        <v>2450</v>
      </c>
      <c r="G30" s="2841"/>
    </row>
    <row r="31" spans="1:13" ht="19.5" customHeight="1">
      <c r="A31" s="3483"/>
      <c r="B31" s="3479"/>
      <c r="C31" s="2842" t="s">
        <v>2451</v>
      </c>
      <c r="D31" s="2843"/>
      <c r="E31" s="2844">
        <v>0.8</v>
      </c>
      <c r="F31" s="2841" t="s">
        <v>2452</v>
      </c>
      <c r="G31" s="2841"/>
    </row>
    <row r="32" spans="1:13" ht="19.5" customHeight="1">
      <c r="A32" s="3483"/>
      <c r="B32" s="3479"/>
      <c r="C32" s="2842" t="s">
        <v>2453</v>
      </c>
      <c r="D32" s="2843"/>
      <c r="E32" s="2844">
        <v>0.7</v>
      </c>
      <c r="F32" s="2841" t="s">
        <v>2454</v>
      </c>
      <c r="G32" s="2841"/>
    </row>
    <row r="33" spans="1:7" ht="19.5" customHeight="1">
      <c r="A33" s="3483"/>
      <c r="B33" s="3479"/>
      <c r="C33" s="2842" t="s">
        <v>2455</v>
      </c>
      <c r="D33" s="2843"/>
      <c r="E33" s="2844">
        <v>0.8</v>
      </c>
      <c r="F33" s="2841" t="s">
        <v>2456</v>
      </c>
      <c r="G33" s="2841"/>
    </row>
    <row r="34" spans="1:7" ht="19.5" customHeight="1">
      <c r="A34" s="3483"/>
      <c r="B34" s="3479"/>
      <c r="C34" s="2842" t="s">
        <v>2457</v>
      </c>
      <c r="D34" s="2843"/>
      <c r="E34" s="2844">
        <v>0.6</v>
      </c>
      <c r="F34" s="2841" t="s">
        <v>2458</v>
      </c>
      <c r="G34" s="2841"/>
    </row>
    <row r="35" spans="1:7" ht="19.5" customHeight="1">
      <c r="A35" s="3483"/>
      <c r="B35" s="3479"/>
      <c r="C35" s="2842" t="s">
        <v>2459</v>
      </c>
      <c r="D35" s="2843"/>
      <c r="E35" s="2844">
        <v>0.2</v>
      </c>
      <c r="F35" s="2841" t="s">
        <v>2460</v>
      </c>
      <c r="G35" s="2841"/>
    </row>
    <row r="36" spans="1:7" ht="19.5" customHeight="1">
      <c r="A36" s="3483"/>
      <c r="B36" s="3479"/>
      <c r="C36" s="2842" t="s">
        <v>2461</v>
      </c>
      <c r="D36" s="2843"/>
      <c r="E36" s="2844">
        <v>0.2</v>
      </c>
      <c r="F36" s="2841" t="s">
        <v>2462</v>
      </c>
      <c r="G36" s="2841"/>
    </row>
    <row r="37" spans="1:7" ht="19.5" customHeight="1">
      <c r="A37" s="3483"/>
      <c r="B37" s="3477" t="s">
        <v>2623</v>
      </c>
      <c r="C37" s="2842" t="s">
        <v>2463</v>
      </c>
      <c r="D37" s="2843"/>
      <c r="E37" s="2844">
        <v>0.6</v>
      </c>
      <c r="F37" s="2841" t="s">
        <v>2464</v>
      </c>
      <c r="G37" s="2841"/>
    </row>
    <row r="38" spans="1:7" ht="19.5" customHeight="1">
      <c r="A38" s="3483"/>
      <c r="B38" s="3479"/>
      <c r="C38" s="2842" t="s">
        <v>2465</v>
      </c>
      <c r="D38" s="2843"/>
      <c r="E38" s="2844">
        <v>0.6</v>
      </c>
      <c r="F38" s="2841" t="s">
        <v>2466</v>
      </c>
      <c r="G38" s="2841"/>
    </row>
    <row r="39" spans="1:7" ht="19.5" customHeight="1" thickBot="1">
      <c r="A39" s="3484"/>
      <c r="B39" s="3481"/>
      <c r="C39" s="2845" t="s">
        <v>2467</v>
      </c>
      <c r="D39" s="2846"/>
      <c r="E39" s="2847">
        <v>0.6</v>
      </c>
      <c r="F39" s="2841" t="s">
        <v>2468</v>
      </c>
      <c r="G39" s="2841"/>
    </row>
    <row r="40" spans="1:7" ht="19.5" customHeight="1" thickBot="1">
      <c r="A40" s="2848" t="s">
        <v>2600</v>
      </c>
      <c r="B40" s="2849" t="s">
        <v>2600</v>
      </c>
      <c r="C40" s="2850" t="s">
        <v>2624</v>
      </c>
      <c r="D40" s="2851"/>
      <c r="E40" s="2852">
        <v>1</v>
      </c>
      <c r="F40" s="2841" t="s">
        <v>2469</v>
      </c>
      <c r="G40" s="2841"/>
    </row>
    <row r="41" spans="1:7" ht="19.5" customHeight="1">
      <c r="A41" s="3485" t="s">
        <v>2601</v>
      </c>
      <c r="B41" s="3480" t="s">
        <v>2625</v>
      </c>
      <c r="C41" s="2838" t="s">
        <v>2470</v>
      </c>
      <c r="D41" s="2839"/>
      <c r="E41" s="2840">
        <v>1</v>
      </c>
      <c r="F41" s="2841" t="s">
        <v>2471</v>
      </c>
      <c r="G41" s="2841"/>
    </row>
    <row r="42" spans="1:7" ht="19.5" customHeight="1">
      <c r="A42" s="3486"/>
      <c r="B42" s="3479"/>
      <c r="C42" s="2842" t="s">
        <v>2472</v>
      </c>
      <c r="D42" s="2843"/>
      <c r="E42" s="2844">
        <v>1</v>
      </c>
      <c r="F42" s="2841" t="s">
        <v>2473</v>
      </c>
      <c r="G42" s="2841"/>
    </row>
    <row r="43" spans="1:7" ht="19.5" customHeight="1">
      <c r="A43" s="3486"/>
      <c r="B43" s="3478"/>
      <c r="C43" s="2842" t="s">
        <v>2474</v>
      </c>
      <c r="D43" s="2843"/>
      <c r="E43" s="2844">
        <v>1.5</v>
      </c>
      <c r="F43" s="2841" t="s">
        <v>2475</v>
      </c>
      <c r="G43" s="2841"/>
    </row>
    <row r="44" spans="1:7" ht="19.5" customHeight="1">
      <c r="A44" s="3486"/>
      <c r="B44" s="2853" t="s">
        <v>2626</v>
      </c>
      <c r="C44" s="2842" t="s">
        <v>2627</v>
      </c>
      <c r="D44" s="2843"/>
      <c r="E44" s="2844">
        <v>2</v>
      </c>
      <c r="F44" s="2841" t="s">
        <v>2476</v>
      </c>
      <c r="G44" s="2841"/>
    </row>
    <row r="45" spans="1:7" ht="19.5" customHeight="1">
      <c r="A45" s="3486"/>
      <c r="B45" s="3477" t="s">
        <v>2628</v>
      </c>
      <c r="C45" s="2842" t="s">
        <v>2477</v>
      </c>
      <c r="D45" s="2843"/>
      <c r="E45" s="2844">
        <v>1</v>
      </c>
      <c r="F45" s="2841" t="s">
        <v>2478</v>
      </c>
      <c r="G45" s="2841"/>
    </row>
    <row r="46" spans="1:7" ht="19.5" customHeight="1">
      <c r="A46" s="3486"/>
      <c r="B46" s="3479"/>
      <c r="C46" s="2842" t="s">
        <v>2479</v>
      </c>
      <c r="D46" s="2843"/>
      <c r="E46" s="2844">
        <v>1</v>
      </c>
      <c r="F46" s="2841" t="s">
        <v>2480</v>
      </c>
      <c r="G46" s="2841"/>
    </row>
    <row r="47" spans="1:7" ht="19.5" customHeight="1">
      <c r="A47" s="3486"/>
      <c r="B47" s="3479"/>
      <c r="C47" s="2842" t="s">
        <v>2481</v>
      </c>
      <c r="D47" s="2843"/>
      <c r="E47" s="2844">
        <v>1</v>
      </c>
      <c r="F47" s="2841" t="s">
        <v>2482</v>
      </c>
      <c r="G47" s="2841"/>
    </row>
    <row r="48" spans="1:7" ht="19.5" customHeight="1">
      <c r="A48" s="3486"/>
      <c r="B48" s="3479"/>
      <c r="C48" s="2842" t="s">
        <v>2483</v>
      </c>
      <c r="D48" s="2843"/>
      <c r="E48" s="2844">
        <v>1</v>
      </c>
      <c r="F48" s="2841" t="s">
        <v>2484</v>
      </c>
      <c r="G48" s="2841"/>
    </row>
    <row r="49" spans="1:7" ht="19.5" customHeight="1">
      <c r="A49" s="3486"/>
      <c r="B49" s="3479"/>
      <c r="C49" s="2842" t="s">
        <v>2485</v>
      </c>
      <c r="D49" s="2843"/>
      <c r="E49" s="2844">
        <v>1</v>
      </c>
      <c r="F49" s="2841" t="s">
        <v>2486</v>
      </c>
      <c r="G49" s="2841"/>
    </row>
    <row r="50" spans="1:7" ht="19.5" customHeight="1">
      <c r="A50" s="3486"/>
      <c r="B50" s="3479"/>
      <c r="C50" s="2842" t="s">
        <v>2487</v>
      </c>
      <c r="D50" s="2843"/>
      <c r="E50" s="2844">
        <v>1</v>
      </c>
      <c r="F50" s="2841" t="s">
        <v>2488</v>
      </c>
      <c r="G50" s="2841"/>
    </row>
    <row r="51" spans="1:7" ht="19.5" customHeight="1" thickBot="1">
      <c r="A51" s="3487"/>
      <c r="B51" s="3481"/>
      <c r="C51" s="2845" t="s">
        <v>2489</v>
      </c>
      <c r="D51" s="2846"/>
      <c r="E51" s="2847">
        <v>1</v>
      </c>
      <c r="F51" s="2841" t="s">
        <v>2490</v>
      </c>
      <c r="G51" s="2841"/>
    </row>
    <row r="52" spans="1:7" ht="19.5" customHeight="1">
      <c r="A52" s="2854"/>
      <c r="B52" s="2854"/>
      <c r="C52" s="2854"/>
      <c r="D52" s="2854"/>
      <c r="E52" s="2854"/>
      <c r="F52" s="2854"/>
      <c r="G52" s="2854"/>
    </row>
    <row r="54" spans="1:7" ht="19.5" customHeight="1">
      <c r="A54" s="2855"/>
      <c r="B54" s="2827" t="s">
        <v>2629</v>
      </c>
      <c r="C54" s="2827" t="s">
        <v>2629</v>
      </c>
      <c r="D54" s="2827" t="s">
        <v>2629</v>
      </c>
      <c r="E54" s="2830" t="s">
        <v>2629</v>
      </c>
      <c r="F54" s="2830" t="s">
        <v>2630</v>
      </c>
      <c r="G54" s="2830" t="s">
        <v>2631</v>
      </c>
    </row>
    <row r="55" spans="1:7" ht="19.5" customHeight="1">
      <c r="A55" s="2856"/>
      <c r="B55" s="2830" t="s">
        <v>2598</v>
      </c>
      <c r="C55" s="2830" t="s">
        <v>2598</v>
      </c>
      <c r="D55" s="2830" t="s">
        <v>2598</v>
      </c>
      <c r="E55" s="2827" t="s">
        <v>2599</v>
      </c>
      <c r="F55" s="2827" t="s">
        <v>2601</v>
      </c>
      <c r="G55" s="2827" t="s">
        <v>2632</v>
      </c>
    </row>
    <row r="56" spans="1:7" ht="19.5" customHeight="1">
      <c r="A56" s="2857"/>
      <c r="B56" s="2827">
        <v>1</v>
      </c>
      <c r="C56" s="2827">
        <v>2</v>
      </c>
      <c r="D56" s="2827">
        <v>3</v>
      </c>
      <c r="E56" s="2858" t="s">
        <v>2633</v>
      </c>
      <c r="F56" s="2858" t="s">
        <v>2633</v>
      </c>
      <c r="G56" s="2858" t="s">
        <v>2633</v>
      </c>
    </row>
    <row r="57" spans="1:7" ht="19.5" customHeight="1">
      <c r="A57" s="2859" t="s">
        <v>2586</v>
      </c>
      <c r="B57" s="2827">
        <v>0.7</v>
      </c>
      <c r="C57" s="2827">
        <v>0.4</v>
      </c>
      <c r="D57" s="2827">
        <v>0.3</v>
      </c>
      <c r="E57" s="2858">
        <v>0.3</v>
      </c>
      <c r="F57" s="2827">
        <v>0.3</v>
      </c>
      <c r="G57" s="2827">
        <v>0.2</v>
      </c>
    </row>
    <row r="58" spans="1:7" ht="19.5" customHeight="1">
      <c r="A58" s="2859" t="s">
        <v>2587</v>
      </c>
      <c r="B58" s="2827">
        <v>0.7</v>
      </c>
      <c r="C58" s="2827">
        <v>0.4</v>
      </c>
      <c r="D58" s="2827">
        <v>0.3</v>
      </c>
      <c r="E58" s="2827">
        <v>0.3</v>
      </c>
      <c r="F58" s="2827">
        <v>0.3</v>
      </c>
      <c r="G58" s="2827">
        <v>0.2</v>
      </c>
    </row>
    <row r="59" spans="1:7" ht="19.5" customHeight="1">
      <c r="A59" s="2859" t="s">
        <v>2588</v>
      </c>
      <c r="B59" s="2827">
        <v>0.6</v>
      </c>
      <c r="C59" s="2827">
        <v>0.3</v>
      </c>
      <c r="D59" s="2827">
        <v>0.25</v>
      </c>
      <c r="E59" s="2827">
        <v>0.25</v>
      </c>
      <c r="F59" s="2827">
        <v>0.25</v>
      </c>
      <c r="G59" s="2827">
        <v>0.15</v>
      </c>
    </row>
    <row r="60" spans="1:7" ht="19.5" customHeight="1">
      <c r="A60" s="2859" t="s">
        <v>2589</v>
      </c>
      <c r="B60" s="2827">
        <v>0.6</v>
      </c>
      <c r="C60" s="2827">
        <v>0.3</v>
      </c>
      <c r="D60" s="2827">
        <v>0.25</v>
      </c>
      <c r="E60" s="2827">
        <v>0.25</v>
      </c>
      <c r="F60" s="2827">
        <v>0.25</v>
      </c>
      <c r="G60" s="2827">
        <v>0.15</v>
      </c>
    </row>
    <row r="61" spans="1:7" ht="19.5" customHeight="1">
      <c r="A61" s="2859" t="s">
        <v>2590</v>
      </c>
      <c r="B61" s="2827">
        <v>0.6</v>
      </c>
      <c r="C61" s="2827">
        <v>0.3</v>
      </c>
      <c r="D61" s="2827">
        <v>0.25</v>
      </c>
      <c r="E61" s="2827">
        <v>0.25</v>
      </c>
      <c r="F61" s="2827">
        <v>0.25</v>
      </c>
      <c r="G61" s="2827">
        <v>0.15</v>
      </c>
    </row>
    <row r="62" spans="1:7" ht="19.5" customHeight="1">
      <c r="A62" s="2859" t="s">
        <v>2591</v>
      </c>
      <c r="B62" s="2827">
        <v>0.6</v>
      </c>
      <c r="C62" s="2827">
        <v>0.3</v>
      </c>
      <c r="D62" s="2827">
        <v>0.25</v>
      </c>
      <c r="E62" s="2827">
        <v>0.25</v>
      </c>
      <c r="F62" s="2827">
        <v>0.25</v>
      </c>
      <c r="G62" s="2827">
        <v>0.15</v>
      </c>
    </row>
    <row r="63" spans="1:7" ht="19.5" customHeight="1">
      <c r="A63" s="2859" t="s">
        <v>2592</v>
      </c>
      <c r="B63" s="2827">
        <v>0.6</v>
      </c>
      <c r="C63" s="2827">
        <v>0.3</v>
      </c>
      <c r="D63" s="2827">
        <v>0.25</v>
      </c>
      <c r="E63" s="2827">
        <v>0.25</v>
      </c>
      <c r="F63" s="2827">
        <v>0.25</v>
      </c>
      <c r="G63" s="2827">
        <v>0.15</v>
      </c>
    </row>
    <row r="64" spans="1:7" ht="19.5" customHeight="1">
      <c r="A64" s="2859" t="s">
        <v>2593</v>
      </c>
      <c r="B64" s="2827">
        <v>0.5</v>
      </c>
      <c r="C64" s="2827">
        <v>0.2</v>
      </c>
      <c r="D64" s="2827">
        <v>0.2</v>
      </c>
      <c r="E64" s="2827">
        <v>0.2</v>
      </c>
      <c r="F64" s="2827">
        <v>0.2</v>
      </c>
      <c r="G64" s="2827">
        <v>0.1</v>
      </c>
    </row>
    <row r="65" spans="1:7" ht="19.5" customHeight="1">
      <c r="A65" s="2859" t="s">
        <v>2594</v>
      </c>
      <c r="B65" s="2827">
        <v>0.5</v>
      </c>
      <c r="C65" s="2827">
        <v>0.2</v>
      </c>
      <c r="D65" s="2827">
        <v>0.2</v>
      </c>
      <c r="E65" s="2827">
        <v>0.2</v>
      </c>
      <c r="F65" s="2827">
        <v>0.2</v>
      </c>
      <c r="G65" s="2827">
        <v>0.1</v>
      </c>
    </row>
    <row r="66" spans="1:7" ht="19.5" customHeight="1">
      <c r="A66" s="2859" t="s">
        <v>2595</v>
      </c>
      <c r="B66" s="2827">
        <v>0.5</v>
      </c>
      <c r="C66" s="2827">
        <v>0.2</v>
      </c>
      <c r="D66" s="2827">
        <v>0.2</v>
      </c>
      <c r="E66" s="2827">
        <v>0.2</v>
      </c>
      <c r="F66" s="2827">
        <v>0.2</v>
      </c>
      <c r="G66" s="2827">
        <v>0.1</v>
      </c>
    </row>
    <row r="67" spans="1:7" ht="19.5" customHeight="1">
      <c r="A67" s="2859" t="s">
        <v>2596</v>
      </c>
      <c r="B67" s="2827">
        <v>0.5</v>
      </c>
      <c r="C67" s="2827">
        <v>0.2</v>
      </c>
      <c r="D67" s="2827">
        <v>0.2</v>
      </c>
      <c r="E67" s="2827">
        <v>0.2</v>
      </c>
      <c r="F67" s="2827">
        <v>0.2</v>
      </c>
      <c r="G67" s="2827">
        <v>0.1</v>
      </c>
    </row>
    <row r="68" spans="1:7" ht="19.5" customHeight="1">
      <c r="A68" s="2859" t="s">
        <v>2597</v>
      </c>
      <c r="B68" s="2827">
        <v>0.5</v>
      </c>
      <c r="C68" s="2827">
        <v>0.2</v>
      </c>
      <c r="D68" s="2827">
        <v>0.2</v>
      </c>
      <c r="E68" s="2827">
        <v>0.2</v>
      </c>
      <c r="F68" s="2827">
        <v>0.2</v>
      </c>
      <c r="G68" s="2827">
        <v>0.1</v>
      </c>
    </row>
    <row r="70" spans="1:7" ht="19.5" customHeight="1">
      <c r="A70" s="2841"/>
      <c r="B70" s="2860"/>
      <c r="C70" s="2860"/>
      <c r="D70" s="2860" t="s">
        <v>2634</v>
      </c>
      <c r="E70" s="2860"/>
      <c r="F70" s="2860"/>
    </row>
    <row r="71" spans="1:7" ht="19.5" customHeight="1">
      <c r="A71" s="2853" t="s">
        <v>2635</v>
      </c>
      <c r="B71" s="2853" t="s">
        <v>2636</v>
      </c>
      <c r="C71" s="2853" t="s">
        <v>2637</v>
      </c>
      <c r="D71" s="2853" t="s">
        <v>2638</v>
      </c>
      <c r="E71" s="2853" t="s">
        <v>2639</v>
      </c>
      <c r="F71" s="2853" t="s">
        <v>2640</v>
      </c>
    </row>
    <row r="72" spans="1:7" ht="13.5">
      <c r="A72" s="2853"/>
      <c r="B72" s="2853"/>
      <c r="C72" s="2853" t="s">
        <v>2641</v>
      </c>
      <c r="D72" s="2853"/>
      <c r="E72" s="2853" t="s">
        <v>2612</v>
      </c>
      <c r="F72" s="2853" t="s">
        <v>2612</v>
      </c>
    </row>
    <row r="73" spans="1:7" ht="13.5">
      <c r="A73" s="2853">
        <v>1</v>
      </c>
      <c r="B73" s="3477" t="s">
        <v>2642</v>
      </c>
      <c r="C73" s="2827" t="s">
        <v>2643</v>
      </c>
      <c r="D73" s="2827" t="s">
        <v>2644</v>
      </c>
      <c r="E73" s="2853">
        <v>0.2</v>
      </c>
      <c r="F73" s="2853">
        <v>25</v>
      </c>
    </row>
    <row r="74" spans="1:7" ht="24">
      <c r="A74" s="2853">
        <v>2</v>
      </c>
      <c r="B74" s="3479"/>
      <c r="C74" s="2827" t="s">
        <v>2645</v>
      </c>
      <c r="D74" s="2827" t="s">
        <v>2646</v>
      </c>
      <c r="E74" s="2853">
        <v>0.2</v>
      </c>
      <c r="F74" s="2853">
        <v>25</v>
      </c>
    </row>
    <row r="75" spans="1:7" ht="24">
      <c r="A75" s="2853">
        <v>3</v>
      </c>
      <c r="B75" s="3479"/>
      <c r="C75" s="2827" t="s">
        <v>2647</v>
      </c>
      <c r="D75" s="2827" t="s">
        <v>2648</v>
      </c>
      <c r="E75" s="2853">
        <v>0.2</v>
      </c>
      <c r="F75" s="2853">
        <v>25</v>
      </c>
    </row>
    <row r="76" spans="1:7" ht="13.5">
      <c r="A76" s="2853">
        <v>4</v>
      </c>
      <c r="B76" s="3479"/>
      <c r="C76" s="2827" t="s">
        <v>2649</v>
      </c>
      <c r="D76" s="2827" t="s">
        <v>2650</v>
      </c>
      <c r="E76" s="2853">
        <v>0.15</v>
      </c>
      <c r="F76" s="2853">
        <v>20</v>
      </c>
    </row>
    <row r="77" spans="1:7" ht="24">
      <c r="A77" s="2853">
        <v>5</v>
      </c>
      <c r="B77" s="3479"/>
      <c r="C77" s="2827" t="s">
        <v>2651</v>
      </c>
      <c r="D77" s="2827" t="s">
        <v>2652</v>
      </c>
      <c r="E77" s="2853">
        <v>0.15</v>
      </c>
      <c r="F77" s="2853">
        <v>20</v>
      </c>
    </row>
    <row r="78" spans="1:7" ht="24">
      <c r="A78" s="2853">
        <v>6</v>
      </c>
      <c r="B78" s="3479"/>
      <c r="C78" s="2827" t="s">
        <v>2653</v>
      </c>
      <c r="D78" s="2827" t="s">
        <v>2654</v>
      </c>
      <c r="E78" s="2853">
        <v>0.15</v>
      </c>
      <c r="F78" s="2853">
        <v>20</v>
      </c>
    </row>
    <row r="79" spans="1:7" ht="24">
      <c r="A79" s="2853">
        <v>7</v>
      </c>
      <c r="B79" s="3479"/>
      <c r="C79" s="2827" t="s">
        <v>2655</v>
      </c>
      <c r="D79" s="2827" t="s">
        <v>2656</v>
      </c>
      <c r="E79" s="2853">
        <v>0.15</v>
      </c>
      <c r="F79" s="2853">
        <v>20</v>
      </c>
    </row>
    <row r="80" spans="1:7" ht="24">
      <c r="A80" s="2853">
        <v>8</v>
      </c>
      <c r="B80" s="3479"/>
      <c r="C80" s="2827" t="s">
        <v>2657</v>
      </c>
      <c r="D80" s="2827" t="s">
        <v>2658</v>
      </c>
      <c r="E80" s="2853">
        <v>0.1</v>
      </c>
      <c r="F80" s="2853">
        <v>15</v>
      </c>
    </row>
    <row r="81" spans="1:6" ht="24">
      <c r="A81" s="2853">
        <v>9</v>
      </c>
      <c r="B81" s="3479"/>
      <c r="C81" s="2827" t="s">
        <v>2659</v>
      </c>
      <c r="D81" s="2827" t="s">
        <v>2660</v>
      </c>
      <c r="E81" s="2853">
        <v>0.1</v>
      </c>
      <c r="F81" s="2853">
        <v>15</v>
      </c>
    </row>
    <row r="82" spans="1:6" ht="24">
      <c r="A82" s="2853">
        <v>10</v>
      </c>
      <c r="B82" s="3479"/>
      <c r="C82" s="2827" t="s">
        <v>2661</v>
      </c>
      <c r="D82" s="2827" t="s">
        <v>2662</v>
      </c>
      <c r="E82" s="2853">
        <v>0.1</v>
      </c>
      <c r="F82" s="2853">
        <v>15</v>
      </c>
    </row>
    <row r="83" spans="1:6" ht="24">
      <c r="A83" s="2853">
        <v>11</v>
      </c>
      <c r="B83" s="3479"/>
      <c r="C83" s="2827" t="s">
        <v>2663</v>
      </c>
      <c r="D83" s="2827" t="s">
        <v>2664</v>
      </c>
      <c r="E83" s="2853">
        <v>0.1</v>
      </c>
      <c r="F83" s="2853">
        <v>15</v>
      </c>
    </row>
    <row r="84" spans="1:6" ht="24">
      <c r="A84" s="2853">
        <v>12</v>
      </c>
      <c r="B84" s="3479"/>
      <c r="C84" s="2827" t="s">
        <v>2665</v>
      </c>
      <c r="D84" s="2827" t="s">
        <v>2666</v>
      </c>
      <c r="E84" s="2853">
        <v>0.1</v>
      </c>
      <c r="F84" s="2853">
        <v>15</v>
      </c>
    </row>
    <row r="85" spans="1:6" ht="13.5">
      <c r="A85" s="2853">
        <v>13</v>
      </c>
      <c r="B85" s="3479"/>
      <c r="C85" s="2827" t="s">
        <v>2667</v>
      </c>
      <c r="D85" s="2827" t="s">
        <v>2668</v>
      </c>
      <c r="E85" s="2853">
        <v>0.1</v>
      </c>
      <c r="F85" s="2853">
        <v>15</v>
      </c>
    </row>
    <row r="86" spans="1:6" ht="13.5">
      <c r="A86" s="2853">
        <v>14</v>
      </c>
      <c r="B86" s="3479"/>
      <c r="C86" s="2827" t="s">
        <v>2669</v>
      </c>
      <c r="D86" s="2827" t="s">
        <v>2670</v>
      </c>
      <c r="E86" s="2853">
        <v>0.1</v>
      </c>
      <c r="F86" s="2853">
        <v>15</v>
      </c>
    </row>
    <row r="87" spans="1:6" ht="13.5">
      <c r="A87" s="2853">
        <v>15</v>
      </c>
      <c r="B87" s="3479"/>
      <c r="C87" s="2827" t="s">
        <v>2671</v>
      </c>
      <c r="D87" s="2827" t="s">
        <v>2672</v>
      </c>
      <c r="E87" s="2853">
        <v>0.1</v>
      </c>
      <c r="F87" s="2853">
        <v>15</v>
      </c>
    </row>
    <row r="88" spans="1:6" ht="24">
      <c r="A88" s="2853">
        <v>16</v>
      </c>
      <c r="B88" s="3479"/>
      <c r="C88" s="2827" t="s">
        <v>2673</v>
      </c>
      <c r="D88" s="2827" t="s">
        <v>2674</v>
      </c>
      <c r="E88" s="2853">
        <v>0.1</v>
      </c>
      <c r="F88" s="2853">
        <v>15</v>
      </c>
    </row>
    <row r="89" spans="1:6" ht="24">
      <c r="A89" s="2853">
        <v>17</v>
      </c>
      <c r="B89" s="3478"/>
      <c r="C89" s="2827" t="s">
        <v>2675</v>
      </c>
      <c r="D89" s="2827" t="s">
        <v>2676</v>
      </c>
      <c r="E89" s="2853">
        <v>0.1</v>
      </c>
      <c r="F89" s="2853">
        <v>15</v>
      </c>
    </row>
    <row r="90" spans="1:6" ht="13.5">
      <c r="A90" s="2853">
        <v>18</v>
      </c>
      <c r="B90" s="3477" t="s">
        <v>2677</v>
      </c>
      <c r="C90" s="2827" t="s">
        <v>2678</v>
      </c>
      <c r="D90" s="2827" t="s">
        <v>2679</v>
      </c>
      <c r="E90" s="2853">
        <v>0.2</v>
      </c>
      <c r="F90" s="2853">
        <v>25</v>
      </c>
    </row>
    <row r="91" spans="1:6" ht="24">
      <c r="A91" s="2853">
        <v>19</v>
      </c>
      <c r="B91" s="3479"/>
      <c r="C91" s="2827" t="s">
        <v>2680</v>
      </c>
      <c r="D91" s="2827" t="s">
        <v>2681</v>
      </c>
      <c r="E91" s="2853">
        <v>0.2</v>
      </c>
      <c r="F91" s="2853">
        <v>25</v>
      </c>
    </row>
    <row r="92" spans="1:6" ht="13.5">
      <c r="A92" s="2853">
        <v>20</v>
      </c>
      <c r="B92" s="3479"/>
      <c r="C92" s="2827" t="s">
        <v>2682</v>
      </c>
      <c r="D92" s="2827" t="s">
        <v>2683</v>
      </c>
      <c r="E92" s="2853">
        <v>0.15</v>
      </c>
      <c r="F92" s="2853">
        <v>20</v>
      </c>
    </row>
    <row r="93" spans="1:6" ht="13.5">
      <c r="A93" s="2853">
        <v>21</v>
      </c>
      <c r="B93" s="3479"/>
      <c r="C93" s="2827" t="s">
        <v>2684</v>
      </c>
      <c r="D93" s="2827" t="s">
        <v>2685</v>
      </c>
      <c r="E93" s="2853">
        <v>0.15</v>
      </c>
      <c r="F93" s="2853">
        <v>20</v>
      </c>
    </row>
    <row r="94" spans="1:6" ht="13.5">
      <c r="A94" s="2853">
        <v>22</v>
      </c>
      <c r="B94" s="3479"/>
      <c r="C94" s="2827" t="s">
        <v>2686</v>
      </c>
      <c r="D94" s="2827" t="s">
        <v>2687</v>
      </c>
      <c r="E94" s="2853">
        <v>0.15</v>
      </c>
      <c r="F94" s="2853">
        <v>20</v>
      </c>
    </row>
    <row r="95" spans="1:6" ht="36">
      <c r="A95" s="2853">
        <v>23</v>
      </c>
      <c r="B95" s="3479"/>
      <c r="C95" s="2827" t="s">
        <v>2688</v>
      </c>
      <c r="D95" s="2827" t="s">
        <v>2689</v>
      </c>
      <c r="E95" s="2853">
        <v>0.15</v>
      </c>
      <c r="F95" s="2853">
        <v>20</v>
      </c>
    </row>
    <row r="96" spans="1:6" ht="13.5">
      <c r="A96" s="2853">
        <v>24</v>
      </c>
      <c r="B96" s="3479"/>
      <c r="C96" s="2827" t="s">
        <v>2690</v>
      </c>
      <c r="D96" s="2827" t="s">
        <v>2691</v>
      </c>
      <c r="E96" s="2853">
        <v>0.1</v>
      </c>
      <c r="F96" s="2853">
        <v>15</v>
      </c>
    </row>
    <row r="97" spans="1:6" ht="13.5">
      <c r="A97" s="2853">
        <v>25</v>
      </c>
      <c r="B97" s="3479"/>
      <c r="C97" s="2827" t="s">
        <v>2692</v>
      </c>
      <c r="D97" s="2827" t="s">
        <v>2693</v>
      </c>
      <c r="E97" s="2853">
        <v>0.1</v>
      </c>
      <c r="F97" s="2853">
        <v>15</v>
      </c>
    </row>
    <row r="98" spans="1:6" ht="24">
      <c r="A98" s="2853">
        <v>26</v>
      </c>
      <c r="B98" s="3479"/>
      <c r="C98" s="2827" t="s">
        <v>2694</v>
      </c>
      <c r="D98" s="2827" t="s">
        <v>2695</v>
      </c>
      <c r="E98" s="2853">
        <v>0.1</v>
      </c>
      <c r="F98" s="2853">
        <v>15</v>
      </c>
    </row>
    <row r="99" spans="1:6" ht="24">
      <c r="A99" s="2853">
        <v>27</v>
      </c>
      <c r="B99" s="3479"/>
      <c r="C99" s="2827" t="s">
        <v>2696</v>
      </c>
      <c r="D99" s="2827" t="s">
        <v>2697</v>
      </c>
      <c r="E99" s="2853">
        <v>0.1</v>
      </c>
      <c r="F99" s="2853">
        <v>15</v>
      </c>
    </row>
    <row r="100" spans="1:6" ht="13.5">
      <c r="A100" s="2853">
        <v>28</v>
      </c>
      <c r="B100" s="3479"/>
      <c r="C100" s="2827" t="s">
        <v>2698</v>
      </c>
      <c r="D100" s="2827" t="s">
        <v>2699</v>
      </c>
      <c r="E100" s="2853">
        <v>0.1</v>
      </c>
      <c r="F100" s="2853">
        <v>15</v>
      </c>
    </row>
    <row r="101" spans="1:6" ht="13.5">
      <c r="A101" s="2853">
        <v>29</v>
      </c>
      <c r="B101" s="3479"/>
      <c r="C101" s="2827" t="s">
        <v>2700</v>
      </c>
      <c r="D101" s="2827" t="s">
        <v>2701</v>
      </c>
      <c r="E101" s="2853">
        <v>0.1</v>
      </c>
      <c r="F101" s="2853">
        <v>15</v>
      </c>
    </row>
    <row r="102" spans="1:6" ht="13.5">
      <c r="A102" s="2853">
        <v>30</v>
      </c>
      <c r="B102" s="3479"/>
      <c r="C102" s="2827" t="s">
        <v>2702</v>
      </c>
      <c r="D102" s="2827" t="s">
        <v>2703</v>
      </c>
      <c r="E102" s="2853">
        <v>0.1</v>
      </c>
      <c r="F102" s="2853">
        <v>15</v>
      </c>
    </row>
    <row r="103" spans="1:6" ht="24">
      <c r="A103" s="2853">
        <v>31</v>
      </c>
      <c r="B103" s="3479"/>
      <c r="C103" s="2827" t="s">
        <v>2704</v>
      </c>
      <c r="D103" s="2827" t="s">
        <v>2705</v>
      </c>
      <c r="E103" s="2853">
        <v>0.1</v>
      </c>
      <c r="F103" s="2853">
        <v>15</v>
      </c>
    </row>
    <row r="104" spans="1:6" ht="24">
      <c r="A104" s="2853">
        <v>32</v>
      </c>
      <c r="B104" s="3479"/>
      <c r="C104" s="2827" t="s">
        <v>2706</v>
      </c>
      <c r="D104" s="2827" t="s">
        <v>2707</v>
      </c>
      <c r="E104" s="2853">
        <v>0.1</v>
      </c>
      <c r="F104" s="2853">
        <v>15</v>
      </c>
    </row>
    <row r="105" spans="1:6" ht="24">
      <c r="A105" s="2853">
        <v>33</v>
      </c>
      <c r="B105" s="3479"/>
      <c r="C105" s="2827" t="s">
        <v>2708</v>
      </c>
      <c r="D105" s="2827" t="s">
        <v>2709</v>
      </c>
      <c r="E105" s="2853">
        <v>0.1</v>
      </c>
      <c r="F105" s="2853">
        <v>15</v>
      </c>
    </row>
    <row r="106" spans="1:6" ht="24">
      <c r="A106" s="2853">
        <v>34</v>
      </c>
      <c r="B106" s="3478"/>
      <c r="C106" s="2827" t="s">
        <v>2710</v>
      </c>
      <c r="D106" s="2827" t="s">
        <v>2711</v>
      </c>
      <c r="E106" s="2853">
        <v>0.1</v>
      </c>
      <c r="F106" s="2853">
        <v>15</v>
      </c>
    </row>
    <row r="107" spans="1:6" ht="24">
      <c r="A107" s="2853">
        <v>35</v>
      </c>
      <c r="B107" s="3477" t="s">
        <v>2712</v>
      </c>
      <c r="C107" s="2853" t="s">
        <v>2713</v>
      </c>
      <c r="D107" s="2827" t="s">
        <v>2714</v>
      </c>
      <c r="E107" s="2853">
        <v>0.15</v>
      </c>
      <c r="F107" s="2853">
        <v>20</v>
      </c>
    </row>
    <row r="108" spans="1:6" ht="13.5">
      <c r="A108" s="2853">
        <v>36</v>
      </c>
      <c r="B108" s="3479"/>
      <c r="C108" s="2853" t="s">
        <v>2715</v>
      </c>
      <c r="D108" s="2827" t="s">
        <v>2716</v>
      </c>
      <c r="E108" s="2853">
        <v>0.15</v>
      </c>
      <c r="F108" s="2853">
        <v>20</v>
      </c>
    </row>
    <row r="109" spans="1:6" ht="13.5">
      <c r="A109" s="2853">
        <v>37</v>
      </c>
      <c r="B109" s="3479"/>
      <c r="C109" s="2853" t="s">
        <v>2717</v>
      </c>
      <c r="D109" s="2827" t="s">
        <v>2718</v>
      </c>
      <c r="E109" s="2853">
        <v>0.15</v>
      </c>
      <c r="F109" s="2853">
        <v>20</v>
      </c>
    </row>
    <row r="110" spans="1:6" ht="13.5">
      <c r="A110" s="2853">
        <v>38</v>
      </c>
      <c r="B110" s="3479"/>
      <c r="C110" s="2853" t="s">
        <v>2719</v>
      </c>
      <c r="D110" s="2827" t="s">
        <v>2720</v>
      </c>
      <c r="E110" s="2853">
        <v>0.1</v>
      </c>
      <c r="F110" s="2853">
        <v>15</v>
      </c>
    </row>
    <row r="111" spans="1:6" ht="24">
      <c r="A111" s="2853">
        <v>39</v>
      </c>
      <c r="B111" s="3479"/>
      <c r="C111" s="2853" t="s">
        <v>2721</v>
      </c>
      <c r="D111" s="2827" t="s">
        <v>2722</v>
      </c>
      <c r="E111" s="2853">
        <v>0.1</v>
      </c>
      <c r="F111" s="2853">
        <v>15</v>
      </c>
    </row>
    <row r="112" spans="1:6" ht="24">
      <c r="A112" s="2853">
        <v>40</v>
      </c>
      <c r="B112" s="3478"/>
      <c r="C112" s="2853" t="s">
        <v>2723</v>
      </c>
      <c r="D112" s="2827" t="s">
        <v>2724</v>
      </c>
      <c r="E112" s="2853">
        <v>0.1</v>
      </c>
      <c r="F112" s="2853">
        <v>15</v>
      </c>
    </row>
    <row r="113" spans="1:6" ht="13.5">
      <c r="A113" s="2853">
        <v>41</v>
      </c>
      <c r="B113" s="3476" t="s">
        <v>2725</v>
      </c>
      <c r="C113" s="2853" t="s">
        <v>2726</v>
      </c>
      <c r="D113" s="2827" t="s">
        <v>2727</v>
      </c>
      <c r="E113" s="2853">
        <v>0.1</v>
      </c>
      <c r="F113" s="2853">
        <v>15</v>
      </c>
    </row>
    <row r="114" spans="1:6" ht="13.5">
      <c r="A114" s="2853">
        <v>42</v>
      </c>
      <c r="B114" s="3476"/>
      <c r="C114" s="2853" t="s">
        <v>2728</v>
      </c>
      <c r="D114" s="2827" t="s">
        <v>2729</v>
      </c>
      <c r="E114" s="2853">
        <v>0.1</v>
      </c>
      <c r="F114" s="2853">
        <v>15</v>
      </c>
    </row>
    <row r="115" spans="1:6" ht="24">
      <c r="A115" s="2853">
        <v>43</v>
      </c>
      <c r="B115" s="3476"/>
      <c r="C115" s="2853" t="s">
        <v>2730</v>
      </c>
      <c r="D115" s="2827" t="s">
        <v>2731</v>
      </c>
      <c r="E115" s="2853">
        <v>0.1</v>
      </c>
      <c r="F115" s="2853">
        <v>15</v>
      </c>
    </row>
    <row r="116" spans="1:6" ht="13.5">
      <c r="A116" s="2853">
        <v>44</v>
      </c>
      <c r="B116" s="3477" t="s">
        <v>2732</v>
      </c>
      <c r="C116" s="2853" t="s">
        <v>2733</v>
      </c>
      <c r="D116" s="2827" t="s">
        <v>2734</v>
      </c>
      <c r="E116" s="2853">
        <v>0.1</v>
      </c>
      <c r="F116" s="2853">
        <v>15</v>
      </c>
    </row>
    <row r="117" spans="1:6" ht="24">
      <c r="A117" s="2853">
        <v>45</v>
      </c>
      <c r="B117" s="3478"/>
      <c r="C117" s="2827" t="s">
        <v>2735</v>
      </c>
      <c r="D117" s="2827" t="s">
        <v>2736</v>
      </c>
      <c r="E117" s="2853">
        <v>0.1</v>
      </c>
      <c r="F117" s="2853">
        <v>15</v>
      </c>
    </row>
    <row r="118" spans="1:6" ht="24">
      <c r="A118" s="2853">
        <v>46</v>
      </c>
      <c r="B118" s="3477" t="s">
        <v>2737</v>
      </c>
      <c r="C118" s="2853" t="s">
        <v>2738</v>
      </c>
      <c r="D118" s="2827" t="s">
        <v>2739</v>
      </c>
      <c r="E118" s="2853">
        <v>0.1</v>
      </c>
      <c r="F118" s="2853">
        <v>15</v>
      </c>
    </row>
    <row r="119" spans="1:6" ht="24">
      <c r="A119" s="2853">
        <v>47</v>
      </c>
      <c r="B119" s="3478"/>
      <c r="C119" s="2853" t="s">
        <v>2740</v>
      </c>
      <c r="D119" s="2827" t="s">
        <v>2741</v>
      </c>
      <c r="E119" s="2853">
        <v>0.1</v>
      </c>
      <c r="F119" s="2853">
        <v>15</v>
      </c>
    </row>
    <row r="120" spans="1:6" ht="13.5">
      <c r="A120" s="2853">
        <v>48</v>
      </c>
      <c r="B120" s="3477" t="s">
        <v>2742</v>
      </c>
      <c r="C120" s="2853" t="s">
        <v>2743</v>
      </c>
      <c r="D120" s="2827" t="s">
        <v>2744</v>
      </c>
      <c r="E120" s="2853">
        <v>0.1</v>
      </c>
      <c r="F120" s="2853">
        <v>15</v>
      </c>
    </row>
    <row r="121" spans="1:6" ht="13.5">
      <c r="A121" s="2853">
        <v>49</v>
      </c>
      <c r="B121" s="3478"/>
      <c r="C121" s="2853" t="s">
        <v>2745</v>
      </c>
      <c r="D121" s="2827" t="s">
        <v>2746</v>
      </c>
      <c r="E121" s="2853">
        <v>0.1</v>
      </c>
      <c r="F121" s="2853">
        <v>15</v>
      </c>
    </row>
    <row r="122" spans="1:6" ht="24">
      <c r="A122" s="2853">
        <v>50</v>
      </c>
      <c r="B122" s="3476" t="s">
        <v>2747</v>
      </c>
      <c r="C122" s="2853" t="s">
        <v>2748</v>
      </c>
      <c r="D122" s="2827" t="s">
        <v>2749</v>
      </c>
      <c r="E122" s="2853">
        <v>0.1</v>
      </c>
      <c r="F122" s="2853">
        <v>15</v>
      </c>
    </row>
    <row r="123" spans="1:6" ht="24">
      <c r="A123" s="2853">
        <v>51</v>
      </c>
      <c r="B123" s="3476"/>
      <c r="C123" s="2853" t="s">
        <v>2750</v>
      </c>
      <c r="D123" s="2827" t="s">
        <v>2751</v>
      </c>
      <c r="E123" s="2853">
        <v>0.1</v>
      </c>
      <c r="F123" s="2853">
        <v>15</v>
      </c>
    </row>
    <row r="124" spans="1:6" ht="24">
      <c r="A124" s="2853">
        <v>52</v>
      </c>
      <c r="B124" s="3476" t="s">
        <v>2752</v>
      </c>
      <c r="C124" s="2853" t="s">
        <v>2753</v>
      </c>
      <c r="D124" s="2827" t="s">
        <v>2754</v>
      </c>
      <c r="E124" s="2853">
        <v>0.1</v>
      </c>
      <c r="F124" s="2853">
        <v>15</v>
      </c>
    </row>
    <row r="125" spans="1:6" ht="24">
      <c r="A125" s="2853">
        <v>53</v>
      </c>
      <c r="B125" s="3476"/>
      <c r="C125" s="2853" t="s">
        <v>2755</v>
      </c>
      <c r="D125" s="2827" t="s">
        <v>2756</v>
      </c>
      <c r="E125" s="2853">
        <v>0.1</v>
      </c>
      <c r="F125" s="2853">
        <v>15</v>
      </c>
    </row>
    <row r="126" spans="1:6" ht="13.5">
      <c r="A126" s="2853">
        <v>54</v>
      </c>
      <c r="B126" s="2853" t="s">
        <v>2757</v>
      </c>
      <c r="C126" s="2853" t="s">
        <v>2758</v>
      </c>
      <c r="D126" s="2827" t="s">
        <v>2759</v>
      </c>
      <c r="E126" s="2853">
        <v>0.1</v>
      </c>
      <c r="F126" s="2853">
        <v>15</v>
      </c>
    </row>
    <row r="127" spans="1:6" ht="13.5">
      <c r="A127" s="2853">
        <v>55</v>
      </c>
      <c r="B127" s="3476" t="s">
        <v>2760</v>
      </c>
      <c r="C127" s="2853" t="s">
        <v>2761</v>
      </c>
      <c r="D127" s="2827" t="s">
        <v>2762</v>
      </c>
      <c r="E127" s="2853">
        <v>0.1</v>
      </c>
      <c r="F127" s="2853">
        <v>15</v>
      </c>
    </row>
    <row r="128" spans="1:6" ht="13.5">
      <c r="A128" s="2853">
        <v>56</v>
      </c>
      <c r="B128" s="3476"/>
      <c r="C128" s="2853" t="s">
        <v>2763</v>
      </c>
      <c r="D128" s="2827" t="s">
        <v>2764</v>
      </c>
      <c r="E128" s="2853">
        <v>0.1</v>
      </c>
      <c r="F128" s="2853">
        <v>15</v>
      </c>
    </row>
    <row r="129" spans="1:6" ht="24">
      <c r="A129" s="2853">
        <v>57</v>
      </c>
      <c r="B129" s="3476"/>
      <c r="C129" s="2853" t="s">
        <v>2765</v>
      </c>
      <c r="D129" s="2827" t="s">
        <v>2766</v>
      </c>
      <c r="E129" s="2853">
        <v>0.1</v>
      </c>
      <c r="F129" s="2853">
        <v>15</v>
      </c>
    </row>
    <row r="130" spans="1:6" ht="24">
      <c r="A130" s="2853">
        <v>58</v>
      </c>
      <c r="B130" s="3476" t="s">
        <v>2767</v>
      </c>
      <c r="C130" s="2853" t="s">
        <v>2768</v>
      </c>
      <c r="D130" s="2827" t="s">
        <v>2769</v>
      </c>
      <c r="E130" s="2853">
        <v>0.1</v>
      </c>
      <c r="F130" s="2853">
        <v>15</v>
      </c>
    </row>
    <row r="131" spans="1:6" ht="13.5">
      <c r="A131" s="2853">
        <v>59</v>
      </c>
      <c r="B131" s="3476"/>
      <c r="C131" s="2853" t="s">
        <v>2770</v>
      </c>
      <c r="D131" s="2827" t="s">
        <v>2771</v>
      </c>
      <c r="E131" s="2853">
        <v>0.1</v>
      </c>
      <c r="F131" s="2853">
        <v>15</v>
      </c>
    </row>
    <row r="132" spans="1:6" ht="13.5">
      <c r="A132" s="2853">
        <v>60</v>
      </c>
      <c r="B132" s="3477" t="s">
        <v>2772</v>
      </c>
      <c r="C132" s="2853" t="s">
        <v>2773</v>
      </c>
      <c r="D132" s="2827" t="s">
        <v>2774</v>
      </c>
      <c r="E132" s="2853">
        <v>0.1</v>
      </c>
      <c r="F132" s="2853">
        <v>15</v>
      </c>
    </row>
    <row r="133" spans="1:6" ht="13.5">
      <c r="A133" s="2853">
        <v>61</v>
      </c>
      <c r="B133" s="3478"/>
      <c r="C133" s="2853" t="s">
        <v>2775</v>
      </c>
      <c r="D133" s="2827" t="s">
        <v>2776</v>
      </c>
      <c r="E133" s="2853">
        <v>0.1</v>
      </c>
      <c r="F133" s="2853">
        <v>15</v>
      </c>
    </row>
    <row r="134" spans="1:6" ht="24">
      <c r="A134" s="2853">
        <v>62</v>
      </c>
      <c r="B134" s="2853" t="s">
        <v>2777</v>
      </c>
      <c r="C134" s="2853" t="s">
        <v>2778</v>
      </c>
      <c r="D134" s="2827" t="s">
        <v>2779</v>
      </c>
      <c r="E134" s="2853">
        <v>0.1</v>
      </c>
      <c r="F134" s="2853">
        <v>15</v>
      </c>
    </row>
    <row r="135" spans="1:6" ht="13.5">
      <c r="A135" s="2853">
        <v>63</v>
      </c>
      <c r="B135" s="3476" t="s">
        <v>2780</v>
      </c>
      <c r="C135" s="2853" t="s">
        <v>2781</v>
      </c>
      <c r="D135" s="2827" t="s">
        <v>2782</v>
      </c>
      <c r="E135" s="2853">
        <v>0.1</v>
      </c>
      <c r="F135" s="2853">
        <v>15</v>
      </c>
    </row>
    <row r="136" spans="1:6" ht="13.5">
      <c r="A136" s="2853">
        <v>64</v>
      </c>
      <c r="B136" s="3476"/>
      <c r="C136" s="2853" t="s">
        <v>2783</v>
      </c>
      <c r="D136" s="2827" t="s">
        <v>2784</v>
      </c>
      <c r="E136" s="2853">
        <v>0.1</v>
      </c>
      <c r="F136" s="2853">
        <v>15</v>
      </c>
    </row>
    <row r="137" spans="1:6" ht="13.5">
      <c r="A137" s="2853">
        <v>65</v>
      </c>
      <c r="B137" s="2853" t="s">
        <v>2785</v>
      </c>
      <c r="C137" s="2853" t="s">
        <v>2786</v>
      </c>
      <c r="D137" s="2827" t="s">
        <v>2787</v>
      </c>
      <c r="E137" s="2853">
        <v>0.1</v>
      </c>
      <c r="F137" s="2853">
        <v>15</v>
      </c>
    </row>
    <row r="138" spans="1:6" ht="13.5">
      <c r="A138" s="2853"/>
      <c r="B138" s="2853"/>
      <c r="C138" s="2853"/>
      <c r="D138" s="2853"/>
      <c r="E138" s="2853" t="s">
        <v>2788</v>
      </c>
      <c r="F138" s="2853"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2789</v>
      </c>
      <c r="B1" s="2861"/>
      <c r="C1" s="2861"/>
      <c r="D1" s="2861"/>
      <c r="E1" s="2861"/>
      <c r="F1" s="2861"/>
      <c r="G1" s="2861"/>
      <c r="H1" s="2861"/>
      <c r="I1" s="2861"/>
      <c r="J1" s="2861"/>
      <c r="K1" s="2861"/>
      <c r="L1" s="2861"/>
      <c r="M1" s="2861"/>
      <c r="N1" s="707"/>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0</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0</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14913</v>
      </c>
    </row>
    <row r="6" spans="1:5" ht="15.75">
      <c r="B6" s="3172"/>
      <c r="C6" s="1392" t="s">
        <v>911</v>
      </c>
      <c r="D6" s="797" t="str">
        <f ca="1">NUMBERSTRING(INT(D5*10000),2)&amp;"元整"</f>
        <v>壹亿肆仟玖佰壹拾叁万元整</v>
      </c>
    </row>
    <row r="7" spans="1:5" ht="15.75">
      <c r="B7" s="3177"/>
      <c r="C7" s="1393" t="s">
        <v>912</v>
      </c>
      <c r="D7" s="798">
        <f ca="1">结果表!H102</f>
        <v>30130</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14913</v>
      </c>
    </row>
    <row r="14" spans="1:5" ht="15.75">
      <c r="B14" s="3172"/>
      <c r="C14" s="1392" t="s">
        <v>911</v>
      </c>
      <c r="D14" s="797" t="str">
        <f ca="1">NUMBERSTRING(INT(D13*10000),2)&amp;"元整"</f>
        <v>壹亿肆仟玖佰壹拾叁万元整</v>
      </c>
    </row>
    <row r="15" spans="1:5" ht="15">
      <c r="B15" s="3177"/>
      <c r="C15" s="1393" t="s">
        <v>921</v>
      </c>
      <c r="D15" s="806">
        <f ca="1">结果表!H108</f>
        <v>30130</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28109</v>
      </c>
      <c r="C2" s="2" t="s">
        <v>106</v>
      </c>
      <c r="D2" s="191"/>
      <c r="E2" s="191"/>
      <c r="F2" s="191"/>
      <c r="G2" s="191"/>
    </row>
    <row r="3" spans="1:7" s="192" customFormat="1" ht="18" customHeight="1" thickBot="1">
      <c r="A3" s="195" t="s">
        <v>58</v>
      </c>
      <c r="B3" s="196">
        <f ca="1">ROUND(B2*10000/'数据-汇总表'!E3,0)</f>
        <v>56791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69</v>
      </c>
      <c r="D9" s="795">
        <f>'数据-汇总表'!E5</f>
        <v>4949.5099999999966</v>
      </c>
      <c r="E9" s="217">
        <f>'数据-取费表'!B27</f>
        <v>140</v>
      </c>
      <c r="F9" s="213"/>
      <c r="G9" s="218"/>
    </row>
    <row r="10" spans="1:7" s="206" customFormat="1" ht="13.5" customHeight="1">
      <c r="A10" s="733" t="s">
        <v>356</v>
      </c>
      <c r="B10" s="216" t="s">
        <v>67</v>
      </c>
      <c r="C10" s="217">
        <f>ROUND(D10*E10/10000,0)</f>
        <v>0</v>
      </c>
      <c r="D10" s="795">
        <f>'数据-汇总表'!E6</f>
        <v>0</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99</v>
      </c>
      <c r="D19" s="204">
        <f>'数据-汇总表'!E3</f>
        <v>4949.5099999999966</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648</v>
      </c>
      <c r="D22" s="227">
        <f ca="1">C26</f>
        <v>2.9999999999999997E-4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2112</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2112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25811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1485</v>
      </c>
      <c r="D34" s="209"/>
      <c r="E34" s="212"/>
      <c r="F34" s="249">
        <f>IF('数据-取费表'!B24=0,1,'数据-取费表'!N16)</f>
        <v>0.5</v>
      </c>
      <c r="G34" s="211" t="s">
        <v>89</v>
      </c>
    </row>
    <row r="35" spans="1:7" ht="13.5" customHeight="1">
      <c r="A35" s="734" t="s">
        <v>351</v>
      </c>
      <c r="B35" s="207" t="s">
        <v>33</v>
      </c>
      <c r="C35" s="212">
        <f>ROUND(C34*F35,0)</f>
        <v>74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74</v>
      </c>
      <c r="D36" s="212"/>
      <c r="E36" s="212"/>
      <c r="F36" s="251">
        <f>'数据-取费表'!B34</f>
        <v>0.05</v>
      </c>
      <c r="G36" s="252" t="s">
        <v>35</v>
      </c>
    </row>
    <row r="37" spans="1:7" s="250" customFormat="1" ht="13.5" customHeight="1">
      <c r="A37" s="734" t="s">
        <v>353</v>
      </c>
      <c r="B37" s="207" t="s">
        <v>91</v>
      </c>
      <c r="C37" s="241">
        <f>ROUND(E37*D37*F34/10000,0)</f>
        <v>49</v>
      </c>
      <c r="D37" s="209">
        <f>'数据-汇总表'!E3</f>
        <v>4949.5099999999966</v>
      </c>
      <c r="E37" s="241">
        <f>'数据-取费表'!B35</f>
        <v>200</v>
      </c>
      <c r="F37" s="251"/>
      <c r="G37" s="253" t="s">
        <v>92</v>
      </c>
    </row>
    <row r="38" spans="1:7" ht="13.5" customHeight="1">
      <c r="A38" s="734" t="s">
        <v>354</v>
      </c>
      <c r="B38" s="207" t="s">
        <v>36</v>
      </c>
      <c r="C38" s="212">
        <f>ROUND(C34*F38,0)</f>
        <v>30</v>
      </c>
      <c r="D38" s="212"/>
      <c r="E38" s="212"/>
      <c r="F38" s="251">
        <f>'数据-取费表'!B36</f>
        <v>0.02</v>
      </c>
      <c r="G38" s="211" t="s">
        <v>90</v>
      </c>
    </row>
    <row r="39" spans="1:7" s="206" customFormat="1" ht="13.5" customHeight="1">
      <c r="A39" s="731" t="s">
        <v>338</v>
      </c>
      <c r="B39" s="202" t="s">
        <v>77</v>
      </c>
      <c r="C39" s="224">
        <f>ROUND(C33*F20,0)</f>
        <v>34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94" t="s">
        <v>94</v>
      </c>
    </row>
    <row r="43" spans="1:7" ht="13.5" customHeight="1">
      <c r="A43" s="734" t="s">
        <v>347</v>
      </c>
      <c r="B43" s="207" t="s">
        <v>426</v>
      </c>
      <c r="C43" s="230">
        <f ca="1">ROUND(IF('数据-取费表'!B22&lt;=1,C39*F22*'数据-取费表'!B21/2,C39*(POWER((1+F22),'数据-取费表'!B21/2)-1)),0)</f>
        <v>1</v>
      </c>
      <c r="D43" s="230"/>
      <c r="E43" s="230"/>
      <c r="F43" s="231"/>
      <c r="G43" s="3395"/>
    </row>
    <row r="44" spans="1:7" ht="13.5" customHeight="1">
      <c r="A44" s="734" t="s">
        <v>348</v>
      </c>
      <c r="B44" s="207" t="s">
        <v>428</v>
      </c>
      <c r="C44" s="230">
        <f ca="1">ROUND(IF('数据-取费表'!B22&lt;=1,C40*F22*'数据-取费表'!B21/2,C40*(POWER((1+F22),'数据-取费表'!B21/2)-1)),4)</f>
        <v>2.9999999999999997E-4</v>
      </c>
      <c r="D44" s="230"/>
      <c r="E44" s="230"/>
      <c r="F44" s="231"/>
      <c r="G44" s="3396"/>
    </row>
    <row r="45" spans="1:7" s="206" customFormat="1" ht="13.5" customHeight="1">
      <c r="A45" s="731" t="s">
        <v>341</v>
      </c>
      <c r="B45" s="236" t="s">
        <v>85</v>
      </c>
      <c r="C45" s="237">
        <f>C46</f>
        <v>349</v>
      </c>
      <c r="D45" s="227">
        <f>C47</f>
        <v>4.0000000000000001E-3</v>
      </c>
      <c r="E45" s="228" t="s">
        <v>102</v>
      </c>
      <c r="F45" s="238"/>
      <c r="G45" s="239" t="s">
        <v>434</v>
      </c>
    </row>
    <row r="46" spans="1:7" s="206" customFormat="1" ht="13.5" customHeight="1">
      <c r="A46" s="734" t="s">
        <v>349</v>
      </c>
      <c r="B46" s="240" t="s">
        <v>427</v>
      </c>
      <c r="C46" s="241">
        <f>ROUND((C33+C39)*F27,0)</f>
        <v>349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2298</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2298</v>
      </c>
      <c r="D51" s="224"/>
      <c r="E51" s="224"/>
      <c r="F51" s="256"/>
      <c r="G51" s="226" t="s">
        <v>37</v>
      </c>
    </row>
    <row r="52" spans="1:7" s="200" customFormat="1" ht="16.5" thickBot="1">
      <c r="A52" s="257" t="s">
        <v>38</v>
      </c>
      <c r="B52" s="258"/>
      <c r="C52" s="259">
        <f ca="1">C31+C51</f>
        <v>28109</v>
      </c>
      <c r="D52" s="258"/>
      <c r="E52" s="258"/>
      <c r="F52" s="258"/>
      <c r="G52" s="260"/>
    </row>
    <row r="55" spans="1:7" ht="15">
      <c r="B55" s="262" t="s">
        <v>39</v>
      </c>
      <c r="C55" s="263"/>
    </row>
    <row r="56" spans="1:7">
      <c r="B56" s="265" t="s">
        <v>40</v>
      </c>
      <c r="C56" s="266">
        <f ca="1">ROUND(C51/C52,3)</f>
        <v>8.2000000000000003E-2</v>
      </c>
    </row>
    <row r="57" spans="1:7">
      <c r="B57" s="265" t="s">
        <v>41</v>
      </c>
      <c r="C57" s="267">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39" sqref="N39"/>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0" t="s">
        <v>2830</v>
      </c>
      <c r="B1" s="3490"/>
      <c r="C1" s="3490"/>
      <c r="D1" s="3490"/>
      <c r="E1" s="3490"/>
      <c r="F1" s="3490"/>
      <c r="G1" s="3491"/>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2"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488"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2" thickBot="1">
      <c r="A4" s="3489"/>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2"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2"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2"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2"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2" t="s">
        <v>3172</v>
      </c>
      <c r="B1" s="3492"/>
    </row>
    <row r="2" spans="1:7" ht="14.25" thickBot="1">
      <c r="A2" s="2964"/>
      <c r="B2" s="2964"/>
    </row>
    <row r="3" spans="1:7" ht="14.25" thickBot="1">
      <c r="A3" s="2964"/>
      <c r="B3" s="2964"/>
      <c r="C3" s="2965" t="s">
        <v>2802</v>
      </c>
      <c r="D3" s="2965" t="s">
        <v>2858</v>
      </c>
      <c r="E3" s="2965" t="s">
        <v>2804</v>
      </c>
      <c r="F3" s="2965" t="s">
        <v>2859</v>
      </c>
      <c r="G3" s="2965" t="s">
        <v>2622</v>
      </c>
    </row>
    <row r="4" spans="1:7" ht="14.2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4.2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4.2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4.2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4.2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4.2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4.2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4.2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4.2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4.2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4.2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93" t="s">
        <v>3223</v>
      </c>
      <c r="B1" s="3493"/>
      <c r="C1" s="3493"/>
      <c r="D1" s="3493"/>
      <c r="E1" s="3493"/>
      <c r="F1" s="3494"/>
    </row>
    <row r="2" spans="1:6">
      <c r="A2" s="2998" t="s">
        <v>3224</v>
      </c>
    </row>
    <row r="3" spans="1:6">
      <c r="A3" s="2998" t="s">
        <v>3225</v>
      </c>
      <c r="F3" s="2999" t="s">
        <v>3226</v>
      </c>
    </row>
    <row r="4" spans="1:6">
      <c r="A4" s="3000" t="s">
        <v>672</v>
      </c>
      <c r="B4" s="3000" t="s">
        <v>673</v>
      </c>
      <c r="C4" s="3000" t="s">
        <v>21</v>
      </c>
      <c r="D4" s="3000" t="s">
        <v>674</v>
      </c>
      <c r="E4" s="3000" t="s">
        <v>3</v>
      </c>
      <c r="F4" s="3000" t="s">
        <v>3227</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3">
        <f>基准地价修正!G23</f>
        <v>45664</v>
      </c>
      <c r="B1" s="2925" t="s">
        <v>3371</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8" customFormat="1" ht="14.25" thickBot="1">
      <c r="B2" s="2877"/>
      <c r="C2" s="2878"/>
      <c r="D2" s="2009" t="s">
        <v>2801</v>
      </c>
      <c r="E2" s="2010" t="s">
        <v>2802</v>
      </c>
      <c r="F2" s="2010" t="s">
        <v>2803</v>
      </c>
      <c r="G2" s="2010" t="s">
        <v>2804</v>
      </c>
      <c r="H2" s="2010" t="s">
        <v>2805</v>
      </c>
      <c r="I2" s="2010" t="s">
        <v>2622</v>
      </c>
      <c r="J2" s="2879"/>
      <c r="K2" s="2009" t="s">
        <v>2801</v>
      </c>
      <c r="L2" s="2010" t="s">
        <v>2802</v>
      </c>
      <c r="M2" s="2010" t="s">
        <v>2803</v>
      </c>
      <c r="N2" s="2010" t="s">
        <v>2804</v>
      </c>
      <c r="O2" s="2010" t="s">
        <v>2806</v>
      </c>
      <c r="P2" s="2010" t="s">
        <v>2622</v>
      </c>
      <c r="Q2" s="2879"/>
      <c r="R2" s="2009" t="s">
        <v>2801</v>
      </c>
      <c r="S2" s="2010" t="s">
        <v>2802</v>
      </c>
      <c r="T2" s="2010" t="s">
        <v>2803</v>
      </c>
      <c r="U2" s="2010" t="s">
        <v>2807</v>
      </c>
      <c r="V2" s="2010" t="s">
        <v>2808</v>
      </c>
      <c r="W2" s="2010" t="s">
        <v>2622</v>
      </c>
      <c r="X2" s="2879"/>
      <c r="Y2" s="2009" t="s">
        <v>2801</v>
      </c>
      <c r="Z2" s="2010" t="s">
        <v>2802</v>
      </c>
      <c r="AA2" s="2010" t="s">
        <v>2803</v>
      </c>
      <c r="AB2" s="2010" t="s">
        <v>2809</v>
      </c>
      <c r="AC2" s="2010" t="s">
        <v>2808</v>
      </c>
      <c r="AD2" s="2010" t="s">
        <v>2622</v>
      </c>
    </row>
    <row r="3" spans="1:30" s="2882" customFormat="1" ht="12.75">
      <c r="A3" s="2880" t="s">
        <v>2810</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2.75">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2.75">
      <c r="A5" s="2038" t="s">
        <v>3367</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2.75">
      <c r="A6" s="2903" t="s">
        <v>3376</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3" customFormat="1" ht="12.75">
      <c r="A7" s="2038" t="s">
        <v>3375</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1" t="s">
        <v>3368</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1" t="s">
        <v>3366</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2.75">
      <c r="A10" s="2901" t="s">
        <v>3362</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2.75">
      <c r="A11" s="2901" t="s">
        <v>3361</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2.75">
      <c r="A12" s="2901" t="s">
        <v>3359</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2.75">
      <c r="A13" s="2901" t="s">
        <v>3358</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2.75">
      <c r="A14" s="2901" t="s">
        <v>3357</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1" t="s">
        <v>3355</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1" t="s">
        <v>3346</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1" t="s">
        <v>2811</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1" t="s">
        <v>2812</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1" t="s">
        <v>2813</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1" t="s">
        <v>2814</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thickBot="1">
      <c r="A21" s="2914" t="s">
        <v>2815</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3374</v>
      </c>
    </row>
    <row r="24" spans="1:30">
      <c r="I24" s="1405" t="s">
        <v>2816</v>
      </c>
    </row>
    <row r="26" spans="1:30" s="2007" customFormat="1" ht="12.75">
      <c r="B26" s="2925" t="s">
        <v>3372</v>
      </c>
      <c r="C26" s="2926"/>
      <c r="D26" s="2926"/>
      <c r="E26" s="2926"/>
      <c r="F26" s="2926"/>
      <c r="G26" s="2926"/>
      <c r="H26" s="2926"/>
      <c r="I26" s="2926"/>
      <c r="J26" s="2892"/>
      <c r="K26" s="2926" t="s">
        <v>2817</v>
      </c>
      <c r="L26" s="2926"/>
      <c r="M26" s="2926"/>
      <c r="N26" s="2926"/>
      <c r="O26" s="2926"/>
      <c r="P26" s="2926"/>
      <c r="Q26" s="2892"/>
      <c r="R26" s="3495" t="s">
        <v>2818</v>
      </c>
      <c r="S26" s="3496"/>
      <c r="T26" s="3496"/>
      <c r="U26" s="3496"/>
      <c r="V26" s="3496"/>
      <c r="W26" s="3496"/>
      <c r="X26" s="2892"/>
      <c r="Y26" s="3495" t="s">
        <v>2819</v>
      </c>
      <c r="Z26" s="3496"/>
      <c r="AA26" s="3496"/>
      <c r="AB26" s="3496"/>
      <c r="AC26" s="3496"/>
      <c r="AD26" s="3496"/>
    </row>
    <row r="27" spans="1:30" s="2008" customFormat="1" ht="14.25" thickBot="1">
      <c r="B27" s="2877"/>
      <c r="C27" s="2878"/>
      <c r="D27" s="2009" t="s">
        <v>2820</v>
      </c>
      <c r="E27" s="2010" t="s">
        <v>2821</v>
      </c>
      <c r="F27" s="2010" t="s">
        <v>2822</v>
      </c>
      <c r="G27" s="2010" t="s">
        <v>2823</v>
      </c>
      <c r="H27" s="2010"/>
      <c r="I27" s="2010" t="s">
        <v>2824</v>
      </c>
      <c r="J27" s="2879"/>
      <c r="K27" s="2009" t="s">
        <v>2820</v>
      </c>
      <c r="L27" s="2010" t="s">
        <v>2821</v>
      </c>
      <c r="M27" s="2010" t="s">
        <v>2822</v>
      </c>
      <c r="N27" s="2010" t="s">
        <v>2823</v>
      </c>
      <c r="O27" s="2010"/>
      <c r="P27" s="2010" t="s">
        <v>2824</v>
      </c>
      <c r="Q27" s="2879"/>
      <c r="R27" s="2009" t="s">
        <v>2820</v>
      </c>
      <c r="S27" s="2010" t="s">
        <v>2821</v>
      </c>
      <c r="T27" s="2010" t="s">
        <v>2822</v>
      </c>
      <c r="U27" s="2010" t="s">
        <v>2823</v>
      </c>
      <c r="V27" s="2010"/>
      <c r="W27" s="2010" t="s">
        <v>2824</v>
      </c>
      <c r="X27" s="2879"/>
      <c r="Y27" s="2009" t="s">
        <v>2820</v>
      </c>
      <c r="Z27" s="2010" t="s">
        <v>2821</v>
      </c>
      <c r="AA27" s="2010" t="s">
        <v>2822</v>
      </c>
      <c r="AB27" s="2010" t="s">
        <v>2823</v>
      </c>
      <c r="AC27" s="2010"/>
      <c r="AD27" s="2010" t="s">
        <v>2824</v>
      </c>
    </row>
    <row r="28" spans="1:30" s="2882" customFormat="1" ht="12.75">
      <c r="A28" s="2880" t="s">
        <v>2825</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7" customFormat="1" ht="12.75">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2.75">
      <c r="A30" s="2038" t="s">
        <v>3367</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2.75">
      <c r="A31" s="2903" t="s">
        <v>3369</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3" customFormat="1" ht="12.75">
      <c r="A32" s="2038" t="s">
        <v>3364</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2.75">
      <c r="A33" s="2901" t="s">
        <v>3370</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2.75">
      <c r="A34" s="2901" t="s">
        <v>3365</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2.75">
      <c r="A35" s="2901" t="s">
        <v>3363</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2.75">
      <c r="A36" s="2901" t="s">
        <v>3361</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2.75">
      <c r="A37" s="2901" t="s">
        <v>3360</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2.75">
      <c r="A38" s="2901" t="s">
        <v>3358</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2.75">
      <c r="A39" s="2901" t="s">
        <v>3357</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2.75">
      <c r="A40" s="2901" t="s">
        <v>3356</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2.75">
      <c r="A41" s="2901" t="s">
        <v>3346</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2.75">
      <c r="A42" s="2901" t="s">
        <v>2826</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2.75">
      <c r="A43" s="2901" t="s">
        <v>2827</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2.75">
      <c r="A44" s="2901" t="s">
        <v>2828</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2.75">
      <c r="A45" s="2901" t="s">
        <v>2829</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thickBot="1">
      <c r="A46" s="2914" t="s">
        <v>2815</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60">
      <c r="A4" s="1403" t="str">
        <f>项目基本情况!S2</f>
        <v>北京市通州区宋庄镇双埠头村、大庞村、大兴庄村土地出让国有建设用地使用权及在建建筑物房地产</v>
      </c>
      <c r="B4" s="801">
        <f>项目基本情况!C17</f>
        <v>4949.5099999999966</v>
      </c>
      <c r="C4" s="801">
        <f>项目基本情况!C18</f>
        <v>0</v>
      </c>
      <c r="D4" s="801">
        <f ca="1">结果表!D118</f>
        <v>12780</v>
      </c>
      <c r="E4" s="801">
        <f ca="1">结果表!E118</f>
        <v>25820</v>
      </c>
      <c r="F4" s="801">
        <f ca="1">结果表!F118</f>
        <v>2133</v>
      </c>
      <c r="G4" s="801">
        <f ca="1">结果表!G118</f>
        <v>4310</v>
      </c>
      <c r="H4" s="801">
        <f ca="1">结果表!H118</f>
        <v>14913</v>
      </c>
      <c r="I4" s="801">
        <f ca="1">结果表!I118</f>
        <v>30130</v>
      </c>
    </row>
    <row r="5" spans="1:9" ht="30" customHeight="1">
      <c r="A5" s="3184" t="s">
        <v>927</v>
      </c>
      <c r="B5" s="3184"/>
      <c r="C5" s="3184"/>
      <c r="D5" s="3184" t="str">
        <f ca="1">结果表!D119</f>
        <v>壹亿贰仟柒佰捌拾万元整</v>
      </c>
      <c r="E5" s="3184"/>
      <c r="F5" s="3184" t="str">
        <f ca="1">结果表!F119</f>
        <v>贰仟壹佰叁拾叁万元整</v>
      </c>
      <c r="G5" s="3184"/>
      <c r="H5" s="3184" t="str">
        <f ca="1">结果表!H119</f>
        <v>壹亿肆仟玖佰壹拾叁万元整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14913</v>
      </c>
      <c r="E8" s="3183"/>
      <c r="F8" s="3183"/>
      <c r="G8" s="3183"/>
      <c r="H8" s="3183"/>
      <c r="I8" s="3183"/>
    </row>
    <row r="9" spans="1:9" ht="15">
      <c r="A9" s="3184" t="s">
        <v>927</v>
      </c>
      <c r="B9" s="3184"/>
      <c r="C9" s="3184"/>
      <c r="D9" s="3184" t="str">
        <f ca="1">结果表!D123</f>
        <v>壹亿肆仟玖佰壹拾叁万元整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45665</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8"/>
      <c r="E18" s="3209" t="s">
        <v>2162</v>
      </c>
      <c r="F18" s="3208"/>
      <c r="G18" s="3208"/>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土地比较法-住宅、综合</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2025-01-08T08:27:01Z</dcterms:modified>
</cp:coreProperties>
</file>