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21" i="66" l="1"/>
  <c r="C29" i="66"/>
  <c r="C27" i="66"/>
  <c r="C30" i="66"/>
  <c r="C31" i="66"/>
  <c r="C32" i="66"/>
  <c r="E26" i="66"/>
  <c r="U6" i="1"/>
  <c r="I5" i="66"/>
  <c r="I6" i="66"/>
  <c r="I10" i="66"/>
  <c r="I12" i="66"/>
  <c r="I13" i="66"/>
  <c r="I15" i="66"/>
  <c r="C28" i="66"/>
  <c r="I17" i="66"/>
  <c r="I20" i="66"/>
  <c r="I14" i="66"/>
  <c r="V46" i="39"/>
  <c r="J38" i="39"/>
  <c r="AC38" i="39"/>
  <c r="D81" i="39"/>
  <c r="E81" i="39"/>
  <c r="F81" i="39"/>
  <c r="G81" i="39"/>
  <c r="J11" i="39"/>
  <c r="AC11" i="39"/>
  <c r="J15" i="39"/>
  <c r="AC15" i="39"/>
  <c r="D91" i="39"/>
  <c r="E91" i="39"/>
  <c r="J17" i="39"/>
  <c r="AC17" i="39"/>
  <c r="D93" i="39"/>
  <c r="E93" i="39"/>
  <c r="J19" i="39"/>
  <c r="AC19" i="39"/>
  <c r="D95" i="39"/>
  <c r="E95" i="39"/>
  <c r="J21" i="39"/>
  <c r="AC21" i="39"/>
  <c r="J25" i="39"/>
  <c r="AC25" i="39"/>
  <c r="J27" i="39"/>
  <c r="AC27" i="39"/>
  <c r="G6" i="1"/>
  <c r="G16" i="1"/>
  <c r="J10" i="39"/>
  <c r="AC10" i="39"/>
  <c r="V47" i="39"/>
  <c r="R46" i="39"/>
  <c r="F38" i="39"/>
  <c r="AA38" i="39"/>
  <c r="F11" i="39"/>
  <c r="AA11" i="39"/>
  <c r="F15" i="39"/>
  <c r="AA15" i="39"/>
  <c r="F17" i="39"/>
  <c r="AA17" i="39"/>
  <c r="F19" i="39"/>
  <c r="AA19" i="39"/>
  <c r="F21" i="39"/>
  <c r="AA21" i="39"/>
  <c r="F25" i="39"/>
  <c r="AA25" i="39"/>
  <c r="F27" i="39"/>
  <c r="AA27" i="39"/>
  <c r="F10" i="39"/>
  <c r="AA10" i="39"/>
  <c r="R47" i="39"/>
  <c r="T46" i="39"/>
  <c r="H38" i="39"/>
  <c r="AB38" i="39"/>
  <c r="H11" i="39"/>
  <c r="AB11" i="39"/>
  <c r="H15" i="39"/>
  <c r="AB15" i="39"/>
  <c r="H17" i="39"/>
  <c r="AB17" i="39"/>
  <c r="H19" i="39"/>
  <c r="AB19" i="39"/>
  <c r="H21" i="39"/>
  <c r="AB21" i="39"/>
  <c r="H25" i="39"/>
  <c r="AB25" i="39"/>
  <c r="H27" i="39"/>
  <c r="AB27" i="39"/>
  <c r="H10" i="39"/>
  <c r="AB10" i="39"/>
  <c r="T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F6" i="15"/>
  <c r="F8" i="15"/>
  <c r="F7" i="15"/>
  <c r="F9" i="15"/>
  <c r="C6" i="15"/>
  <c r="F4" i="73"/>
  <c r="I1" i="73"/>
  <c r="B39" i="1"/>
  <c r="F11" i="15"/>
  <c r="C10" i="15"/>
  <c r="C5" i="15"/>
  <c r="B43" i="1"/>
  <c r="B41" i="1"/>
  <c r="F32" i="15"/>
  <c r="C32" i="15"/>
  <c r="C33" i="15"/>
  <c r="R6" i="1"/>
  <c r="F35" i="15"/>
  <c r="C34" i="15"/>
  <c r="C31" i="15"/>
  <c r="M6" i="1"/>
  <c r="C14" i="15"/>
  <c r="F15" i="15"/>
  <c r="C15" i="15"/>
  <c r="F16" i="15"/>
  <c r="C16" i="15"/>
  <c r="F43" i="15"/>
  <c r="C17" i="15"/>
  <c r="C18" i="15"/>
  <c r="C19" i="15"/>
  <c r="F20" i="15"/>
  <c r="C20" i="15"/>
  <c r="D5" i="73"/>
  <c r="B22" i="1"/>
  <c r="E1" i="73"/>
  <c r="K1" i="73"/>
  <c r="G1" i="73"/>
  <c r="B40" i="1"/>
  <c r="F24" i="15"/>
  <c r="F23" i="15"/>
  <c r="C23" i="15"/>
  <c r="F26" i="15"/>
  <c r="C26" i="15"/>
  <c r="F21" i="15"/>
  <c r="C24" i="15"/>
  <c r="C27" i="15"/>
  <c r="F28" i="15"/>
  <c r="C28" i="15"/>
  <c r="C29" i="15"/>
  <c r="F36" i="15"/>
  <c r="C36" i="15"/>
  <c r="F13" i="15"/>
  <c r="C13" i="15"/>
  <c r="F37" i="15"/>
  <c r="C37" i="15"/>
  <c r="F38" i="15"/>
  <c r="C38" i="15"/>
  <c r="C30" i="15"/>
  <c r="C39" i="15"/>
  <c r="F42" i="15"/>
  <c r="F40" i="15"/>
  <c r="L48" i="15"/>
  <c r="B24" i="1"/>
  <c r="J53" i="15"/>
  <c r="F1" i="15"/>
  <c r="AE6" i="1"/>
  <c r="F41" i="15"/>
  <c r="C40" i="15"/>
  <c r="M6" i="15"/>
  <c r="M8" i="15"/>
  <c r="M7" i="15"/>
  <c r="M9" i="15"/>
  <c r="J6" i="15"/>
  <c r="M11" i="15"/>
  <c r="J10" i="15"/>
  <c r="J5" i="15"/>
  <c r="J26" i="15"/>
  <c r="J29" i="15"/>
  <c r="J57" i="15"/>
  <c r="J55" i="15"/>
  <c r="J58" i="15"/>
  <c r="J59" i="15"/>
  <c r="J60" i="15"/>
  <c r="L46" i="15"/>
  <c r="B2" i="15"/>
  <c r="B3" i="15"/>
  <c r="C6" i="12"/>
  <c r="C8" i="12"/>
  <c r="F33" i="15"/>
  <c r="G1" i="68"/>
  <c r="D10" i="68"/>
  <c r="C10" i="68"/>
  <c r="G19" i="6"/>
  <c r="F19" i="6"/>
  <c r="C19" i="6"/>
  <c r="B7" i="4"/>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39" i="43"/>
  <c r="G39" i="43"/>
  <c r="C38" i="43"/>
  <c r="G38" i="43"/>
  <c r="C37" i="43"/>
  <c r="G37" i="43"/>
  <c r="C36" i="43"/>
  <c r="G36" i="43"/>
  <c r="C35" i="43"/>
  <c r="G35" i="43"/>
  <c r="C34" i="43"/>
  <c r="G34" i="43"/>
  <c r="J53" i="67"/>
  <c r="M47" i="15"/>
  <c r="I5" i="3"/>
  <c r="I4" i="6"/>
  <c r="G3" i="43"/>
  <c r="C33" i="43"/>
  <c r="G33" i="43"/>
  <c r="I33" i="43"/>
  <c r="E33" i="43"/>
  <c r="E7" i="76"/>
  <c r="E8" i="76"/>
  <c r="E9" i="76"/>
  <c r="E10" i="76"/>
  <c r="E11" i="76"/>
  <c r="E12" i="76"/>
  <c r="E13"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D5" i="4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D9" i="68"/>
  <c r="C9" i="68"/>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E15" i="66"/>
  <c r="I9" i="66"/>
  <c r="I8" i="66"/>
  <c r="I7"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61" i="15"/>
  <c r="M19" i="15"/>
  <c r="M10" i="1"/>
  <c r="O10" i="1"/>
  <c r="B2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F93" i="39"/>
  <c r="G93"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C16" i="4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U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I47" i="39"/>
  <c r="F7" i="39"/>
  <c r="S7" i="39"/>
  <c r="H7" i="39"/>
  <c r="AB7" i="39"/>
  <c r="G47" i="39"/>
  <c r="G52" i="39"/>
  <c r="H52" i="39"/>
  <c r="G51" i="39"/>
  <c r="H51" i="39"/>
  <c r="I51" i="39"/>
  <c r="J51" i="39"/>
  <c r="W7" i="39"/>
  <c r="U7" i="39"/>
  <c r="AA7" i="39"/>
  <c r="E47" i="39"/>
  <c r="C47" i="39"/>
  <c r="E51" i="39"/>
  <c r="F51" i="39"/>
  <c r="E52" i="39"/>
  <c r="F52" i="39"/>
  <c r="I52" i="39"/>
  <c r="J5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<sst xmlns="http://schemas.openxmlformats.org/spreadsheetml/2006/main" count="7496" uniqueCount="3184">
  <si>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</si>
  <si>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</si>
  <si>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</si>
  <si>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</si>
  <si>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</si>
  <si>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</si>
  <si>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</si>
  <si>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</si>
  <si>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</si>
  <si>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</si>
  <si>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</si>
  <si>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</si>
  <si>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</si>
  <si>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</si>
  <si>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</si>
  <si>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</si>
  <si>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</si>
  <si>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</si>
  <si>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</si>
  <si>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</si>
  <si>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</si>
  <si>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</si>
  <si>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</si>
  <si>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</si>
  <si>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</si>
  <si>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</si>
  <si>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</si>
  <si>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</si>
  <si>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</si>
  <si>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</si>
  <si>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</si>
  <si>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</si>
  <si>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</si>
  <si>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</si>
  <si>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</si>
  <si>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</si>
  <si>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</si>
  <si>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</si>
  <si>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</si>
  <si>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</si>
  <si>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</si>
  <si>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</si>
  <si>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</si>
  <si>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</si>
  <si>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</si>
  <si>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</si>
  <si>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</si>
  <si>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</si>
  <si>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</si>
  <si>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</si>
  <si>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</si>
  <si>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</si>
  <si>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</si>
  <si>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</si>
  <si>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</si>
  <si>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</si>
  <si>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</si>
  <si>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</si>
  <si>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</si>
  <si>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</si>
  <si>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</si>
  <si>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</si>
  <si>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</si>
  <si>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</si>
  <si>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</si>
  <si>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</si>
  <si>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</si>
  <si>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</si>
  <si>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</si>
  <si>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</si>
  <si>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</si>
  <si>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</si>
  <si>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</si>
  <si>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</si>
  <si>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</si>
  <si>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</si>
  <si>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</si>
  <si>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</si>
  <si>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</si>
  <si>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</si>
  <si>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</si>
  <si>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</si>
  <si>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</si>
  <si>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</si>
  <si>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</si>
  <si>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</si>
  <si>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</si>
  <si>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</si>
  <si>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</si>
  <si>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</si>
  <si>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</si>
  <si>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</si>
  <si>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</si>
  <si>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</si>
  <si>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</si>
  <si>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</si>
  <si>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</si>
  <si>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</si>
  <si>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</si>
  <si>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</si>
  <si>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</si>
  <si>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</si>
  <si>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</si>
  <si>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</si>
  <si>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</si>
  <si>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</si>
  <si>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</si>
  <si>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</si>
  <si>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</si>
  <si>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</si>
  <si>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</si>
  <si>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</si>
  <si>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</si>
  <si>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</si>
  <si>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</si>
  <si>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</si>
  <si>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</si>
  <si>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</si>
  <si>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</si>
  <si>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</si>
  <si>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</si>
  <si>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</si>
  <si>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</si>
  <si>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</si>
  <si>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</si>
  <si>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</si>
  <si>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</si>
  <si>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</si>
  <si>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</si>
  <si>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</si>
  <si>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</si>
  <si>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</si>
  <si>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</si>
  <si>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</si>
  <si>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</si>
  <si>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</si>
  <si>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</si>
  <si>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</si>
  <si>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</si>
  <si>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</si>
  <si>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</si>
  <si>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</si>
  <si>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</si>
  <si>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</si>
  <si>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</si>
  <si>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</si>
  <si>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</si>
  <si>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</si>
  <si>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</si>
  <si>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</si>
  <si>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</si>
  <si>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</si>
  <si>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</si>
  <si>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</si>
  <si>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</si>
  <si>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</si>
  <si>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</si>
  <si>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</si>
  <si>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</si>
  <si>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</si>
  <si>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</si>
  <si>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</si>
  <si>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</si>
  <si>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</si>
  <si>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</si>
  <si>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</si>
  <si>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</si>
  <si>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</si>
  <si>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</si>
  <si>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</si>
  <si>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</si>
  <si>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</si>
  <si>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</si>
  <si>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</si>
  <si>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</si>
  <si>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</si>
  <si>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</si>
  <si>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</si>
  <si>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</si>
  <si>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</si>
  <si>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</si>
  <si>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</si>
  <si>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</si>
  <si>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</si>
  <si>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</si>
  <si>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</si>
  <si>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</si>
  <si>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</si>
  <si>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</si>
  <si>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</si>
  <si>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</si>
  <si>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</si>
  <si>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</si>
  <si>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</si>
  <si>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</si>
  <si>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</si>
  <si>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</si>
  <si>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</si>
  <si>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</si>
  <si>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</si>
  <si>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</si>
  <si>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</si>
  <si>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</si>
  <si>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</si>
  <si>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</si>
  <si>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</si>
  <si>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</si>
  <si>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</si>
  <si>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</si>
  <si>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</si>
  <si>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</si>
  <si>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</si>
  <si>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</si>
  <si>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</si>
  <si>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</si>
  <si>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</si>
  <si>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</si>
  <si>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</si>
  <si>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</si>
  <si>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</si>
  <si>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</si>
  <si>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</si>
  <si>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</si>
  <si>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</si>
  <si>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</si>
  <si>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</si>
  <si>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</si>
  <si>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</si>
  <si>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</si>
  <si>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</si>
  <si>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</si>
  <si>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</si>
  <si>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</si>
  <si>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</si>
  <si>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</si>
  <si>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</si>
  <si>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</si>
  <si>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</si>
  <si>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</si>
  <si>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</si>
  <si>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</si>
  <si>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</si>
  <si>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</si>
  <si>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</si>
  <si>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</si>
  <si>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</si>
  <si>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</si>
  <si>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</si>
  <si>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</si>
  <si>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</si>
  <si>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</si>
  <si>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</si>
  <si>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</si>
  <si>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</si>
  <si>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</si>
  <si>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</si>
  <si>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</si>
  <si>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</si>
  <si>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</si>
  <si>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</si>
  <si>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</si>
  <si>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</si>
  <si>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</si>
  <si>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</si>
  <si>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</si>
  <si>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</si>
  <si>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</si>
  <si>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</si>
  <si>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</si>
  <si>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</si>
  <si>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</si>
  <si>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</si>
  <si>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</si>
  <si>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</si>
  <si>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</si>
  <si>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</si>
  <si>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</si>
  <si>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</si>
  <si>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</si>
  <si>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</si>
  <si>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</si>
  <si>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</si>
  <si>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</si>
  <si>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</si>
  <si>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</si>
  <si>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</si>
  <si>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</si>
  <si>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</si>
  <si>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</si>
  <si>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</si>
  <si>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</si>
  <si>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</si>
  <si>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</si>
  <si>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</si>
  <si>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</si>
  <si>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</si>
  <si>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</si>
  <si>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</si>
  <si>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</si>
  <si>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</si>
  <si>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</si>
  <si>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</si>
  <si>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</si>
  <si>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</si>
  <si>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</si>
  <si>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</si>
  <si>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</si>
  <si>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</si>
  <si>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</si>
  <si>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</si>
  <si>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</si>
  <si>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</si>
  <si>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</si>
  <si>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</si>
  <si>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</si>
  <si>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</si>
  <si>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</si>
  <si>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</si>
  <si>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</si>
  <si>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</si>
  <si>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</si>
  <si>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</si>
  <si>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</si>
  <si>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</si>
  <si>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</si>
  <si>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</si>
  <si>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</si>
  <si>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</si>
  <si>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</si>
  <si>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</si>
  <si>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</si>
  <si>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</si>
  <si>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</si>
  <si>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</si>
  <si>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</si>
  <si>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</si>
  <si>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</si>
  <si>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</si>
  <si>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</si>
  <si>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</si>
  <si>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</si>
  <si>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</si>
  <si>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</si>
  <si>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</si>
  <si>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</si>
  <si>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</si>
  <si>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</si>
  <si>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</si>
  <si>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</si>
  <si>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</si>
  <si>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</si>
  <si>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</si>
  <si>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</si>
  <si>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</si>
  <si>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</si>
  <si>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</si>
  <si>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</si>
  <si>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</si>
  <si>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</si>
  <si>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</si>
  <si>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</si>
  <si>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</si>
  <si>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</si>
  <si>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</si>
  <si>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</si>
  <si>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</si>
  <si>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</si>
  <si>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</si>
  <si>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</si>
  <si>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</si>
  <si>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</si>
  <si>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</si>
  <si>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</si>
  <si>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</si>
  <si>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</si>
  <si>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</si>
  <si>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</si>
  <si>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</si>
  <si>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</si>
  <si>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</si>
  <si>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</si>
  <si>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</si>
  <si>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</si>
  <si>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</si>
  <si>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</si>
  <si>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</si>
  <si>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</si>
  <si>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</si>
  <si>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</si>
  <si>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</si>
  <si>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</si>
  <si>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</si>
  <si>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</si>
  <si>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</si>
  <si>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</si>
  <si>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</si>
  <si>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</si>
  <si>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</si>
  <si>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</si>
  <si>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</si>
  <si>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</si>
  <si>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</si>
  <si>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</si>
  <si>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</si>
  <si>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</si>
  <si>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</si>
  <si>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</si>
  <si>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</si>
  <si>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</si>
  <si>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</si>
  <si>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</si>
  <si>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</si>
  <si>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</si>
  <si>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</si>
  <si>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</si>
  <si>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</si>
  <si>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</si>
  <si>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</si>
  <si>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</si>
  <si>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</si>
  <si>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</si>
  <si>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</si>
  <si>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</si>
  <si>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</si>
  <si>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</si>
  <si>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</si>
  <si>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</si>
  <si>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</si>
  <si>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</si>
  <si>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</si>
  <si>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</si>
  <si>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</si>
  <si>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</si>
  <si>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</si>
  <si>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</si>
  <si>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</si>
  <si>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</si>
  <si>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</si>
  <si>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</si>
  <si>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</si>
  <si>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</si>
  <si>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</si>
  <si>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</si>
  <si>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</si>
  <si>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</si>
  <si>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</si>
  <si>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</si>
  <si>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</si>
  <si>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</si>
  <si>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</si>
  <si>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</si>
  <si>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</si>
  <si>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</si>
  <si>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</si>
  <si>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</si>
  <si>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</si>
  <si>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</si>
  <si>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</si>
  <si>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</si>
  <si>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</si>
  <si>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</si>
  <si>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</si>
  <si>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</si>
  <si>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</si>
  <si>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</si>
  <si>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</si>
  <si>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</si>
  <si>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</si>
  <si>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</si>
  <si>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</si>
  <si>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</si>
  <si>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</si>
  <si>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</si>
  <si>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</si>
  <si>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</si>
  <si>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</si>
  <si>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</si>
  <si>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</si>
  <si>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</si>
  <si>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</si>
  <si>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</si>
  <si>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</si>
  <si>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</si>
  <si>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</si>
  <si>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</si>
  <si>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</si>
  <si>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</si>
  <si>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</si>
  <si>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</si>
  <si>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</si>
  <si>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</si>
  <si>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</si>
  <si>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</si>
  <si>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</si>
  <si>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</si>
  <si>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</si>
  <si>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</si>
  <si>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</si>
  <si>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</si>
  <si>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</si>
  <si>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</si>
  <si>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</si>
  <si>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</si>
  <si>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</si>
  <si>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</si>
  <si>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</si>
  <si>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</si>
  <si>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</si>
  <si>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</si>
  <si>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</si>
  <si>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</si>
  <si>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</si>
  <si>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</si>
  <si>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</si>
  <si>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</si>
  <si>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</si>
  <si>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</si>
  <si>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</si>
  <si>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</si>
  <si>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</si>
  <si>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</si>
  <si>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</si>
  <si>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</si>
  <si>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</si>
  <si>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</si>
  <si>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</si>
  <si>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</si>
  <si>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</si>
  <si>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</si>
  <si>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</si>
  <si>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</si>
  <si>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</si>
  <si>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</si>
  <si>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</si>
  <si>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</si>
  <si>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</si>
  <si>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</si>
  <si>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</si>
  <si>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</si>
  <si>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</si>
  <si>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</si>
  <si>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</si>
  <si>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</si>
  <si>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</si>
  <si>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</si>
  <si>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</si>
  <si>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</si>
  <si>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</si>
  <si>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</si>
  <si>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</si>
  <si>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</si>
  <si>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</si>
  <si>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</si>
  <si>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</si>
  <si>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</si>
  <si>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</si>
  <si>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</si>
  <si>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</si>
  <si>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</si>
  <si>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</si>
  <si>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</si>
  <si>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</si>
  <si>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</si>
  <si>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</si>
  <si>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</si>
  <si>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</si>
  <si>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</si>
  <si>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</si>
  <si>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</si>
  <si>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</si>
  <si>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</si>
  <si>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</si>
  <si>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</si>
  <si>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</si>
  <si>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</si>
  <si>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</si>
  <si>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</si>
  <si>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</si>
  <si>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</si>
  <si>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</si>
  <si>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</si>
  <si>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</si>
  <si>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</si>
  <si>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</si>
  <si>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</si>
  <si>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</si>
  <si>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</si>
  <si>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</si>
  <si>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</si>
  <si>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</si>
  <si>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</si>
  <si>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</si>
  <si>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</si>
  <si>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</si>
  <si>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</si>
  <si>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</si>
  <si>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</si>
  <si>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</si>
  <si>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</si>
  <si>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</si>
  <si>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</si>
  <si>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</si>
  <si>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</si>
  <si>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</si>
  <si>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</si>
  <si>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</si>
  <si>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</si>
  <si>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</si>
  <si>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</si>
  <si>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</si>
  <si>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</si>
  <si>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</si>
  <si>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</si>
  <si>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</si>
  <si>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</si>
  <si>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</si>
  <si>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</si>
  <si>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</si>
  <si>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</si>
  <si>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</si>
  <si>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</si>
  <si>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</si>
  <si>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</si>
  <si>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</si>
  <si>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</si>
  <si>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</si>
  <si>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</si>
  <si>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</si>
  <si>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</si>
  <si>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</si>
  <si>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</si>
  <si>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</si>
  <si>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</si>
  <si>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</si>
  <si>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</si>
  <si>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</si>
  <si>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</si>
  <si>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</si>
  <si>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</si>
  <si>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</si>
  <si>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</si>
  <si>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</si>
  <si>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</si>
  <si>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</si>
  <si>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</si>
  <si>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</si>
  <si>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</si>
  <si>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</si>
  <si>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</si>
  <si>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</si>
  <si>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</si>
  <si>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</si>
  <si>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</si>
  <si>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</si>
  <si>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</si>
  <si>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</si>
  <si>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</si>
  <si>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</si>
  <si>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</si>
  <si>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</si>
  <si>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</si>
  <si>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</si>
  <si>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</si>
  <si>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</si>
  <si>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</si>
  <si>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</si>
  <si>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</si>
  <si>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</si>
  <si>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</si>
  <si>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</si>
  <si>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</si>
  <si>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</si>
  <si>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</si>
  <si>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</si>
  <si>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</si>
  <si>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</si>
  <si>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</si>
  <si>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</si>
  <si>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</si>
  <si>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</si>
  <si>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</si>
  <si>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</si>
  <si>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</si>
  <si>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</si>
  <si>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</si>
  <si>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</si>
  <si>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</si>
  <si>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</si>
  <si>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</si>
  <si>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</si>
  <si>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</si>
  <si>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</si>
  <si>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</si>
  <si>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</si>
  <si>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</si>
  <si>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</si>
  <si>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</si>
  <si>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</si>
  <si>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</si>
  <si>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</si>
  <si>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</si>
  <si>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</si>
  <si>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</si>
  <si>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</si>
  <si>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</si>
  <si>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</si>
  <si>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</si>
  <si>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</si>
  <si>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</si>
  <si>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</si>
  <si>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</si>
  <si>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</si>
  <si>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</si>
  <si>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</si>
  <si>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</si>
  <si>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</si>
  <si>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</si>
  <si>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</si>
  <si>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</si>
  <si>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</si>
  <si>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</si>
  <si>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</si>
  <si>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</si>
  <si>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</si>
  <si>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</si>
  <si>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</si>
  <si>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</si>
  <si>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</si>
  <si>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</si>
  <si>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</si>
  <si>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</si>
  <si>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</si>
  <si>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</si>
  <si>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</si>
  <si>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</si>
  <si>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</si>
  <si>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</si>
  <si>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</si>
  <si>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</si>
  <si>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</si>
  <si>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</si>
  <si>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</si>
  <si>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</si>
  <si>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</si>
  <si>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</si>
  <si>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</si>
  <si>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</si>
  <si>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</si>
  <si>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</si>
  <si>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</si>
  <si>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</si>
  <si>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</si>
  <si>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</si>
  <si>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</si>
  <si>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</si>
  <si>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</si>
  <si>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</si>
  <si>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</si>
  <si>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</si>
  <si>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</si>
  <si>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</si>
  <si>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</si>
  <si>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</si>
  <si>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</si>
  <si>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</si>
  <si>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</si>
  <si>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</si>
  <si>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</si>
  <si>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</si>
  <si>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</si>
  <si>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</si>
  <si>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</si>
  <si>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</si>
  <si>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</si>
  <si>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</si>
  <si>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</si>
  <si>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</si>
  <si>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</si>
  <si>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</si>
  <si>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</si>
  <si>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</si>
  <si>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</si>
  <si>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</si>
  <si>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</si>
  <si>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</si>
  <si>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</si>
  <si>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</si>
  <si>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</si>
  <si>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</si>
  <si>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</si>
  <si>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</si>
  <si>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</si>
  <si>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</si>
  <si>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</si>
  <si>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</si>
  <si>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</si>
  <si>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</si>
  <si>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</si>
  <si>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</si>
  <si>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</si>
  <si>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</si>
  <si>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</si>
  <si>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</si>
  <si>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</si>
  <si>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</si>
  <si>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</si>
  <si>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</si>
  <si>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</si>
  <si>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</si>
  <si>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</si>
  <si>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</si>
  <si>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</si>
  <si>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</si>
  <si>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</si>
  <si>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</si>
  <si>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</si>
  <si>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</si>
  <si>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</si>
  <si>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</si>
  <si>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</si>
  <si>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</si>
  <si>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</si>
  <si>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</si>
  <si>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</si>
  <si>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</si>
  <si>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</si>
  <si>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</si>
  <si>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</si>
  <si>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</si>
  <si>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</si>
  <si>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</si>
  <si>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</si>
  <si>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</si>
  <si>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</si>
  <si>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</si>
  <si>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</si>
  <si>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</si>
  <si>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</si>
  <si>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</si>
  <si>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</si>
  <si>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</si>
  <si>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</si>
  <si>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</si>
  <si>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</si>
  <si>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</si>
  <si>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</si>
  <si>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</si>
  <si>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</si>
  <si>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</si>
  <si>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</si>
  <si>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</si>
  <si>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</si>
  <si>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</si>
  <si>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</si>
  <si>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</si>
  <si>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</si>
  <si>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</si>
  <si>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</si>
  <si>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</si>
  <si>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</si>
  <si>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</si>
  <si>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</si>
  <si>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</si>
  <si>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</si>
  <si>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</si>
  <si>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</si>
  <si>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</si>
  <si>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</si>
  <si>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</si>
  <si>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</si>
  <si>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</si>
  <si>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</si>
  <si>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</si>
  <si>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</si>
  <si>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</si>
  <si>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</si>
  <si>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</si>
  <si>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</si>
  <si>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</si>
  <si>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</si>
  <si>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</si>
  <si>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</si>
  <si>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</si>
  <si>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</si>
  <si>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</si>
  <si>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</si>
  <si>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</si>
  <si>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</si>
  <si>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</si>
  <si>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</si>
  <si>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</si>
  <si>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</si>
  <si>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</si>
  <si>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</si>
  <si>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</si>
  <si>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</si>
  <si>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</si>
  <si>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</si>
  <si>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</si>
  <si>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</si>
  <si>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</si>
  <si>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</si>
  <si>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</si>
  <si>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</si>
  <si>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</si>
  <si>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</si>
  <si>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</si>
  <si>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</si>
  <si>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</si>
  <si>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</si>
  <si>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</si>
  <si>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</si>
  <si>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</si>
  <si>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</si>
  <si>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</si>
  <si>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</si>
  <si>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</si>
  <si>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</si>
  <si>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</si>
  <si>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</si>
  <si>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</si>
  <si>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</si>
  <si>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</si>
  <si>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</si>
  <si>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</si>
  <si>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</si>
  <si>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</si>
  <si>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</si>
  <si>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</si>
  <si>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</si>
  <si>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</si>
  <si>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</si>
  <si>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</si>
  <si>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</si>
  <si>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</si>
  <si>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</si>
  <si>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</si>
  <si>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</si>
  <si>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</si>
  <si>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</si>
  <si>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</si>
  <si>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</si>
  <si>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</si>
  <si>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</si>
  <si>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</si>
  <si>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</si>
  <si>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</si>
  <si>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</si>
  <si>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</si>
  <si>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</si>
  <si>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</si>
  <si>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</si>
  <si>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</si>
  <si>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</si>
  <si>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</si>
  <si>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</si>
  <si>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</si>
  <si>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</si>
  <si>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</si>
  <si>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</si>
  <si>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</si>
  <si>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</si>
  <si>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</si>
  <si>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</si>
  <si>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</si>
  <si>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</si>
  <si>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</si>
  <si>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</si>
  <si>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</si>
  <si>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</si>
  <si>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</si>
  <si>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</si>
  <si>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</si>
  <si>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</si>
  <si>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</si>
  <si>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</si>
  <si>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</si>
  <si>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</si>
  <si>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</si>
  <si>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</si>
  <si>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</si>
  <si>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</si>
  <si>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</si>
  <si>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</si>
  <si>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</si>
  <si>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</si>
  <si>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</si>
  <si>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</si>
  <si>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</si>
  <si>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</si>
  <si>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</si>
  <si>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</si>
  <si>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</si>
  <si>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</si>
  <si>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</si>
  <si>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</si>
  <si>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</si>
  <si>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</si>
  <si>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</si>
  <si>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</si>
  <si>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</si>
  <si>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</si>
  <si>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</si>
  <si>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</si>
  <si>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</si>
  <si>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</si>
  <si>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</si>
  <si>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</si>
  <si>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</si>
  <si>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</si>
  <si>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</si>
  <si>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</si>
  <si>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</si>
  <si>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</si>
  <si>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</si>
  <si>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</si>
  <si>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</si>
  <si>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</si>
  <si>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</si>
  <si>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</si>
  <si>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</si>
  <si>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</si>
  <si>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</si>
  <si>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</si>
  <si>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</si>
  <si>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</si>
  <si>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</si>
  <si>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</si>
  <si>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</si>
  <si>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</si>
  <si>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</si>
  <si>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</si>
  <si>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</si>
  <si>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</si>
  <si>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</si>
  <si>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</si>
  <si>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</si>
  <si>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</si>
  <si>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</si>
  <si>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</si>
  <si>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</si>
  <si>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</si>
  <si>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</si>
  <si>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</si>
  <si>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</si>
  <si>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</si>
  <si>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</si>
  <si>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</si>
  <si>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</si>
  <si>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</si>
  <si>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</si>
  <si>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</si>
  <si>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</si>
  <si>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</si>
  <si>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</si>
  <si>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</si>
  <si>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</si>
  <si>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</si>
  <si>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</si>
  <si>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</si>
  <si>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</si>
  <si>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</si>
  <si>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</si>
  <si>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</si>
  <si>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</si>
  <si>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</si>
  <si>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</si>
  <si>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</si>
  <si>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</si>
  <si>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</si>
  <si>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</si>
  <si>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</si>
  <si>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</si>
  <si>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</si>
  <si>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</si>
  <si>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</si>
  <si>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</si>
  <si>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</si>
  <si>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</si>
  <si>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</si>
  <si>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</si>
  <si>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</si>
  <si>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</si>
  <si>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</si>
  <si>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</si>
  <si>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</si>
  <si>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</si>
  <si>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单间公寓</t>
    <phoneticPr fontId="3" type="noConversion"/>
  </si>
  <si>
    <t>单房公寓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</si>
  <si>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</si>
  <si>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</si>
  <si>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</si>
  <si>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</si>
  <si>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</si>
  <si>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</si>
  <si>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</si>
  <si>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</si>
  <si>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</si>
  <si>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</si>
  <si>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</si>
  <si>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</si>
  <si>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</si>
  <si>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</si>
  <si>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</si>
  <si>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</si>
  <si>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</si>
  <si>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</si>
  <si>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</si>
  <si>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</si>
  <si>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</si>
  <si>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</si>
  <si>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</si>
  <si>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</si>
  <si>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</si>
  <si>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</si>
  <si>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</si>
  <si>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</si>
  <si>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</si>
  <si>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</si>
  <si>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</si>
  <si>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</si>
  <si>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</si>
  <si>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</si>
  <si>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</si>
  <si>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</si>
  <si>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</si>
  <si>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</si>
  <si>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</si>
  <si>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</si>
  <si>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</si>
  <si>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</si>
  <si>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</si>
  <si>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</si>
  <si>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</si>
  <si>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</si>
  <si>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</si>
  <si>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</si>
  <si>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</si>
  <si>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</si>
  <si>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</si>
  <si>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</si>
  <si>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</si>
  <si>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</si>
  <si>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</si>
  <si>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</si>
  <si>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</si>
  <si>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</si>
  <si>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</si>
  <si>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</si>
  <si>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</si>
  <si>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</si>
  <si>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</si>
  <si>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</si>
  <si>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</si>
  <si>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</si>
  <si>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</si>
  <si>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</si>
  <si>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</si>
  <si>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</si>
  <si>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</si>
  <si>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</si>
  <si>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</si>
  <si>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</si>
  <si>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</si>
  <si>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</si>
  <si>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</si>
  <si>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</si>
  <si>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</si>
  <si>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</si>
  <si>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</si>
  <si>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</si>
  <si>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</si>
  <si>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</si>
  <si>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</si>
  <si>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</si>
  <si>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</si>
  <si>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</si>
  <si>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</si>
  <si>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</si>
  <si>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</si>
  <si>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</si>
  <si>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</si>
  <si>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</si>
  <si>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</si>
  <si>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</si>
  <si>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</si>
  <si>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</si>
  <si>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</si>
  <si>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</si>
  <si>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</si>
  <si>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</si>
  <si>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</si>
  <si>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</si>
  <si>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</si>
  <si>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</si>
  <si>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</si>
  <si>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</si>
  <si>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</si>
  <si>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</si>
  <si>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</si>
  <si>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</si>
  <si>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</si>
  <si>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</si>
  <si>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</si>
  <si>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</si>
  <si>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</si>
  <si>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</si>
  <si>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</si>
  <si>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</si>
  <si>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</si>
  <si>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</si>
  <si>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</si>
  <si>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</si>
  <si>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</si>
  <si>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</si>
  <si>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</si>
  <si>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</si>
  <si>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</si>
  <si>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</si>
  <si>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</si>
  <si>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</si>
  <si>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</si>
  <si>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</si>
  <si>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</si>
  <si>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</si>
  <si>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</si>
  <si>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</si>
  <si>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</si>
  <si>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</si>
  <si>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</si>
  <si>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</si>
  <si>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</si>
  <si>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</si>
  <si>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</si>
  <si>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</si>
  <si>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</si>
  <si>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</si>
  <si>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</si>
  <si>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</si>
  <si>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</si>
  <si>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</si>
  <si>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</si>
  <si>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</si>
  <si>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</si>
  <si>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</si>
  <si>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</si>
  <si>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</si>
  <si>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</si>
  <si>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</si>
  <si>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</si>
  <si>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</si>
  <si>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</si>
  <si>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</si>
  <si>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</si>
  <si>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</si>
  <si>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</si>
  <si>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</si>
  <si>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</si>
  <si>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</si>
  <si>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</si>
  <si>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</si>
  <si>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</si>
  <si>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</si>
  <si>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</si>
  <si>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</si>
  <si>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</si>
  <si>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</si>
  <si>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</si>
  <si>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</si>
  <si>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</si>
  <si>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</si>
  <si>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</si>
  <si>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</si>
  <si>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</si>
  <si>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</si>
  <si>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</si>
  <si>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</si>
  <si>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</si>
  <si>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</si>
  <si>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</si>
  <si>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</si>
  <si>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</si>
  <si>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</si>
  <si>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</si>
  <si>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</si>
  <si>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</si>
  <si>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</si>
  <si>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</si>
  <si>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</si>
  <si>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</si>
  <si>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</si>
  <si>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</si>
  <si>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</si>
  <si>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</si>
  <si>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</si>
  <si>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</si>
  <si>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</si>
  <si>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</si>
  <si>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</si>
  <si>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</si>
  <si>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</si>
  <si>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</si>
  <si>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</si>
  <si>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</si>
  <si>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</si>
  <si>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</si>
  <si>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</si>
  <si>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</si>
  <si>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</si>
  <si>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</si>
  <si>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</si>
  <si>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</si>
  <si>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</si>
  <si>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</si>
  <si>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</si>
  <si>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</si>
  <si>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</si>
  <si>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</si>
  <si>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</si>
  <si>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</si>
  <si>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</si>
  <si>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</si>
  <si>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</si>
  <si>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</si>
  <si>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</si>
  <si>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</si>
  <si>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</si>
  <si>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</si>
  <si>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</si>
  <si>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</si>
  <si>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</si>
  <si>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</si>
  <si>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</si>
  <si>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</si>
  <si>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</si>
  <si>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</si>
  <si>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</si>
  <si>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</si>
  <si>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</si>
  <si>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</si>
  <si>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</si>
  <si>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</si>
  <si>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</si>
  <si>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</si>
  <si>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</si>
  <si>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</si>
  <si>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</si>
  <si>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</si>
  <si>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</si>
  <si>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</si>
  <si>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</si>
  <si>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</si>
  <si>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</si>
  <si>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</si>
  <si>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</si>
  <si>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</si>
  <si>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</si>
  <si>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</si>
  <si>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</si>
  <si>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</si>
  <si>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</si>
  <si>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</si>
  <si>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</si>
  <si>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</si>
  <si>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</si>
  <si>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</si>
  <si>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</si>
  <si>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</si>
  <si>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</si>
  <si>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</si>
  <si>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</si>
  <si>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</si>
  <si>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</si>
  <si>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</si>
  <si>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</si>
  <si>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</si>
  <si>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</si>
  <si>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</si>
  <si>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</si>
  <si>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</si>
  <si>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</si>
  <si>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</si>
  <si>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</si>
  <si>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</si>
  <si>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</si>
  <si>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</si>
  <si>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</si>
  <si>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</si>
  <si>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</si>
  <si>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</si>
  <si>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</si>
  <si>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</si>
  <si>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</si>
  <si>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</si>
  <si>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</si>
  <si>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</si>
  <si>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</si>
  <si>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</si>
  <si>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</si>
  <si>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</si>
  <si>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</si>
  <si>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</si>
  <si>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</si>
  <si>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</si>
  <si>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</si>
  <si>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</si>
  <si>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</si>
  <si>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</si>
  <si>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</si>
  <si>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</si>
  <si>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</si>
  <si>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</si>
  <si>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</si>
  <si>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</si>
  <si>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</si>
  <si>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</si>
  <si>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</si>
  <si>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</si>
  <si>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</si>
  <si>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</si>
  <si>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</si>
  <si>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</si>
  <si>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</si>
  <si>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</si>
  <si>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</si>
  <si>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</si>
  <si>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</si>
  <si>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</si>
  <si>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</si>
  <si>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</si>
  <si>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</si>
  <si>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</si>
  <si>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</si>
  <si>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</si>
  <si>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</si>
  <si>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</si>
  <si>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</si>
  <si>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</si>
  <si>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</si>
  <si>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</si>
  <si>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</si>
  <si>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</si>
  <si>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</si>
  <si>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</si>
  <si>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</si>
  <si>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</si>
  <si>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</si>
  <si>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</si>
  <si>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</si>
  <si>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</si>
  <si>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</si>
  <si>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</si>
  <si>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</si>
  <si>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</si>
  <si>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</si>
  <si>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</si>
  <si>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</si>
  <si>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</si>
  <si>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</si>
  <si>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</si>
  <si>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</si>
  <si>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</si>
  <si>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</si>
  <si>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</si>
  <si>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</si>
  <si>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</si>
  <si>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</si>
  <si>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</si>
  <si>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</si>
  <si>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</si>
  <si>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</si>
  <si>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</si>
  <si>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</si>
  <si>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</si>
  <si>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</si>
  <si>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</si>
  <si>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</si>
  <si>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</si>
  <si>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</si>
  <si>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</si>
  <si>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</si>
  <si>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</si>
  <si>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</si>
  <si>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</si>
  <si>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</si>
  <si>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</si>
  <si>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</si>
  <si>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</si>
  <si>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</si>
  <si>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</si>
  <si>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</si>
  <si>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</si>
  <si>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</si>
  <si>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</si>
  <si>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</si>
  <si>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</si>
  <si>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</si>
  <si>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</si>
  <si>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</si>
  <si>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</si>
  <si>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</si>
  <si>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</si>
  <si>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</si>
  <si>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</si>
  <si>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</si>
  <si>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</si>
  <si>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</si>
  <si>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</si>
  <si>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</si>
  <si>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</si>
  <si>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</si>
  <si>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</si>
  <si>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</si>
  <si>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</si>
  <si>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</si>
  <si>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</si>
  <si>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</si>
  <si>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</si>
  <si>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</si>
  <si>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</si>
  <si>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</si>
  <si>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</si>
  <si>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</si>
  <si>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</si>
  <si>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</si>
  <si>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</si>
  <si>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</si>
  <si>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</si>
  <si>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</si>
  <si>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</si>
  <si>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</si>
  <si>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</si>
  <si>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</si>
  <si>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</si>
  <si>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</si>
  <si>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</si>
  <si>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</si>
  <si>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</si>
  <si>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</si>
  <si>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</si>
  <si>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</si>
  <si>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</si>
  <si>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</si>
  <si>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</si>
  <si>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</si>
  <si>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</si>
  <si>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</si>
  <si>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</si>
  <si>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</si>
  <si>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</si>
  <si>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</si>
  <si>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</si>
  <si>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</si>
  <si>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</si>
  <si>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</si>
  <si>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</si>
  <si>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</si>
  <si>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</si>
  <si>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</si>
  <si>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</si>
  <si>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</si>
  <si>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</si>
  <si>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</si>
  <si>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</si>
  <si>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</si>
  <si>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</si>
  <si>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</si>
  <si>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</si>
  <si>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</si>
  <si>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</si>
  <si>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</si>
  <si>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</si>
  <si>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</si>
  <si>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</si>
  <si>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</si>
  <si>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</si>
  <si>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</si>
  <si>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</si>
  <si>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</si>
  <si>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</si>
  <si>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</si>
  <si>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</si>
  <si>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</si>
  <si>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</si>
  <si>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</si>
  <si>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</si>
  <si>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</si>
  <si>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</si>
  <si>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</si>
  <si>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</si>
  <si>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</si>
  <si>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</si>
  <si>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</si>
  <si>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</si>
  <si>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</si>
  <si>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</si>
  <si>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</si>
  <si>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</si>
  <si>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</si>
  <si>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</si>
  <si>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</si>
  <si>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</si>
  <si>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</si>
  <si>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</si>
  <si>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</si>
  <si>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</si>
  <si>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</si>
  <si>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</si>
  <si>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</si>
  <si>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</si>
  <si>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</si>
  <si>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</si>
  <si>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</si>
  <si>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</si>
  <si>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</si>
  <si>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</si>
  <si>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</si>
  <si>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</si>
  <si>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</si>
  <si>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</si>
  <si>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</si>
  <si>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</si>
  <si>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</si>
  <si>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</si>
  <si>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</si>
  <si>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</si>
  <si>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</si>
  <si>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</si>
  <si>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</si>
  <si>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</si>
  <si>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</si>
  <si>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</si>
  <si>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</si>
  <si>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</si>
  <si>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</si>
  <si>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</si>
  <si>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</si>
  <si>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</si>
  <si>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</si>
  <si>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</si>
  <si>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</si>
  <si>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</si>
  <si>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</si>
  <si>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</si>
  <si>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</si>
  <si>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</si>
  <si>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</si>
  <si>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</si>
  <si>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</si>
  <si>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</si>
  <si>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</si>
  <si>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</si>
  <si>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</si>
  <si>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</si>
  <si>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</si>
  <si>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</si>
  <si>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</si>
  <si>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</si>
  <si>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</si>
  <si>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</si>
  <si>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</si>
  <si>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</si>
  <si>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</si>
  <si>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</si>
  <si>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</si>
  <si>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</si>
  <si>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</si>
  <si>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</si>
  <si>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</si>
  <si>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</si>
  <si>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</si>
  <si>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</si>
  <si>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</si>
  <si>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</si>
  <si>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</si>
  <si>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</si>
  <si>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</si>
  <si>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</si>
  <si>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</si>
  <si>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</si>
  <si>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</si>
  <si>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</si>
  <si>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</si>
  <si>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</si>
  <si>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</si>
  <si>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</si>
  <si>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</si>
  <si>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</si>
  <si>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</si>
  <si>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</si>
  <si>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</si>
  <si>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</si>
  <si>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</si>
  <si>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</si>
  <si>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</si>
  <si>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</si>
  <si>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</si>
  <si>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</si>
  <si>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</si>
  <si>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</si>
  <si>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</si>
  <si>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</si>
  <si>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</si>
  <si>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</si>
  <si>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</si>
  <si>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</si>
  <si>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</si>
  <si>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</si>
  <si>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</si>
  <si>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</si>
  <si>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</si>
  <si>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</si>
  <si>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</si>
  <si>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</si>
  <si>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</si>
  <si>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</si>
  <si>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</si>
  <si>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</si>
  <si>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</si>
  <si>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</si>
  <si>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</si>
  <si>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</si>
  <si>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</si>
  <si>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</si>
  <si>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</si>
  <si>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</si>
  <si>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</si>
  <si>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</si>
  <si>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</si>
  <si>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</si>
  <si>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</si>
  <si>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</si>
  <si>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</si>
  <si>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</si>
  <si>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</si>
  <si>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</si>
  <si>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</si>
  <si>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</si>
  <si>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</si>
  <si>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</si>
  <si>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</si>
  <si>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</si>
  <si>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</si>
  <si>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</si>
  <si>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</si>
  <si>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</si>
  <si>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</si>
  <si>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</si>
  <si>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</si>
  <si>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</si>
  <si>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</si>
  <si>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</si>
  <si>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</si>
  <si>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</si>
  <si>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</si>
  <si>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</si>
  <si>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</si>
  <si>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</si>
  <si>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</si>
  <si>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</si>
  <si>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</si>
  <si>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</si>
  <si>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</si>
  <si>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</si>
  <si>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</si>
  <si>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</si>
  <si>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</si>
  <si>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</si>
  <si>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</si>
  <si>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</si>
  <si>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</si>
  <si>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</si>
  <si>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</si>
  <si>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</si>
  <si>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</si>
  <si>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</si>
  <si>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</si>
  <si>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</si>
  <si>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</si>
  <si>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</si>
  <si>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</si>
  <si>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</si>
  <si>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</si>
  <si>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</si>
  <si>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</si>
  <si>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</si>
  <si>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</si>
  <si>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</si>
  <si>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</si>
  <si>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</si>
  <si>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</si>
  <si>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</si>
  <si>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</si>
  <si>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</si>
  <si>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</si>
  <si>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</si>
  <si>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</si>
  <si>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</si>
  <si>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</si>
  <si>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</si>
  <si>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</si>
  <si>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</si>
  <si>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</si>
  <si>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</si>
  <si>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</si>
  <si>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</si>
  <si>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</si>
  <si>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</si>
  <si>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</si>
  <si>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</si>
  <si>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</si>
  <si>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</si>
  <si>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</si>
  <si>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</si>
  <si>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</si>
  <si>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</si>
  <si>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</si>
  <si>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</si>
  <si>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</si>
  <si>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</si>
  <si>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</si>
  <si>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</si>
  <si>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</si>
  <si>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</si>
  <si>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</si>
  <si>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</si>
  <si>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</si>
  <si>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</si>
  <si>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</si>
  <si>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</si>
  <si>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</si>
  <si>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</si>
  <si>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</si>
  <si>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</si>
  <si>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</si>
  <si>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</si>
  <si>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</si>
  <si>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</si>
  <si>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</si>
  <si>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</si>
  <si>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</si>
  <si>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</si>
  <si>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</si>
  <si>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</si>
  <si>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</si>
  <si>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</si>
  <si>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</si>
  <si>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</si>
  <si>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</si>
  <si>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</si>
  <si>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</si>
  <si>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</si>
  <si>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</si>
  <si>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</si>
  <si>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</si>
  <si>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</si>
  <si>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</si>
  <si>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</si>
  <si>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</si>
  <si>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</si>
  <si>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</si>
  <si>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</si>
  <si>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</si>
  <si>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</si>
  <si>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</si>
  <si>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</si>
  <si>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</si>
  <si>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</si>
  <si>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</si>
  <si>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</si>
  <si>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</si>
  <si>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</si>
  <si>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</si>
  <si>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</si>
  <si>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</si>
  <si>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</si>
  <si>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</si>
  <si>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</si>
  <si>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</si>
  <si>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</si>
  <si>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</si>
  <si>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</si>
  <si>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</si>
  <si>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</si>
  <si>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</si>
  <si>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</si>
  <si>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</si>
  <si>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</si>
  <si>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</si>
  <si>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</si>
  <si>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</si>
  <si>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</si>
  <si>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</si>
  <si>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</si>
  <si>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</si>
  <si>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</si>
  <si>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</si>
  <si>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</si>
  <si>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</si>
  <si>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</si>
  <si>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</si>
  <si>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</si>
  <si>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</si>
  <si>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</si>
  <si>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</si>
  <si>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</si>
  <si>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</si>
  <si>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</si>
  <si>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</si>
  <si>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</si>
  <si>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</si>
  <si>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</si>
  <si>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</si>
  <si>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</si>
  <si>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</si>
  <si>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</si>
  <si>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</si>
  <si>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</si>
  <si>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</si>
  <si>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</si>
  <si>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</si>
  <si>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</si>
  <si>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</si>
  <si>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</si>
  <si>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</si>
  <si>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</si>
  <si>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</si>
  <si>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</si>
  <si>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</si>
  <si>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</si>
  <si>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</si>
  <si>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</si>
  <si>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</si>
  <si>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</si>
  <si>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</si>
  <si>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</si>
  <si>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</si>
  <si>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</si>
  <si>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</si>
  <si>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</si>
  <si>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</si>
  <si>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</si>
  <si>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</si>
  <si>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</si>
  <si>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</si>
  <si>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</si>
  <si>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</si>
  <si>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</si>
  <si>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</si>
  <si>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</si>
  <si>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</si>
  <si>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</si>
  <si>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</si>
  <si>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</si>
  <si>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</si>
  <si>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</si>
  <si>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</si>
  <si>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</si>
  <si>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</si>
  <si>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</si>
  <si>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</si>
  <si>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</si>
  <si>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</si>
  <si>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</si>
  <si>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</si>
  <si>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</si>
  <si>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</si>
  <si>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</si>
  <si>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</si>
  <si>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</si>
  <si>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</si>
  <si>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</si>
  <si>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</si>
  <si>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</si>
  <si>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</si>
  <si>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</si>
  <si>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</si>
  <si>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</si>
  <si>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</si>
  <si>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</si>
  <si>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</si>
  <si>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</si>
  <si>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</si>
  <si>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</si>
  <si>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</si>
  <si>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</si>
  <si>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</si>
  <si>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</si>
  <si>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</si>
  <si>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</si>
  <si>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</si>
  <si>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</si>
  <si>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</si>
  <si>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</si>
  <si>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</si>
  <si>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</si>
  <si>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</si>
  <si>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</si>
  <si>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</si>
  <si>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</si>
  <si>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</si>
  <si>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</si>
  <si>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</si>
  <si>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</si>
  <si>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</si>
  <si>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</si>
  <si>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</si>
  <si>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</si>
  <si>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</si>
  <si>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</si>
  <si>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</si>
  <si>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</si>
  <si>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</si>
  <si>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</si>
  <si>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</si>
  <si>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</si>
  <si>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</si>
  <si>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</si>
  <si>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</si>
  <si>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</si>
  <si>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</si>
  <si>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</si>
  <si>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</si>
  <si>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</si>
  <si>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</si>
  <si>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</si>
  <si>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</si>
  <si>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</si>
  <si>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</si>
  <si>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</si>
  <si>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</si>
  <si>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</si>
  <si>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</si>
  <si>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</si>
  <si>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</si>
  <si>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</si>
  <si>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</si>
  <si>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</si>
  <si>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</si>
  <si>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</si>
  <si>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</si>
  <si>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</si>
  <si>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</si>
  <si>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</si>
  <si>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</si>
  <si>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</si>
  <si>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</si>
  <si>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</si>
  <si>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</si>
  <si>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</si>
  <si>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</si>
  <si>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</si>
  <si>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</si>
  <si>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</si>
  <si>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</si>
  <si>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</si>
  <si>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</si>
  <si>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</si>
  <si>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</si>
  <si>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</si>
  <si>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</si>
  <si>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</si>
  <si>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</si>
  <si>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</si>
  <si>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</si>
  <si>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</si>
  <si>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</si>
  <si>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</si>
  <si>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</si>
  <si>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</si>
  <si>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</si>
  <si>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</si>
  <si>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</si>
  <si>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</si>
  <si>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</si>
  <si>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</si>
  <si>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</si>
  <si>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</si>
  <si>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</si>
  <si>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</si>
  <si>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</si>
  <si>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</si>
  <si>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</si>
  <si>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</si>
  <si>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</si>
  <si>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</si>
  <si>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</si>
  <si>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</si>
  <si>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</si>
  <si>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</si>
  <si>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</si>
  <si>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</si>
  <si>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</si>
  <si>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</si>
  <si>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</si>
  <si>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</si>
  <si>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</si>
  <si>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</si>
  <si>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</si>
  <si>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</si>
  <si>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</si>
  <si>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</si>
  <si>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</si>
  <si>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</si>
  <si>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</si>
  <si>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</si>
  <si>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</si>
  <si>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</si>
  <si>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</si>
  <si>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</si>
  <si>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</si>
  <si>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</si>
  <si>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</si>
  <si>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</si>
  <si>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</si>
  <si>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</si>
  <si>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</si>
  <si>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</si>
  <si>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</si>
  <si>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</si>
  <si>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</si>
  <si>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</si>
  <si>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</si>
  <si>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</si>
  <si>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</si>
  <si>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</si>
  <si>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</si>
  <si>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</si>
  <si>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</si>
  <si>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</si>
  <si>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</si>
  <si>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</si>
  <si>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</si>
  <si>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</si>
  <si>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</si>
  <si>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</si>
  <si>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</si>
  <si>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</si>
  <si>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</si>
  <si>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</si>
  <si>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</si>
  <si>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</si>
  <si>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</si>
  <si>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</si>
  <si>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</si>
  <si>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</si>
  <si>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</si>
  <si>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</si>
  <si>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</si>
  <si>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</si>
  <si>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</si>
  <si>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</si>
  <si>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</si>
  <si>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</si>
  <si>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</si>
  <si>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</si>
  <si>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</si>
  <si>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</si>
  <si>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</si>
  <si>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</si>
  <si>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</si>
  <si>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</si>
  <si>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</si>
  <si>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</si>
  <si>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</si>
  <si>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</si>
  <si>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</si>
  <si>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</si>
  <si>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</si>
  <si>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</si>
  <si>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</si>
  <si>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</si>
  <si>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</si>
  <si>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</si>
  <si>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</si>
  <si>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</si>
  <si>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</si>
  <si>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</si>
  <si>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</si>
  <si>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</si>
  <si>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</si>
  <si>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</si>
  <si>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</si>
  <si>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</si>
  <si>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</si>
  <si>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</si>
  <si>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</si>
  <si>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</si>
  <si>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</si>
  <si>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</si>
  <si>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</si>
  <si>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</si>
  <si>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</si>
  <si>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</si>
  <si>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</si>
  <si>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</si>
  <si>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</si>
  <si>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</si>
  <si>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</si>
  <si>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</si>
  <si>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</si>
  <si>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</si>
  <si>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</si>
  <si>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</si>
  <si>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</si>
  <si>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</si>
  <si>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</si>
  <si>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</si>
  <si>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</si>
  <si>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</si>
  <si>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</si>
  <si>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</si>
  <si>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</si>
  <si>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</si>
  <si>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</si>
  <si>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</si>
  <si>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</si>
  <si>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</si>
  <si>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</si>
  <si>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</si>
  <si>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</si>
  <si>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</si>
  <si>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</si>
  <si>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</si>
  <si>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</si>
  <si>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</si>
  <si>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</si>
  <si>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</si>
  <si>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</si>
  <si>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</si>
  <si>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</si>
  <si>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</si>
  <si>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</si>
  <si>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</si>
  <si>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</si>
  <si>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</si>
  <si>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</si>
  <si>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</si>
  <si>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</si>
  <si>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</si>
  <si>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</si>
  <si>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</si>
  <si>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</si>
  <si>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</si>
  <si>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</si>
  <si>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</si>
  <si>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</si>
  <si>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</si>
  <si>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</si>
  <si>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</si>
  <si>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</si>
  <si>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</si>
  <si>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</si>
  <si>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</si>
  <si>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</si>
  <si>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</si>
  <si>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</si>
  <si>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</si>
  <si>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</si>
  <si>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</si>
  <si>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</si>
  <si>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</si>
  <si>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</si>
  <si>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</si>
  <si>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</si>
  <si>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</si>
  <si>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</si>
  <si>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</si>
  <si>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</si>
  <si>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</si>
  <si>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</si>
  <si>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</si>
  <si>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</si>
  <si>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</si>
  <si>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</si>
  <si>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</si>
  <si>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</si>
  <si>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</si>
  <si>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</si>
  <si>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</si>
  <si>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</si>
  <si>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</si>
  <si>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</si>
  <si>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</si>
  <si>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</si>
  <si>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</si>
  <si>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</si>
  <si>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</si>
  <si>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</si>
  <si>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</si>
  <si>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</si>
  <si>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</si>
  <si>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</si>
  <si>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</si>
  <si>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</si>
  <si>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</si>
  <si>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</si>
  <si>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</si>
  <si>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</si>
  <si>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</si>
  <si>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</si>
  <si>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</si>
  <si>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</si>
  <si>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</si>
  <si>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</si>
  <si>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</si>
  <si>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</si>
  <si>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</si>
  <si>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</si>
  <si>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</si>
  <si>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</si>
  <si>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</si>
  <si>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</si>
  <si>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</si>
  <si>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</si>
  <si>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</si>
  <si>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</si>
  <si>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</si>
  <si>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</si>
  <si>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</si>
  <si>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</si>
  <si>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</si>
  <si>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</si>
  <si>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</si>
  <si>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</si>
  <si>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</si>
  <si>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</si>
  <si>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</si>
  <si>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</si>
  <si>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</si>
  <si>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</si>
  <si>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</si>
  <si>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</si>
  <si>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</si>
  <si>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</si>
  <si>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</si>
  <si>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</si>
  <si>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</si>
  <si>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</si>
  <si>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</si>
  <si>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</si>
  <si>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</si>
  <si>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</si>
  <si>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</si>
  <si>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</si>
  <si>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</si>
  <si>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</si>
  <si>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</si>
  <si>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</si>
  <si>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</si>
  <si>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</si>
  <si>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</si>
  <si>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</si>
  <si>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</si>
  <si>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</si>
  <si>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</si>
  <si>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</si>
  <si>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</si>
  <si>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</si>
  <si>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</si>
  <si>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</si>
  <si>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</si>
  <si>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</si>
  <si>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</si>
  <si>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</si>
  <si>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</si>
  <si>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</si>
  <si>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</si>
  <si>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</si>
  <si>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</si>
  <si>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</si>
  <si>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</si>
  <si>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</si>
  <si>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</si>
  <si>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</si>
  <si>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</si>
  <si>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</si>
  <si>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</si>
  <si>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</si>
  <si>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</si>
  <si>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</si>
  <si>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</si>
  <si>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</si>
  <si>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</si>
  <si>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</si>
  <si>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</si>
  <si>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</si>
  <si>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</si>
  <si>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</si>
  <si>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</si>
  <si>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</si>
  <si>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</si>
  <si>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</si>
  <si>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</si>
  <si>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</si>
  <si>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</si>
  <si>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</si>
  <si>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</si>
  <si>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</si>
  <si>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</si>
  <si>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</si>
  <si>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</si>
  <si>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</si>
  <si>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</si>
  <si>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</si>
  <si>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</si>
  <si>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</si>
  <si>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</si>
  <si>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</si>
  <si>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</si>
  <si>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</si>
  <si>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</si>
  <si>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</si>
  <si>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</si>
  <si>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</si>
  <si>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</si>
  <si>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</si>
  <si>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</si>
  <si>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</si>
  <si>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</si>
  <si>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</si>
  <si>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</si>
  <si>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</si>
  <si>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</si>
  <si>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</si>
  <si>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</si>
  <si>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</si>
  <si>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</si>
  <si>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</si>
  <si>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</si>
  <si>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</si>
  <si>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</si>
  <si>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</si>
  <si>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</si>
  <si>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</si>
  <si>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</si>
  <si>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</si>
  <si>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</si>
  <si>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</si>
  <si>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</si>
  <si>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</si>
  <si>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</si>
  <si>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</si>
  <si>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</si>
  <si>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</si>
  <si>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</si>
  <si>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</si>
  <si>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</si>
  <si>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</si>
  <si>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</si>
  <si>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</si>
  <si>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</si>
  <si>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</si>
  <si>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</si>
  <si>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</si>
  <si>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</si>
  <si>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</si>
  <si>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</si>
  <si>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</si>
  <si>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</si>
  <si>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</si>
  <si>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</si>
  <si>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</si>
  <si>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</si>
  <si>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</si>
  <si>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</si>
  <si>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</si>
  <si>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</si>
  <si>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</si>
  <si>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</si>
  <si>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</si>
  <si>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</si>
  <si>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</si>
  <si>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</si>
  <si>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</si>
  <si>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</si>
  <si>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</si>
  <si>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</si>
  <si>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</si>
  <si>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</si>
  <si>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</si>
  <si>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</si>
  <si>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</si>
  <si>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</si>
  <si>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</si>
  <si>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</si>
  <si>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</si>
  <si>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</si>
  <si>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</si>
  <si>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</si>
  <si>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</si>
  <si>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</si>
  <si>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</si>
  <si>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</si>
  <si>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</si>
  <si>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</si>
  <si>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</si>
  <si>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</si>
  <si>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</si>
  <si>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</si>
  <si>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</si>
  <si>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</si>
  <si>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</si>
  <si>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</si>
  <si>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</si>
  <si>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</si>
  <si>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</si>
  <si>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</si>
  <si>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</si>
  <si>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</si>
  <si>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</si>
  <si>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</si>
  <si>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</si>
  <si>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</si>
  <si>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</si>
  <si>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</si>
  <si>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</si>
  <si>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</si>
  <si>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</si>
  <si>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</si>
  <si>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</si>
  <si>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</si>
  <si>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</si>
  <si>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</si>
  <si>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</si>
  <si>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</si>
  <si>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</si>
  <si>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</si>
  <si>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</si>
  <si>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</si>
  <si>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</si>
  <si>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</si>
  <si>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</si>
  <si>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</si>
  <si>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</si>
  <si>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</si>
  <si>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</si>
  <si>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</si>
  <si>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</si>
  <si>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</si>
  <si>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</si>
  <si>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</si>
  <si>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</si>
  <si>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</si>
  <si>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</si>
  <si>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</si>
  <si>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</si>
  <si>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</si>
  <si>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</si>
  <si>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</si>
  <si>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</si>
  <si>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</si>
  <si>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</si>
  <si>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</si>
  <si>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</si>
  <si>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</si>
  <si>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</si>
  <si>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</si>
  <si>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</si>
  <si>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</si>
  <si>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</si>
  <si>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</si>
  <si>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</si>
  <si>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</si>
  <si>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</si>
  <si>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</si>
  <si>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</si>
  <si>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</si>
  <si>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</si>
  <si>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</si>
  <si>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</si>
  <si>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</si>
  <si>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</si>
  <si>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</si>
  <si>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</si>
  <si>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</si>
  <si>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</si>
  <si>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</si>
  <si>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</si>
  <si>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</si>
  <si>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</si>
  <si>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</si>
  <si>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</si>
  <si>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</si>
  <si>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</si>
  <si>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</si>
  <si>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</si>
  <si>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</si>
  <si>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</si>
  <si>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</si>
  <si>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</si>
  <si>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</si>
  <si>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</si>
  <si>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</si>
  <si>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</si>
  <si>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</si>
  <si>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</si>
  <si>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</si>
  <si>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</si>
  <si>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</si>
  <si>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</si>
  <si>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</si>
  <si>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</si>
  <si>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</si>
  <si>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</si>
  <si>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</si>
  <si>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</si>
  <si>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</si>
  <si>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</si>
  <si>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</si>
  <si>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</si>
  <si>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</si>
  <si>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</si>
  <si>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</si>
  <si>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</si>
  <si>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</si>
  <si>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</si>
  <si>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</si>
  <si>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</si>
  <si>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</si>
  <si>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</si>
  <si>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</si>
  <si>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</si>
  <si>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</si>
  <si>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</si>
  <si>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</si>
  <si>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</si>
  <si>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</si>
  <si>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</si>
  <si>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</si>
  <si>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</si>
  <si>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</si>
  <si>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</si>
  <si>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</si>
  <si>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</si>
  <si>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</si>
  <si>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</si>
  <si>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</si>
  <si>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</si>
  <si>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</si>
  <si>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</si>
  <si>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</si>
  <si>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</si>
  <si>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</si>
  <si>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</si>
  <si>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</si>
  <si>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</si>
  <si>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</si>
  <si>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</si>
  <si>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</si>
  <si>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</si>
  <si>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</si>
  <si>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</si>
  <si>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</si>
  <si>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</si>
  <si>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</si>
  <si>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</si>
  <si>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</si>
  <si>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</si>
  <si>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</si>
  <si>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</si>
  <si>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</si>
  <si>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</si>
  <si>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</si>
  <si>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</si>
  <si>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</si>
  <si>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</si>
  <si>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</si>
  <si>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</si>
  <si>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</si>
  <si>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</si>
  <si>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</si>
  <si>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</si>
  <si>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</si>
  <si>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</si>
  <si>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</si>
  <si>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</si>
  <si>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</si>
  <si>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</si>
  <si>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</si>
  <si>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</si>
  <si>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</si>
  <si>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</si>
  <si>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</si>
  <si>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</si>
  <si>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</si>
  <si>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</si>
  <si>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</si>
  <si>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</si>
  <si>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</si>
  <si>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</si>
  <si>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</si>
  <si>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</si>
  <si>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</si>
  <si>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</si>
  <si>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</si>
  <si>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</si>
  <si>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</si>
  <si>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</si>
  <si>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</si>
  <si>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</si>
  <si>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</si>
  <si>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</si>
  <si>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</si>
  <si>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</si>
  <si>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</si>
  <si>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</si>
  <si>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</si>
  <si>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</si>
  <si>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</si>
  <si>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</si>
  <si>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</si>
  <si>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</si>
  <si>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</si>
  <si>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</si>
  <si>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</si>
  <si>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</si>
  <si>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</si>
  <si>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</si>
  <si>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</si>
  <si>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</si>
  <si>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</si>
  <si>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</si>
  <si>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</si>
  <si>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</si>
  <si>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</si>
  <si>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</si>
  <si>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</si>
  <si>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</si>
  <si>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</si>
  <si>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</si>
  <si>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</si>
  <si>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</si>
  <si>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</si>
  <si>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</si>
  <si>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</si>
  <si>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</si>
  <si>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</si>
  <si>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</si>
  <si>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</si>
  <si>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</si>
  <si>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</si>
  <si>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</si>
  <si>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</si>
  <si>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</si>
  <si>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</si>
  <si>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</si>
  <si>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</si>
  <si>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</si>
  <si>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</si>
  <si>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</si>
  <si>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</si>
  <si>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</si>
  <si>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</si>
  <si>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</si>
  <si>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</si>
  <si>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</si>
  <si>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</si>
  <si>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</si>
  <si>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</si>
  <si>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</si>
  <si>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</si>
  <si>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</si>
  <si>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</si>
  <si>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</si>
  <si>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</si>
  <si>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</si>
  <si>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</si>
  <si>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</si>
  <si>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</si>
  <si>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</si>
  <si>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</si>
  <si>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</si>
  <si>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</si>
  <si>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</si>
  <si>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</si>
  <si>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</si>
  <si>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</si>
  <si>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</si>
  <si>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</si>
  <si>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</si>
  <si>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</si>
  <si>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</si>
  <si>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</si>
  <si>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</si>
  <si>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</si>
  <si>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</si>
  <si>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</si>
  <si>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</si>
  <si>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</si>
  <si>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</si>
  <si>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</si>
  <si>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</si>
  <si>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</si>
  <si>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</si>
  <si>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</si>
  <si>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</si>
  <si>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</si>
  <si>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</si>
  <si>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</si>
  <si>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</si>
  <si>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</si>
  <si>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</si>
  <si>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</si>
  <si>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</si>
  <si>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</si>
  <si>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</si>
  <si>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</si>
  <si>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</si>
  <si>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</si>
  <si>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</si>
  <si>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</si>
  <si>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</si>
  <si>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</si>
  <si>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</si>
  <si>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</si>
  <si>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</si>
  <si>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</si>
  <si>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</si>
  <si>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</si>
  <si>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</si>
  <si>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</si>
  <si>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</si>
  <si>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</si>
  <si>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</si>
  <si>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</si>
  <si>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</si>
  <si>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</si>
  <si>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</si>
  <si>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</si>
  <si>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</si>
  <si>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</si>
  <si>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</si>
  <si>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</si>
  <si>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</si>
  <si>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</si>
  <si>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</si>
  <si>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</si>
  <si>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</si>
  <si>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</si>
  <si>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</si>
  <si>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</si>
  <si>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</si>
  <si>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</si>
  <si>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</si>
  <si>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</si>
  <si>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</si>
  <si>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</si>
  <si>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</si>
  <si>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</si>
  <si>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</si>
  <si>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</si>
  <si>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</si>
  <si>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</si>
  <si>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</si>
  <si>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</si>
  <si>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</si>
  <si>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</si>
  <si>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</si>
  <si>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</si>
  <si>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</si>
  <si>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</si>
  <si>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</si>
  <si>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</si>
  <si>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</si>
  <si>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</si>
  <si>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</si>
  <si>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</si>
  <si>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</si>
  <si>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</si>
  <si>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</si>
  <si>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</si>
  <si>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</si>
  <si>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</si>
  <si>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</si>
  <si>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</si>
  <si>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</si>
  <si>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</si>
  <si>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</si>
  <si>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</si>
  <si>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</si>
  <si>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</si>
  <si>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</si>
  <si>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</si>
  <si>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</si>
  <si>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</si>
  <si>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</si>
  <si>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</si>
  <si>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</si>
  <si>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</si>
  <si>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</si>
  <si>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</si>
  <si>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</si>
  <si>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</si>
  <si>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</si>
  <si>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</si>
  <si>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</si>
  <si>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</si>
  <si>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</si>
  <si>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</si>
  <si>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</si>
  <si>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</si>
  <si>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</si>
  <si>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</si>
  <si>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</si>
  <si>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</si>
  <si>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</si>
  <si>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</si>
  <si>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</si>
  <si>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</si>
  <si>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</si>
  <si>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</si>
  <si>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</si>
  <si>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</si>
  <si>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</si>
  <si>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</si>
  <si>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</si>
  <si>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</si>
  <si>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</si>
  <si>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</si>
  <si>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</si>
  <si>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</si>
  <si>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</si>
  <si>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</si>
  <si>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</si>
  <si>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</si>
  <si>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</si>
  <si>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</si>
  <si>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</si>
  <si>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</si>
  <si>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</si>
  <si>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</si>
  <si>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</si>
  <si>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</si>
  <si>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</si>
  <si>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</si>
  <si>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</si>
  <si>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</si>
  <si>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</si>
  <si>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</si>
  <si>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</si>
  <si>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</si>
  <si>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</si>
  <si>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</si>
  <si>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</si>
  <si>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</si>
  <si>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</si>
  <si>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</si>
  <si>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</si>
  <si>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</si>
  <si>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</si>
  <si>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</si>
  <si>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</si>
  <si>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</si>
  <si>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</si>
  <si>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</si>
  <si>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</si>
  <si>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</si>
  <si>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</si>
  <si>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</si>
  <si>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</si>
  <si>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</si>
  <si>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</si>
  <si>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</si>
  <si>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</si>
  <si>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</si>
  <si>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</si>
  <si>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</si>
  <si>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</si>
  <si>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</si>
  <si>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</si>
  <si>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</si>
  <si>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</si>
  <si>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</si>
  <si>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</si>
  <si>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</si>
  <si>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</si>
  <si>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</si>
  <si>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</si>
  <si>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</si>
  <si>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</si>
  <si>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</si>
  <si>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</si>
  <si>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</si>
  <si>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</si>
  <si>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</si>
  <si>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</si>
  <si>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</si>
  <si>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</si>
  <si>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</si>
  <si>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</si>
  <si>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</si>
  <si>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</si>
  <si>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</si>
  <si>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</si>
  <si>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</si>
  <si>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</si>
  <si>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</si>
  <si>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</si>
  <si>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</si>
  <si>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</si>
  <si>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</si>
  <si>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</si>
  <si>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</si>
  <si>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</si>
  <si>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</si>
  <si>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</si>
  <si>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</si>
  <si>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</si>
  <si>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</si>
  <si>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</si>
  <si>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</si>
  <si>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</si>
  <si>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</si>
  <si>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</si>
  <si>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</si>
  <si>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</si>
  <si>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</si>
  <si>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</si>
  <si>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</si>
  <si>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</si>
  <si>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</si>
  <si>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</si>
  <si>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</si>
  <si>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</si>
  <si>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</si>
  <si>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</si>
  <si>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</si>
  <si>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</si>
  <si>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</si>
  <si>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</si>
  <si>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</si>
  <si>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</si>
  <si>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</si>
  <si>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</si>
  <si>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</si>
  <si>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</si>
  <si>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</si>
  <si>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</si>
  <si>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</si>
  <si>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</si>
  <si>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</si>
  <si>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</si>
  <si>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</si>
  <si>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</si>
  <si>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</si>
  <si>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</si>
  <si>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</si>
  <si>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金泰丽城（天津）置业投资有限公司</t>
    <phoneticPr fontId="6" type="noConversion"/>
  </si>
  <si>
    <t>中粮信托</t>
    <phoneticPr fontId="6" type="noConversion"/>
  </si>
  <si>
    <t>抵押</t>
  </si>
  <si>
    <t>房地产抵押价值</t>
  </si>
  <si>
    <t>北京市</t>
  </si>
  <si>
    <t>出让</t>
  </si>
  <si>
    <t>商业项目</t>
  </si>
  <si>
    <t>酒店</t>
  </si>
  <si>
    <t>是</t>
  </si>
  <si>
    <t>酒店和温泉酒店</t>
  </si>
  <si>
    <t>酒店和温泉酒店</t>
    <phoneticPr fontId="3" type="noConversion"/>
  </si>
  <si>
    <t>地上</t>
  </si>
  <si>
    <t>地下</t>
  </si>
  <si>
    <t>收益法</t>
  </si>
  <si>
    <t>钢混</t>
  </si>
  <si>
    <t>生产用房</t>
  </si>
  <si>
    <t>否</t>
  </si>
  <si>
    <t>成本法</t>
  </si>
  <si>
    <t>假设开发法</t>
  </si>
  <si>
    <t>按租金收入计税</t>
  </si>
  <si>
    <t>在建（套用方法）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</si>
  <si>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</si>
  <si>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</si>
  <si>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</si>
  <si>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</si>
  <si>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</si>
  <si>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</si>
  <si>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</si>
  <si>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</si>
  <si>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</si>
  <si>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</si>
  <si>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</si>
  <si>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</si>
  <si>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</si>
  <si>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武清区下朱庄街天和路西侧</t>
  </si>
  <si>
    <t>天津市</t>
  </si>
  <si>
    <t>商业/办公用地</t>
  </si>
  <si>
    <t>≤2.0</t>
  </si>
  <si>
    <t>挂牌</t>
  </si>
  <si>
    <t>2018-04-27</t>
  </si>
  <si>
    <t>天津久川建设开发有限公司</t>
  </si>
  <si>
    <t>武清区下朱庄街藕甸道南侧</t>
  </si>
  <si>
    <t>≤1.8</t>
  </si>
  <si>
    <t>2018-01-04</t>
  </si>
  <si>
    <t>首城(天津)投资发展有限公司</t>
  </si>
  <si>
    <t>武清区下朱庄街智睿路北侧</t>
  </si>
  <si>
    <t>拍卖</t>
  </si>
  <si>
    <t>2017-12-12</t>
  </si>
  <si>
    <t>天津文创投资有限公司</t>
  </si>
  <si>
    <t>武清区崔黄口镇兴盛路东侧</t>
  </si>
  <si>
    <t>≤2.5</t>
  </si>
  <si>
    <t>2017-11-03</t>
  </si>
  <si>
    <t>天津京鹏科技企业孵化器有限公司</t>
  </si>
  <si>
    <t>武清区高村镇汇滨道南侧</t>
  </si>
  <si>
    <t>≤2.2</t>
  </si>
  <si>
    <t>2017-09-29</t>
  </si>
  <si>
    <t>天津市京津新城置业有限公司</t>
  </si>
  <si>
    <t>武清区新城福源道东侧</t>
  </si>
  <si>
    <t>2017-06-02</t>
  </si>
  <si>
    <t>中南</t>
  </si>
  <si>
    <t>自然人杨文合</t>
  </si>
  <si>
    <t>武清区高村镇海宁路东侧</t>
  </si>
  <si>
    <t>≤2</t>
  </si>
  <si>
    <t>2017-05-11</t>
  </si>
  <si>
    <t>天津思普时代科技发展有限公司</t>
  </si>
  <si>
    <t>≤1.0</t>
  </si>
  <si>
    <t>2017-02-24</t>
  </si>
  <si>
    <t>天津远恒置业有限公司</t>
  </si>
  <si>
    <t>武清区南蔡村镇规划河宁道南侧</t>
  </si>
  <si>
    <t>≤1.5</t>
  </si>
  <si>
    <t>2016-10-11</t>
  </si>
  <si>
    <t>天津雍鑫嘉城房地产开发有限公司</t>
  </si>
  <si>
    <t>武清区新城新安路西侧</t>
  </si>
  <si>
    <t>2016-04-27</t>
  </si>
  <si>
    <t>天津赛得投资发展有限公司</t>
  </si>
  <si>
    <t>武清区下朱庄街天湖路北侧</t>
  </si>
  <si>
    <t>≤1.6</t>
  </si>
  <si>
    <t>2016-04-12</t>
  </si>
  <si>
    <t>武清区汊沽港镇自行车王国康园道南侧</t>
  </si>
  <si>
    <t>2016-03-02</t>
  </si>
  <si>
    <t>天津加荣投资发展有限公司</t>
  </si>
  <si>
    <t>武清区新城前进道北侧</t>
  </si>
  <si>
    <t>≤1.3</t>
  </si>
  <si>
    <t>2016-01-29</t>
  </si>
  <si>
    <t>天津威晟商贸有限公司与誉航有限公司联合体</t>
  </si>
  <si>
    <t>武清区新城雍阳西道南侧</t>
  </si>
  <si>
    <t>武清区徐官屯街杨崔路东侧</t>
  </si>
  <si>
    <t>2016-01-27</t>
  </si>
  <si>
    <t>天津融港华创房地产开发有限公司</t>
  </si>
  <si>
    <t>武清区高村镇学府道南侧</t>
  </si>
  <si>
    <t>2015-12-30</t>
  </si>
  <si>
    <t>天津宏泰伟业房地产开发有限公司</t>
  </si>
  <si>
    <t>≥1,≤1.8</t>
  </si>
  <si>
    <t>天津旭盛置业有限公司</t>
  </si>
  <si>
    <t>武清区新城规划财源道北侧</t>
  </si>
  <si>
    <t>2015-10-26</t>
  </si>
  <si>
    <t>天津京城投资开发有限公司</t>
  </si>
  <si>
    <t>武清区新城振华西道北侧</t>
  </si>
  <si>
    <t>≤3.5</t>
  </si>
  <si>
    <t>2015-10-10</t>
  </si>
  <si>
    <t>天津国梁投资有限公司</t>
  </si>
  <si>
    <t>武清区新城滨湖路北侧</t>
  </si>
  <si>
    <t>≤3</t>
  </si>
  <si>
    <t>天津市君利博通房地产开发有限公司</t>
  </si>
  <si>
    <t>武清区下朱庄街智睿路北侧</t>
    <phoneticPr fontId="3" type="noConversion"/>
  </si>
  <si>
    <r>
      <t>商业</t>
    </r>
    <r>
      <rPr>
        <sz val="11"/>
        <rFont val="Arial"/>
        <family val="2"/>
      </rPr>
      <t>/</t>
    </r>
    <r>
      <rPr>
        <sz val="11"/>
        <rFont val="宋体"/>
        <family val="3"/>
        <charset val="134"/>
      </rPr>
      <t>办公用地</t>
    </r>
  </si>
  <si>
    <t>正常</t>
  </si>
  <si>
    <t>较好</t>
  </si>
  <si>
    <t>一般</t>
  </si>
  <si>
    <t>规则</t>
    <phoneticPr fontId="31" type="noConversion"/>
  </si>
  <si>
    <t>不规则</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</si>
  <si>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</si>
  <si>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</si>
  <si>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</si>
  <si>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</si>
  <si>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</si>
  <si>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次干道</t>
    <phoneticPr fontId="31" type="noConversion"/>
  </si>
  <si>
    <t>≤0.8</t>
  </si>
  <si>
    <t>2018-05-04</t>
  </si>
  <si>
    <t>天津北辰科技园区总公司</t>
  </si>
  <si>
    <t>北辰区高端装备制造产业园</t>
    <phoneticPr fontId="143" type="noConversion"/>
  </si>
  <si>
    <t>北辰区高端装备制造产业园</t>
    <phoneticPr fontId="3" type="noConversion"/>
  </si>
  <si>
    <t>武清区新城泉州路东侧</t>
    <phoneticPr fontId="143" type="noConversion"/>
  </si>
  <si>
    <t>武清区新城泉州路东侧</t>
    <phoneticPr fontId="3" type="noConversion"/>
  </si>
  <si>
    <t>武清区徐官屯街京津公路东侧</t>
    <phoneticPr fontId="143" type="noConversion"/>
  </si>
  <si>
    <t>武清区徐官屯街京津公路东侧</t>
    <phoneticPr fontId="3" type="noConversion"/>
  </si>
  <si>
    <t>未包含在土地购买价格中</t>
  </si>
  <si>
    <t>全部缴纳</t>
  </si>
  <si>
    <t>成本比率</t>
  </si>
  <si>
    <t>温泉餐厅</t>
    <phoneticPr fontId="3" type="noConversion"/>
  </si>
  <si>
    <t>酒店餐厅</t>
    <phoneticPr fontId="3" type="noConversion"/>
  </si>
  <si>
    <t>温泉SPA房平均</t>
    <phoneticPr fontId="3" type="noConversion"/>
  </si>
  <si>
    <t>温泉汤院平均</t>
    <phoneticPr fontId="3" type="noConversion"/>
  </si>
  <si>
    <t>酒店标准客房平均</t>
    <phoneticPr fontId="3" type="noConversion"/>
  </si>
  <si>
    <t>酒店会议平均</t>
    <phoneticPr fontId="3" type="noConversion"/>
  </si>
  <si>
    <t>温泉收益</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</si>
</sst>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56" fillId="5" borderId="0" xfId="13" applyFill="1"/>
    <xf numFmtId="0" fontId="0" fillId="5" borderId="0" xfId="0" applyFill="1">
      <alignment vertical="center"/>
    </xf>
    <xf numFmtId="0" fontId="19" fillId="5" borderId="0" xfId="13" applyFont="1" applyFill="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56" fillId="0" borderId="0" xfId="13"/>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16" borderId="1" xfId="0" applyFont="1" applyFill="1" applyBorder="1" applyAlignment="1">
      <alignment horizontal="center" vertical="center"/>
    </xf>
    <xf numFmtId="0" fontId="130" fillId="16" borderId="1" xfId="0" applyFont="1" applyFill="1" applyBorder="1" applyAlignment="1">
      <alignment horizontal="center" vertical="center"/>
    </xf>
    <xf numFmtId="0" fontId="19" fillId="16" borderId="1" xfId="0" applyFont="1" applyFill="1" applyBorder="1" applyAlignment="1">
      <alignment horizontal="center" vertical="center"/>
    </xf>
    <xf numFmtId="9" fontId="19" fillId="16" borderId="1" xfId="0" applyNumberFormat="1" applyFont="1" applyFill="1" applyBorder="1" applyAlignment="1">
      <alignment horizontal="center" vertical="center"/>
    </xf>
    <xf numFmtId="177" fontId="19" fillId="16" borderId="1" xfId="0" applyNumberFormat="1" applyFont="1" applyFill="1" applyBorder="1" applyAlignment="1">
      <alignment horizontal="center" vertical="center"/>
    </xf>
    <xf numFmtId="0" fontId="19" fillId="16" borderId="24" xfId="0" applyFont="1" applyFill="1" applyBorder="1" applyAlignment="1">
      <alignment horizontal="center" vertical="center"/>
    </xf>
    <xf numFmtId="0" fontId="0" fillId="16" borderId="0" xfId="0" applyFill="1">
      <alignment vertical="center"/>
    </xf>
    <xf numFmtId="0" fontId="0" fillId="16" borderId="1" xfId="0" applyFill="1" applyBorder="1" applyAlignment="1">
      <alignment vertical="center"/>
    </xf>
    <xf numFmtId="177" fontId="19" fillId="16" borderId="24" xfId="0" applyNumberFormat="1" applyFont="1" applyFill="1" applyBorder="1" applyAlignment="1">
      <alignment horizontal="center" vertical="center"/>
    </xf>
    <xf numFmtId="177" fontId="0" fillId="16" borderId="0" xfId="0" applyNumberFormat="1" applyFill="1">
      <alignment vertical="center"/>
    </xf>
    <xf numFmtId="0" fontId="19" fillId="17" borderId="1" xfId="0" applyFont="1" applyFill="1" applyBorder="1" applyAlignment="1">
      <alignment horizontal="center" vertical="center"/>
    </xf>
    <xf numFmtId="0" fontId="130" fillId="17" borderId="1" xfId="0" applyFont="1" applyFill="1" applyBorder="1" applyAlignment="1">
      <alignment horizontal="center" vertical="center"/>
    </xf>
    <xf numFmtId="9" fontId="19" fillId="17" borderId="1" xfId="0" applyNumberFormat="1" applyFont="1" applyFill="1" applyBorder="1" applyAlignment="1">
      <alignment horizontal="center" vertical="center"/>
    </xf>
    <xf numFmtId="177" fontId="19" fillId="17" borderId="1" xfId="0" applyNumberFormat="1" applyFont="1" applyFill="1" applyBorder="1" applyAlignment="1">
      <alignment horizontal="center" vertical="center"/>
    </xf>
    <xf numFmtId="0" fontId="37" fillId="17" borderId="1" xfId="0" applyFont="1" applyFill="1" applyBorder="1" applyAlignment="1">
      <alignment vertical="center"/>
    </xf>
    <xf numFmtId="0" fontId="130" fillId="17" borderId="24" xfId="0" applyFont="1" applyFill="1" applyBorder="1" applyAlignment="1">
      <alignment horizontal="center" vertical="center"/>
    </xf>
    <xf numFmtId="0" fontId="0" fillId="17" borderId="0" xfId="0" applyFill="1">
      <alignment vertical="center"/>
    </xf>
    <xf numFmtId="0" fontId="0" fillId="17" borderId="1" xfId="0" applyFill="1" applyBorder="1" applyAlignment="1">
      <alignment vertical="center"/>
    </xf>
    <xf numFmtId="177" fontId="19" fillId="17" borderId="24" xfId="0" applyNumberFormat="1" applyFont="1" applyFill="1" applyBorder="1" applyAlignment="1">
      <alignment horizontal="center" vertical="center"/>
    </xf>
    <xf numFmtId="0" fontId="19" fillId="17" borderId="1" xfId="0" applyFont="1" applyFill="1" applyBorder="1" applyAlignment="1">
      <alignment horizontal="center" vertical="center"/>
    </xf>
    <xf numFmtId="0" fontId="19" fillId="17" borderId="24" xfId="0" applyFont="1" applyFill="1" applyBorder="1" applyAlignment="1">
      <alignment horizontal="center" vertical="center"/>
    </xf>
    <xf numFmtId="181" fontId="50" fillId="17" borderId="24" xfId="0" applyNumberFormat="1"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1212</v>
      </c>
      <c r="B1" s="1588" t="s">
        <v>1291</v>
      </c>
    </row>
    <row r="2" spans="1:2" s="1593" customFormat="1" ht="15" thickTop="1">
      <c r="A2" s="1591" t="s">
        <v>1213</v>
      </c>
      <c r="B2" s="1592" t="str">
        <f>'预评函-封皮'!B37:I37</f>
        <v>北京市出让国有建设用地使用权及在建建筑物房地产抵押价值预评估</v>
      </c>
    </row>
    <row r="3" spans="1:2" s="1596" customFormat="1">
      <c r="A3" s="1594" t="s">
        <v>1214</v>
      </c>
      <c r="B3" s="1595" t="str">
        <f>'预评函-封皮'!B40</f>
        <v>金泰丽城（天津）置业投资有限公司</v>
      </c>
    </row>
    <row r="4" spans="1:2" s="1596" customFormat="1">
      <c r="A4" s="1594" t="s">
        <v>1215</v>
      </c>
      <c r="B4" s="1595" t="str">
        <f>'预评函-封皮'!B46</f>
        <v>（注册号：0)、（注册号：0)</v>
      </c>
    </row>
    <row r="5" spans="1:2" s="1590" customFormat="1" ht="15" thickBot="1">
      <c r="A5" s="1597" t="s">
        <v>1216</v>
      </c>
      <c r="B5" s="1598" t="str">
        <f>'预评函-封皮'!B49</f>
        <v>康正预评字号</v>
      </c>
    </row>
    <row r="6" spans="1:2" s="1593" customFormat="1" ht="15" thickTop="1">
      <c r="A6" s="1591" t="s">
        <v>1217</v>
      </c>
      <c r="B6" s="1592" t="str">
        <f>'预评函-1'!A4</f>
        <v>受贵公司委托，我公司对北京市出让国有建设用地使用权及在建建筑物房地产抵押价值进行了预评估。</v>
      </c>
    </row>
    <row r="7" spans="1:2" s="1596" customFormat="1">
      <c r="A7" s="1594" t="s">
        <v>1257</v>
      </c>
      <c r="B7" s="1595" t="str">
        <f>'预评函-1'!A7</f>
        <v>估价对象为北京市出让国有建设用地使用权及在建建筑物房地产，为所有。根据《国有土地使用证》[]，估价对象（分摊）出让国有建设用地使用权面积为11433.6平方米，建筑面积为47804平方米。</v>
      </c>
    </row>
    <row r="8" spans="1:2" s="1596" customFormat="1">
      <c r="A8" s="1594" t="s">
        <v>1258</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1259</v>
      </c>
      <c r="B9" s="1595" t="str">
        <f>'预评函-1'!A10</f>
        <v>估价对象为北京市出让国有建设用地使用权及在建建筑物房地产,属开发建设的商业项目，该项目尚在开发建设中。根据《国有土地使用证》[]，估价对象（分摊）出让国有建设用地使用权面积为11433.6平方米，规划建筑面积为47804平方米。</v>
      </c>
    </row>
    <row r="10" spans="1:2" s="1596" customFormat="1">
      <c r="A10" s="1594" t="s">
        <v>1260</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1218</v>
      </c>
      <c r="B11" s="1595" t="str">
        <f>'预评函-1'!A13</f>
        <v>为估价委托人在向中粮信托办理贷款手续过程中，确定房地产抵押贷款额度提供参考依据而评估房地产抵押价值。</v>
      </c>
    </row>
    <row r="12" spans="1:2" s="1596" customFormat="1">
      <c r="A12" s="1594" t="s">
        <v>1219</v>
      </c>
      <c r="B12" s="1595" t="str">
        <f>'预评函-1'!A15</f>
        <v>2018年8月31日（评估专业人员实地查勘之日）</v>
      </c>
    </row>
    <row r="13" spans="1:2" s="1596" customFormat="1">
      <c r="A13" s="1594" t="s">
        <v>1220</v>
      </c>
      <c r="B13" s="1595" t="str">
        <f>'预评函-1'!A18</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4" spans="1:2" s="1596" customFormat="1">
      <c r="A14" s="1594" t="s">
        <v>1221</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1222</v>
      </c>
      <c r="B15" s="1595" t="str">
        <f>'预评函-1'!A20</f>
        <v>本次估价的“房地产抵押价值”是指估价对象在价值时点的“房地产价值”扣减估价师于价值时点所知悉的法定优先受偿款后的余额。</v>
      </c>
    </row>
    <row r="16" spans="1:2" s="1596" customFormat="1">
      <c r="A16" s="1594" t="s">
        <v>1223</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1224</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1225</v>
      </c>
      <c r="B18" s="1598" t="str">
        <f>'预评函-1'!A24</f>
        <v>本次评估采用的主估价方法为成本法和假设开发法。</v>
      </c>
    </row>
    <row r="19" spans="1:2" s="1593" customFormat="1" ht="15" thickTop="1">
      <c r="A19" s="1591" t="s">
        <v>1226</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1227</v>
      </c>
      <c r="B20" s="1595">
        <f ca="1">'预评函-2'!D5</f>
        <v>95591</v>
      </c>
    </row>
    <row r="21" spans="1:2" s="1596" customFormat="1">
      <c r="A21" s="1594" t="s">
        <v>1228</v>
      </c>
      <c r="B21" s="1595">
        <f ca="1">'预评函-2'!D7</f>
        <v>19996</v>
      </c>
    </row>
    <row r="22" spans="1:2" s="1596" customFormat="1">
      <c r="A22" s="1594" t="s">
        <v>1229</v>
      </c>
      <c r="B22" s="1595" t="str">
        <f ca="1">'预评函-2'!D6</f>
        <v>玖亿伍仟伍佰玖拾壹万元整</v>
      </c>
    </row>
    <row r="23" spans="1:2" s="1596" customFormat="1">
      <c r="A23" s="1594" t="s">
        <v>1280</v>
      </c>
      <c r="B23" s="1595" t="str">
        <f>'预评函-2'!B8</f>
        <v>2.估价师知悉的法定优先受偿款</v>
      </c>
    </row>
    <row r="24" spans="1:2" s="1596" customFormat="1">
      <c r="A24" s="1594" t="s">
        <v>1286</v>
      </c>
      <c r="B24" s="1595">
        <f>'预评函-2'!D8</f>
        <v>0</v>
      </c>
    </row>
    <row r="25" spans="1:2" s="1596" customFormat="1">
      <c r="A25" s="1594" t="s">
        <v>1230</v>
      </c>
      <c r="B25" s="1595" t="str">
        <f>'预评函-2'!D9</f>
        <v>零元整</v>
      </c>
    </row>
    <row r="26" spans="1:2" s="1596" customFormat="1">
      <c r="A26" s="1594" t="s">
        <v>1231</v>
      </c>
      <c r="B26" s="1595">
        <f>'预评函-2'!D10</f>
        <v>0</v>
      </c>
    </row>
    <row r="27" spans="1:2" s="1596" customFormat="1">
      <c r="A27" s="1594" t="s">
        <v>1232</v>
      </c>
      <c r="B27" s="1595">
        <f>'预评函-2'!D11</f>
        <v>0</v>
      </c>
    </row>
    <row r="28" spans="1:2" s="1596" customFormat="1">
      <c r="A28" s="1594" t="s">
        <v>1233</v>
      </c>
      <c r="B28" s="1595">
        <f>'预评函-2'!D12</f>
        <v>0</v>
      </c>
    </row>
    <row r="29" spans="1:2" s="1596" customFormat="1">
      <c r="A29" s="1594" t="s">
        <v>1284</v>
      </c>
      <c r="B29" s="1595" t="str">
        <f>'预评函-2'!B13</f>
        <v>3.房地产抵押价值</v>
      </c>
    </row>
    <row r="30" spans="1:2" s="1596" customFormat="1">
      <c r="A30" s="1594" t="s">
        <v>1285</v>
      </c>
      <c r="B30" s="1595">
        <f ca="1">'预评函-2'!D13</f>
        <v>95591</v>
      </c>
    </row>
    <row r="31" spans="1:2" s="1596" customFormat="1">
      <c r="A31" s="1594" t="s">
        <v>1267</v>
      </c>
      <c r="B31" s="1595">
        <f ca="1">'预评函-2'!D15</f>
        <v>19996</v>
      </c>
    </row>
    <row r="32" spans="1:2" s="1596" customFormat="1">
      <c r="A32" s="1594" t="s">
        <v>1234</v>
      </c>
      <c r="B32" s="1595" t="str">
        <f ca="1">'预评函-2'!D14</f>
        <v>玖亿伍仟伍佰玖拾壹万元整</v>
      </c>
    </row>
    <row r="33" spans="1:2" s="1596" customFormat="1">
      <c r="A33" s="1594" t="s">
        <v>1269</v>
      </c>
      <c r="B33" s="1595" t="str">
        <f>'预评函-2'!B16</f>
        <v>——</v>
      </c>
    </row>
    <row r="34" spans="1:2" s="1596" customFormat="1">
      <c r="A34" s="1594" t="s">
        <v>1287</v>
      </c>
      <c r="B34" s="1595" t="str">
        <f>'预评函-2'!D16</f>
        <v>——</v>
      </c>
    </row>
    <row r="35" spans="1:2" s="1596" customFormat="1">
      <c r="A35" s="1594" t="s">
        <v>1268</v>
      </c>
      <c r="B35" s="1595" t="str">
        <f>'预评函-2'!D18</f>
        <v>——</v>
      </c>
    </row>
    <row r="36" spans="1:2" s="1596" customFormat="1">
      <c r="A36" s="1594" t="s">
        <v>1235</v>
      </c>
      <c r="B36" s="1595" t="e">
        <f>'预评函-2'!D17</f>
        <v>#VALUE!</v>
      </c>
    </row>
    <row r="37" spans="1:2" s="1596" customFormat="1">
      <c r="A37" s="1594" t="s">
        <v>1270</v>
      </c>
      <c r="B37" s="1595" t="str">
        <f>'预评函-2'!B19</f>
        <v>——</v>
      </c>
    </row>
    <row r="38" spans="1:2" s="1596" customFormat="1">
      <c r="A38" s="1594" t="s">
        <v>1288</v>
      </c>
      <c r="B38" s="1595" t="str">
        <f>'预评函-2'!D19</f>
        <v>——</v>
      </c>
    </row>
    <row r="39" spans="1:2" s="1596" customFormat="1">
      <c r="A39" s="1594" t="s">
        <v>1236</v>
      </c>
      <c r="B39" s="1595" t="str">
        <f>'预评函-2'!D21</f>
        <v>——</v>
      </c>
    </row>
    <row r="40" spans="1:2" s="1596" customFormat="1">
      <c r="A40" s="1594" t="s">
        <v>1237</v>
      </c>
      <c r="B40" s="1595" t="e">
        <f>'预评函-2'!D20</f>
        <v>#VALUE!</v>
      </c>
    </row>
    <row r="41" spans="1:2" s="1596" customFormat="1">
      <c r="A41" s="1594" t="s">
        <v>1283</v>
      </c>
      <c r="B41" s="1595" t="str">
        <f>'预评函-3'!A4</f>
        <v>北京市出让国有建设用地使用权及在建建筑物房地产</v>
      </c>
    </row>
    <row r="42" spans="1:2" s="1596" customFormat="1">
      <c r="A42" s="1594" t="s">
        <v>1281</v>
      </c>
      <c r="B42" s="1595" t="str">
        <f>'预评函-3'!B2</f>
        <v>建筑面积</v>
      </c>
    </row>
    <row r="43" spans="1:2" s="1596" customFormat="1">
      <c r="A43" s="1594" t="s">
        <v>1282</v>
      </c>
      <c r="B43" s="1595">
        <f>'预评函-3'!B4</f>
        <v>47804</v>
      </c>
    </row>
    <row r="44" spans="1:2" s="1596" customFormat="1">
      <c r="A44" s="1594" t="s">
        <v>1266</v>
      </c>
      <c r="B44" s="1595" t="str">
        <f>'预评函-3'!C2</f>
        <v>(分摊)土地面积</v>
      </c>
    </row>
    <row r="45" spans="1:2" s="1596" customFormat="1">
      <c r="A45" s="1594" t="s">
        <v>1238</v>
      </c>
      <c r="B45" s="1595">
        <f>'预评函-3'!C4</f>
        <v>11433.6</v>
      </c>
    </row>
    <row r="46" spans="1:2" s="1596" customFormat="1">
      <c r="A46" s="1594" t="s">
        <v>1264</v>
      </c>
      <c r="B46" s="1595" t="str">
        <f>'预评函-3'!D2</f>
        <v>出让国有建设用地使用权价值</v>
      </c>
    </row>
    <row r="47" spans="1:2" s="1596" customFormat="1">
      <c r="A47" s="1594" t="s">
        <v>1239</v>
      </c>
      <c r="B47" s="1595">
        <f ca="1">'预评函-3'!D4</f>
        <v>19692</v>
      </c>
    </row>
    <row r="48" spans="1:2" s="1596" customFormat="1">
      <c r="A48" s="1594" t="s">
        <v>1240</v>
      </c>
      <c r="B48" s="1595">
        <f ca="1">'预评函-3'!E4</f>
        <v>4119</v>
      </c>
    </row>
    <row r="49" spans="1:2" s="1596" customFormat="1">
      <c r="A49" s="1594" t="s">
        <v>1241</v>
      </c>
      <c r="B49" s="1595" t="str">
        <f ca="1">'预评函-3'!D5</f>
        <v>壹亿玖仟陆佰玖拾贰万元整</v>
      </c>
    </row>
    <row r="50" spans="1:2" s="1596" customFormat="1">
      <c r="A50" s="1594" t="s">
        <v>1265</v>
      </c>
      <c r="B50" s="1595" t="str">
        <f>'预评函-3'!F2</f>
        <v>在建建筑物价值</v>
      </c>
    </row>
    <row r="51" spans="1:2" s="1596" customFormat="1">
      <c r="A51" s="1594" t="s">
        <v>1242</v>
      </c>
      <c r="B51" s="1595">
        <f ca="1">'预评函-3'!F4</f>
        <v>75899</v>
      </c>
    </row>
    <row r="52" spans="1:2" s="1596" customFormat="1">
      <c r="A52" s="1594" t="s">
        <v>1243</v>
      </c>
      <c r="B52" s="1595">
        <f ca="1">'预评函-3'!G4</f>
        <v>15877</v>
      </c>
    </row>
    <row r="53" spans="1:2" s="1596" customFormat="1">
      <c r="A53" s="1594" t="s">
        <v>1271</v>
      </c>
      <c r="B53" s="1595" t="str">
        <f ca="1">'预评函-3'!F5</f>
        <v>柒亿伍仟捌佰玖拾玖万元整</v>
      </c>
    </row>
    <row r="54" spans="1:2" s="1596" customFormat="1">
      <c r="A54" s="1594" t="s">
        <v>1289</v>
      </c>
      <c r="B54" s="1595" t="str">
        <f>'预评函-3'!A8</f>
        <v>房地产抵押价值</v>
      </c>
    </row>
    <row r="55" spans="1:2" s="1596" customFormat="1">
      <c r="A55" s="1594" t="s">
        <v>1272</v>
      </c>
      <c r="B55" s="1595" t="str">
        <f>'预评函-3'!A10</f>
        <v/>
      </c>
    </row>
    <row r="56" spans="1:2" s="1596" customFormat="1">
      <c r="A56" s="1594" t="s">
        <v>1273</v>
      </c>
      <c r="B56" s="1595" t="str">
        <f>'预评函-3'!A12</f>
        <v/>
      </c>
    </row>
    <row r="57" spans="1:2" s="1590" customFormat="1" ht="15" thickBot="1">
      <c r="A57" s="1597" t="s">
        <v>1290</v>
      </c>
      <c r="B57" s="1598" t="str">
        <f>'预评函-3'!A6</f>
        <v>估价师知悉的法定优先受偿款</v>
      </c>
    </row>
    <row r="58" spans="1:2" s="1593" customFormat="1" ht="15" thickTop="1">
      <c r="A58" s="1591" t="s">
        <v>1244</v>
      </c>
      <c r="B58" s="1592" t="str">
        <f>'预评函-4'!A12</f>
        <v>2.本《评估意见函》仅供金融机构进行内部审核使用，不做其他目的之用。</v>
      </c>
    </row>
    <row r="59" spans="1:2" s="1596" customFormat="1">
      <c r="A59" s="1594" t="s">
        <v>1245</v>
      </c>
      <c r="B59" s="1595" t="str">
        <f>'预评函-4'!A13</f>
        <v>3.抵押双方在办理抵押登记手续时，应使用本公司出具的正式《房地产评估报告》，特提醒报告使用者注意。</v>
      </c>
    </row>
    <row r="60" spans="1:2" s="1596" customFormat="1">
      <c r="A60" s="1594" t="s">
        <v>1246</v>
      </c>
      <c r="B60" s="1595" t="str">
        <f>'预评函-4'!A14</f>
        <v>4.本次评估估价师所知悉的法定优先受偿款情况说明如下：</v>
      </c>
    </row>
    <row r="61" spans="1:2" s="1596" customFormat="1">
      <c r="A61" s="1594" t="s">
        <v>1247</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1248</v>
      </c>
      <c r="B62" s="1595" t="str">
        <f>'预评函-4'!A16</f>
        <v>（2）根据《工程款支付情况说明》，截至价值时点，估价对象不存在应付未付工程款项。（只要没有施工方盖章的，均“设定”进行表述）</v>
      </c>
    </row>
    <row r="63" spans="1:2" s="1596" customFormat="1">
      <c r="A63" s="1594" t="s">
        <v>1249</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1261</v>
      </c>
      <c r="B64" s="1595" t="str">
        <f>'预评函-4'!A18</f>
        <v>故，本次评估不存在估价师知悉的法定优先受偿款</v>
      </c>
    </row>
    <row r="65" spans="1:2" s="1596" customFormat="1">
      <c r="A65" s="1594" t="s">
        <v>1250</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1251</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1262</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1263</v>
      </c>
      <c r="B68" s="1595" t="str">
        <f>'预评函-4'!A22</f>
        <v>8.其他需特殊说明事项：无（注意调整序号）</v>
      </c>
    </row>
    <row r="69" spans="1:2" s="1590" customFormat="1" ht="15" thickBot="1">
      <c r="A69" s="1597" t="s">
        <v>1252</v>
      </c>
      <c r="B69" s="1599">
        <f>'预评函-4'!C31</f>
        <v>42551</v>
      </c>
    </row>
    <row r="70" spans="1:2" ht="15" thickTop="1">
      <c r="A70" s="1600" t="s">
        <v>1253</v>
      </c>
      <c r="B70" s="1601">
        <f>'预评函-4'!A4</f>
        <v>0</v>
      </c>
    </row>
    <row r="71" spans="1:2">
      <c r="A71" s="1594" t="s">
        <v>1254</v>
      </c>
      <c r="B71" s="1595">
        <f>'预评函-4'!B4</f>
        <v>0</v>
      </c>
    </row>
    <row r="72" spans="1:2">
      <c r="A72" s="1594" t="s">
        <v>1255</v>
      </c>
      <c r="B72" s="1603">
        <f>'预评函-4'!A5</f>
        <v>0</v>
      </c>
    </row>
    <row r="73" spans="1:2" s="1590" customFormat="1" ht="15" thickBot="1">
      <c r="A73" s="1597" t="s">
        <v>1256</v>
      </c>
      <c r="B73" s="1598">
        <f>'预评函-4'!B5</f>
        <v>0</v>
      </c>
    </row>
    <row r="74" spans="1:2" ht="15" thickTop="1">
      <c r="A74" s="1587" t="s">
        <v>1292</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1683</v>
      </c>
      <c r="C1" s="2012" t="s">
        <v>759</v>
      </c>
      <c r="D1" s="2013" t="s">
        <v>1684</v>
      </c>
      <c r="E1" s="2013" t="s">
        <v>1685</v>
      </c>
      <c r="F1" s="2013" t="s">
        <v>1686</v>
      </c>
      <c r="G1" s="2013" t="s">
        <v>1687</v>
      </c>
      <c r="H1" s="2013" t="s">
        <v>1688</v>
      </c>
      <c r="I1" s="2013" t="s">
        <v>1689</v>
      </c>
      <c r="J1" s="2013" t="s">
        <v>1690</v>
      </c>
      <c r="K1" s="2013" t="s">
        <v>1691</v>
      </c>
      <c r="L1" s="2013" t="s">
        <v>1692</v>
      </c>
      <c r="M1" s="2013" t="s">
        <v>1693</v>
      </c>
      <c r="N1" s="2013" t="s">
        <v>1694</v>
      </c>
      <c r="O1" s="2013" t="s">
        <v>1695</v>
      </c>
      <c r="P1" s="2014" t="s">
        <v>753</v>
      </c>
      <c r="Q1" s="2014" t="s">
        <v>1137</v>
      </c>
      <c r="R1" s="2013" t="s">
        <v>1131</v>
      </c>
      <c r="S1" s="2013" t="s">
        <v>1696</v>
      </c>
      <c r="T1" s="2015" t="s">
        <v>1697</v>
      </c>
      <c r="U1" s="2013" t="s">
        <v>1698</v>
      </c>
      <c r="V1" s="2013" t="s">
        <v>1699</v>
      </c>
      <c r="W1" s="2013" t="s">
        <v>755</v>
      </c>
    </row>
    <row r="2" spans="1:23">
      <c r="A2" s="2017" t="s">
        <v>22</v>
      </c>
      <c r="B2" s="2017" t="s">
        <v>1700</v>
      </c>
      <c r="C2" s="2018" t="s">
        <v>760</v>
      </c>
      <c r="D2" s="2019" t="s">
        <v>1701</v>
      </c>
      <c r="E2" s="2019" t="s">
        <v>1702</v>
      </c>
      <c r="F2" s="2019" t="s">
        <v>1703</v>
      </c>
      <c r="G2" s="2019">
        <v>40</v>
      </c>
      <c r="H2" s="2019" t="s">
        <v>1703</v>
      </c>
      <c r="I2" s="2019" t="s">
        <v>1704</v>
      </c>
      <c r="J2" s="2019" t="s">
        <v>1705</v>
      </c>
      <c r="K2" s="2019" t="s">
        <v>1706</v>
      </c>
      <c r="L2" s="2019" t="s">
        <v>1706</v>
      </c>
      <c r="M2" s="2019" t="s">
        <v>1706</v>
      </c>
      <c r="N2" s="2019" t="s">
        <v>1706</v>
      </c>
      <c r="O2" s="2019" t="s">
        <v>1706</v>
      </c>
      <c r="P2" s="2019" t="s">
        <v>1706</v>
      </c>
      <c r="Q2" s="2019" t="s">
        <v>1706</v>
      </c>
      <c r="R2" s="2019" t="s">
        <v>1133</v>
      </c>
      <c r="S2" s="2019" t="s">
        <v>1706</v>
      </c>
      <c r="T2" s="2019" t="s">
        <v>1707</v>
      </c>
      <c r="U2" s="2019" t="s">
        <v>1706</v>
      </c>
      <c r="V2" s="2019" t="s">
        <v>1708</v>
      </c>
      <c r="W2" s="2019" t="s">
        <v>1706</v>
      </c>
    </row>
    <row r="3" spans="1:23">
      <c r="A3" s="2017" t="s">
        <v>1709</v>
      </c>
      <c r="B3" s="2020" t="s">
        <v>1138</v>
      </c>
      <c r="C3" s="2021" t="s">
        <v>761</v>
      </c>
      <c r="D3" s="2019" t="s">
        <v>1710</v>
      </c>
      <c r="E3" s="2019" t="s">
        <v>16</v>
      </c>
      <c r="F3" s="2019" t="s">
        <v>1711</v>
      </c>
      <c r="G3" s="2019">
        <v>50</v>
      </c>
      <c r="H3" s="2019" t="s">
        <v>1711</v>
      </c>
      <c r="I3" s="2019" t="s">
        <v>1712</v>
      </c>
      <c r="J3" s="2019" t="s">
        <v>1713</v>
      </c>
      <c r="K3" s="2019" t="s">
        <v>1714</v>
      </c>
      <c r="L3" s="2019" t="s">
        <v>1714</v>
      </c>
      <c r="M3" s="2019" t="s">
        <v>1714</v>
      </c>
      <c r="N3" s="2019" t="s">
        <v>1714</v>
      </c>
      <c r="O3" s="2019" t="s">
        <v>1714</v>
      </c>
      <c r="P3" s="2019" t="s">
        <v>1714</v>
      </c>
      <c r="Q3" s="2019" t="s">
        <v>1714</v>
      </c>
      <c r="R3" s="2019" t="s">
        <v>1132</v>
      </c>
      <c r="S3" s="2019" t="s">
        <v>1714</v>
      </c>
      <c r="T3" s="2019" t="s">
        <v>1715</v>
      </c>
      <c r="U3" s="2019" t="s">
        <v>1714</v>
      </c>
      <c r="V3" s="2019" t="s">
        <v>1716</v>
      </c>
      <c r="W3" s="2019" t="s">
        <v>1714</v>
      </c>
    </row>
    <row r="4" spans="1:23">
      <c r="A4" s="2017" t="s">
        <v>1717</v>
      </c>
      <c r="B4" s="2017" t="s">
        <v>1718</v>
      </c>
      <c r="C4" s="2018" t="s">
        <v>762</v>
      </c>
      <c r="D4" s="2019" t="s">
        <v>868</v>
      </c>
      <c r="E4" s="2019" t="s">
        <v>1719</v>
      </c>
      <c r="F4" s="2019" t="s">
        <v>1720</v>
      </c>
      <c r="G4" s="2019">
        <v>70</v>
      </c>
      <c r="H4" s="2019" t="s">
        <v>1720</v>
      </c>
      <c r="I4" s="2019" t="s">
        <v>1721</v>
      </c>
      <c r="K4" s="2019" t="s">
        <v>1722</v>
      </c>
      <c r="L4" s="2019" t="s">
        <v>1722</v>
      </c>
      <c r="M4" s="2019" t="s">
        <v>1722</v>
      </c>
      <c r="N4" s="2019" t="s">
        <v>1722</v>
      </c>
      <c r="O4" s="2019" t="s">
        <v>1722</v>
      </c>
      <c r="P4" s="2019" t="s">
        <v>1722</v>
      </c>
      <c r="Q4" s="2019" t="s">
        <v>1722</v>
      </c>
      <c r="R4" s="2019" t="s">
        <v>1134</v>
      </c>
      <c r="S4" s="2019" t="s">
        <v>1722</v>
      </c>
      <c r="T4" s="2019" t="s">
        <v>1723</v>
      </c>
      <c r="U4" s="2019" t="s">
        <v>1722</v>
      </c>
      <c r="W4" s="2019" t="s">
        <v>1722</v>
      </c>
    </row>
    <row r="5" spans="1:23">
      <c r="A5" s="2017" t="s">
        <v>1724</v>
      </c>
      <c r="B5" s="2017" t="s">
        <v>1725</v>
      </c>
      <c r="C5" s="2018" t="s">
        <v>763</v>
      </c>
      <c r="F5" s="2019" t="s">
        <v>1726</v>
      </c>
      <c r="H5" s="2019" t="s">
        <v>1727</v>
      </c>
      <c r="I5" s="2019" t="s">
        <v>1728</v>
      </c>
      <c r="K5" s="2019" t="s">
        <v>1729</v>
      </c>
      <c r="L5" s="2019" t="s">
        <v>1729</v>
      </c>
      <c r="M5" s="2019" t="s">
        <v>1729</v>
      </c>
      <c r="N5" s="2019" t="s">
        <v>1729</v>
      </c>
      <c r="O5" s="2019" t="s">
        <v>1729</v>
      </c>
      <c r="P5" s="2019" t="s">
        <v>1729</v>
      </c>
      <c r="Q5" s="2019" t="s">
        <v>1729</v>
      </c>
      <c r="R5" s="2019" t="s">
        <v>1135</v>
      </c>
      <c r="S5" s="2019" t="s">
        <v>1729</v>
      </c>
      <c r="T5" s="2019" t="s">
        <v>1730</v>
      </c>
      <c r="U5" s="2019" t="s">
        <v>1729</v>
      </c>
      <c r="W5" s="2019" t="s">
        <v>1729</v>
      </c>
    </row>
    <row r="6" spans="1:23">
      <c r="A6" s="2017" t="s">
        <v>1731</v>
      </c>
      <c r="B6" s="2020" t="s">
        <v>1139</v>
      </c>
      <c r="C6" s="2023" t="s">
        <v>30</v>
      </c>
      <c r="F6" s="2019" t="s">
        <v>1727</v>
      </c>
      <c r="H6" s="2019" t="s">
        <v>1732</v>
      </c>
      <c r="I6" s="2019" t="s">
        <v>1733</v>
      </c>
      <c r="K6" s="2019" t="s">
        <v>1734</v>
      </c>
      <c r="L6" s="2019" t="s">
        <v>1734</v>
      </c>
      <c r="M6" s="2019" t="s">
        <v>1734</v>
      </c>
      <c r="N6" s="2019" t="s">
        <v>1734</v>
      </c>
      <c r="O6" s="2019" t="s">
        <v>1734</v>
      </c>
      <c r="P6" s="2019" t="s">
        <v>1734</v>
      </c>
      <c r="Q6" s="2019" t="s">
        <v>1734</v>
      </c>
      <c r="R6" s="2019" t="s">
        <v>1136</v>
      </c>
      <c r="S6" s="2019" t="s">
        <v>1734</v>
      </c>
      <c r="T6" s="2019"/>
      <c r="U6" s="2019" t="s">
        <v>1734</v>
      </c>
      <c r="W6" s="2019" t="s">
        <v>1734</v>
      </c>
    </row>
    <row r="7" spans="1:23">
      <c r="A7" s="2017" t="s">
        <v>1735</v>
      </c>
      <c r="B7" s="2020" t="s">
        <v>1140</v>
      </c>
      <c r="C7" s="2018" t="s">
        <v>31</v>
      </c>
      <c r="F7" s="2019" t="s">
        <v>1736</v>
      </c>
      <c r="H7" s="2019" t="s">
        <v>1737</v>
      </c>
      <c r="I7" s="2019" t="s">
        <v>1738</v>
      </c>
    </row>
    <row r="8" spans="1:23">
      <c r="A8" s="2017" t="s">
        <v>1739</v>
      </c>
      <c r="B8" s="2017" t="s">
        <v>1740</v>
      </c>
      <c r="C8" s="2018" t="s">
        <v>764</v>
      </c>
      <c r="F8" s="2019" t="s">
        <v>1741</v>
      </c>
      <c r="H8" s="2019"/>
      <c r="I8" s="2019" t="s">
        <v>1742</v>
      </c>
    </row>
    <row r="9" spans="1:23">
      <c r="A9" s="2017" t="s">
        <v>1743</v>
      </c>
      <c r="B9" s="2017" t="s">
        <v>1744</v>
      </c>
      <c r="C9" s="2018" t="s">
        <v>765</v>
      </c>
      <c r="F9" s="2019" t="s">
        <v>1745</v>
      </c>
      <c r="H9" s="2019"/>
    </row>
    <row r="10" spans="1:23">
      <c r="A10" s="2017" t="s">
        <v>1746</v>
      </c>
      <c r="B10" s="2017" t="s">
        <v>1747</v>
      </c>
      <c r="C10" s="2018" t="s">
        <v>766</v>
      </c>
      <c r="F10" s="2019" t="s">
        <v>16</v>
      </c>
    </row>
    <row r="11" spans="1:23">
      <c r="A11" s="2017" t="s">
        <v>1748</v>
      </c>
      <c r="B11" s="2017" t="s">
        <v>1749</v>
      </c>
      <c r="C11" s="2018" t="s">
        <v>767</v>
      </c>
    </row>
    <row r="12" spans="1:23">
      <c r="A12" s="2017" t="s">
        <v>1750</v>
      </c>
      <c r="B12" s="2017" t="s">
        <v>1751</v>
      </c>
      <c r="C12" s="2018" t="s">
        <v>768</v>
      </c>
    </row>
    <row r="13" spans="1:23">
      <c r="A13" s="2017" t="s">
        <v>1752</v>
      </c>
      <c r="B13" s="2017" t="s">
        <v>1753</v>
      </c>
      <c r="C13" s="2018" t="s">
        <v>769</v>
      </c>
    </row>
    <row r="14" spans="1:23">
      <c r="A14" s="2017" t="s">
        <v>1754</v>
      </c>
      <c r="B14" s="2017" t="s">
        <v>1755</v>
      </c>
      <c r="C14" s="2019" t="s">
        <v>16</v>
      </c>
    </row>
    <row r="15" spans="1:23">
      <c r="A15" s="2017" t="s">
        <v>1756</v>
      </c>
      <c r="B15" s="2017" t="s">
        <v>1757</v>
      </c>
      <c r="C15" s="2018"/>
    </row>
    <row r="16" spans="1:23">
      <c r="A16" s="2017" t="s">
        <v>1758</v>
      </c>
      <c r="B16" s="2017" t="s">
        <v>756</v>
      </c>
      <c r="C16" s="2018"/>
    </row>
    <row r="17" spans="1:3">
      <c r="A17" s="2017" t="s">
        <v>1759</v>
      </c>
      <c r="B17" s="2017" t="s">
        <v>757</v>
      </c>
      <c r="C17" s="2018"/>
    </row>
    <row r="18" spans="1:3">
      <c r="A18" s="2017" t="s">
        <v>1760</v>
      </c>
      <c r="B18" s="2017" t="s">
        <v>757</v>
      </c>
      <c r="C18" s="2018"/>
    </row>
    <row r="19" spans="1:3">
      <c r="A19" s="2017" t="s">
        <v>1761</v>
      </c>
      <c r="B19" s="2017" t="s">
        <v>757</v>
      </c>
      <c r="C19" s="2018"/>
    </row>
    <row r="20" spans="1:3">
      <c r="A20" s="2017" t="s">
        <v>1762</v>
      </c>
      <c r="B20" s="2017" t="s">
        <v>757</v>
      </c>
      <c r="C20" s="2018"/>
    </row>
    <row r="21" spans="1:3">
      <c r="A21" s="2017" t="s">
        <v>1763</v>
      </c>
      <c r="B21" s="2017" t="s">
        <v>757</v>
      </c>
      <c r="C21" s="2018"/>
    </row>
    <row r="22" spans="1:3">
      <c r="A22" s="2017" t="s">
        <v>1764</v>
      </c>
      <c r="B22" s="2017" t="s">
        <v>757</v>
      </c>
      <c r="C22" s="2018"/>
    </row>
    <row r="23" spans="1:3">
      <c r="A23" s="2017" t="s">
        <v>1765</v>
      </c>
      <c r="B23" s="2017" t="s">
        <v>757</v>
      </c>
      <c r="C23" s="2018"/>
    </row>
    <row r="24" spans="1:3">
      <c r="A24" s="2017" t="s">
        <v>1766</v>
      </c>
      <c r="B24" s="2017" t="s">
        <v>757</v>
      </c>
      <c r="C24" s="2018"/>
    </row>
    <row r="25" spans="1:3">
      <c r="A25" s="2017" t="s">
        <v>1767</v>
      </c>
      <c r="B25" s="2017" t="s">
        <v>757</v>
      </c>
      <c r="C25" s="2018"/>
    </row>
    <row r="26" spans="1:3">
      <c r="A26" s="2017" t="s">
        <v>1768</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泰丽城（天津）置业投资有限公司拟使用北京市出让国有建设用地使用权及在建建筑物房地产作为抵押担保物，向中粮信托办理贷款手续。中粮信托特委托北京康正宏基房地产评估有限公司对上述抵押物进行评估。本次评估为确定房地产抵押贷款额度提供参考依据而评估房地产抵押价值。</v>
      </c>
      <c r="D51" s="2025" t="s">
        <v>1277</v>
      </c>
    </row>
    <row r="52" spans="1:4">
      <c r="A52" s="2024" t="s">
        <v>858</v>
      </c>
      <c r="B52" s="2024" t="s">
        <v>859</v>
      </c>
      <c r="C52" s="2022" t="s">
        <v>860</v>
      </c>
      <c r="D52" s="2022" t="s">
        <v>861</v>
      </c>
    </row>
    <row r="53" spans="1:4">
      <c r="A53" s="300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5" t="s">
        <v>864</v>
      </c>
      <c r="C54" s="2022" t="s">
        <v>1274</v>
      </c>
    </row>
    <row r="55" spans="1:4">
      <c r="A55" s="3002"/>
      <c r="B55" s="2025" t="s">
        <v>865</v>
      </c>
      <c r="C55" s="2022" t="s">
        <v>1275</v>
      </c>
    </row>
    <row r="56" spans="1:4">
      <c r="A56" s="3002"/>
      <c r="B56" s="2025" t="s">
        <v>866</v>
      </c>
      <c r="C56" s="2022" t="s">
        <v>1279</v>
      </c>
    </row>
    <row r="57" spans="1:4">
      <c r="A57" s="3002"/>
      <c r="B57" s="2025" t="s">
        <v>867</v>
      </c>
      <c r="C57" s="2022" t="s">
        <v>1276</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9" sqref="C2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1769</v>
      </c>
      <c r="B1" s="300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04"/>
      <c r="D1" s="3004"/>
      <c r="E1" s="3004"/>
      <c r="F1" s="3004"/>
      <c r="G1" s="3004"/>
      <c r="H1" s="3004"/>
      <c r="I1" s="300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1770</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1771</v>
      </c>
      <c r="B3" s="2039">
        <v>43343</v>
      </c>
      <c r="C3" s="2040" t="s">
        <v>1772</v>
      </c>
      <c r="D3" s="2039">
        <f>B3</f>
        <v>43343</v>
      </c>
      <c r="E3" s="2029"/>
      <c r="F3" s="2029"/>
      <c r="G3" s="2029"/>
      <c r="H3" s="2029"/>
      <c r="I3" s="2029"/>
      <c r="J3" s="2029"/>
      <c r="K3" s="2030"/>
      <c r="L3" s="2031"/>
      <c r="M3" s="2031"/>
      <c r="N3" s="2032"/>
      <c r="O3" s="2033"/>
      <c r="P3" s="2032"/>
      <c r="Q3" s="2032"/>
      <c r="R3" s="2032"/>
      <c r="S3" s="2034"/>
    </row>
    <row r="4" spans="1:19" ht="18" customHeight="1" thickBot="1">
      <c r="A4" s="2041" t="s">
        <v>1773</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1774</v>
      </c>
      <c r="B5" s="2947" t="s">
        <v>3048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1775</v>
      </c>
      <c r="B6" s="2948" t="s">
        <v>3049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1776</v>
      </c>
      <c r="B7" s="2054" t="str">
        <f>B5</f>
        <v>金泰丽城（天津）置业投资有限公司</v>
      </c>
      <c r="C7" s="2051"/>
      <c r="D7" s="2052"/>
      <c r="E7" s="2037"/>
      <c r="F7" s="2045"/>
      <c r="G7" s="2045"/>
      <c r="H7" s="2045"/>
      <c r="I7" s="2045"/>
      <c r="J7" s="2045"/>
      <c r="K7" s="2055"/>
      <c r="L7" s="2031"/>
      <c r="M7" s="2031"/>
      <c r="N7" s="2032"/>
      <c r="O7" s="2033"/>
      <c r="P7" s="2032"/>
      <c r="Q7" s="2032"/>
      <c r="R7" s="2032"/>
    </row>
    <row r="8" spans="1:19" ht="18" customHeight="1">
      <c r="A8" s="2050" t="s">
        <v>1777</v>
      </c>
      <c r="B8" s="2056" t="s">
        <v>3050</v>
      </c>
      <c r="C8" s="2057"/>
      <c r="D8" s="3006" t="s">
        <v>1778</v>
      </c>
      <c r="E8" s="2058" t="s">
        <v>3051</v>
      </c>
      <c r="F8" s="2059"/>
      <c r="G8" s="2029"/>
      <c r="H8" s="2029"/>
      <c r="I8" s="2029"/>
      <c r="J8" s="2045"/>
      <c r="K8" s="2046"/>
      <c r="L8" s="2031"/>
      <c r="M8" s="2031"/>
      <c r="N8" s="2032"/>
      <c r="O8" s="2033"/>
      <c r="P8" s="2032"/>
      <c r="Q8" s="2032"/>
      <c r="R8" s="2032"/>
    </row>
    <row r="9" spans="1:19" ht="18" customHeight="1" thickBot="1">
      <c r="A9" s="2043" t="s">
        <v>1779</v>
      </c>
      <c r="B9" s="2060" t="s">
        <v>3051</v>
      </c>
      <c r="C9" s="2061"/>
      <c r="D9" s="3007"/>
      <c r="E9" s="2060"/>
      <c r="F9" s="2062"/>
      <c r="G9" s="2063"/>
      <c r="H9" s="2063"/>
      <c r="I9" s="2063"/>
      <c r="J9" s="2045"/>
      <c r="K9" s="2055"/>
      <c r="L9" s="2031"/>
      <c r="M9" s="2031"/>
      <c r="N9" s="2032"/>
      <c r="O9" s="2033"/>
      <c r="P9" s="2032"/>
      <c r="Q9" s="2032"/>
      <c r="R9" s="2032"/>
    </row>
    <row r="10" spans="1:19" ht="18" customHeight="1" thickTop="1">
      <c r="A10" s="2064" t="s">
        <v>1780</v>
      </c>
      <c r="B10" s="2065" t="s">
        <v>3052</v>
      </c>
      <c r="C10" s="2066"/>
      <c r="D10" s="2049"/>
      <c r="E10" s="2067" t="s">
        <v>1781</v>
      </c>
      <c r="F10" s="2068"/>
      <c r="G10" s="2069"/>
      <c r="H10" s="2070"/>
      <c r="I10" s="2049"/>
      <c r="J10" s="2045"/>
      <c r="K10" s="2055"/>
      <c r="L10" s="2031"/>
      <c r="M10" s="2031"/>
      <c r="N10" s="2032"/>
      <c r="O10" s="2033"/>
      <c r="P10" s="2032"/>
      <c r="Q10" s="2032"/>
      <c r="R10" s="2032"/>
    </row>
    <row r="11" spans="1:19" ht="18" customHeight="1">
      <c r="A11" s="2071" t="s">
        <v>1782</v>
      </c>
      <c r="B11" s="2072"/>
      <c r="C11" s="2073"/>
      <c r="D11" s="2074"/>
      <c r="E11" s="2045"/>
      <c r="F11" s="2045"/>
      <c r="G11" s="2045"/>
      <c r="H11" s="2045"/>
      <c r="I11" s="2045"/>
      <c r="J11" s="2045"/>
      <c r="K11" s="2055"/>
      <c r="L11" s="2031"/>
      <c r="M11" s="2031"/>
      <c r="N11" s="2032"/>
      <c r="O11" s="2033"/>
      <c r="P11" s="2032"/>
      <c r="Q11" s="2032"/>
      <c r="R11" s="2032"/>
    </row>
    <row r="12" spans="1:19" ht="18" customHeight="1">
      <c r="A12" s="2075" t="s">
        <v>1783</v>
      </c>
      <c r="B12" s="2072" t="s">
        <v>3053</v>
      </c>
      <c r="C12" s="2076" t="s">
        <v>1784</v>
      </c>
      <c r="D12" s="2077" t="s">
        <v>1785</v>
      </c>
      <c r="E12" s="2077" t="s">
        <v>1786</v>
      </c>
      <c r="F12" s="2077" t="s">
        <v>1787</v>
      </c>
      <c r="G12" s="2077" t="s">
        <v>1788</v>
      </c>
      <c r="H12" s="2077" t="s">
        <v>1789</v>
      </c>
      <c r="I12" s="2077" t="s">
        <v>1790</v>
      </c>
      <c r="J12" s="2045"/>
      <c r="K12" s="2055"/>
      <c r="L12" s="2031"/>
      <c r="M12" s="2031"/>
      <c r="N12" s="2032"/>
      <c r="O12" s="2033"/>
      <c r="P12" s="2032"/>
      <c r="Q12" s="2032"/>
      <c r="R12" s="2032"/>
    </row>
    <row r="13" spans="1:19" ht="18" customHeight="1">
      <c r="A13" s="2078"/>
      <c r="B13" s="2079"/>
      <c r="C13" s="2080" t="s">
        <v>1791</v>
      </c>
      <c r="D13" s="2081"/>
      <c r="E13" s="2081">
        <v>55624</v>
      </c>
      <c r="F13" s="2081"/>
      <c r="G13" s="2081"/>
      <c r="H13" s="2081"/>
      <c r="I13" s="1050"/>
      <c r="J13" s="2045"/>
      <c r="K13" s="2055"/>
      <c r="L13" s="2031"/>
      <c r="M13" s="2031"/>
      <c r="N13" s="2032"/>
      <c r="O13" s="2033"/>
      <c r="P13" s="2032"/>
      <c r="Q13" s="2032"/>
      <c r="R13" s="2032"/>
    </row>
    <row r="14" spans="1:19" ht="18" customHeight="1">
      <c r="A14" s="2078"/>
      <c r="B14" s="2079"/>
      <c r="C14" s="2080" t="s">
        <v>1792</v>
      </c>
      <c r="D14" s="1053"/>
      <c r="E14" s="1053">
        <v>40</v>
      </c>
      <c r="F14" s="1053"/>
      <c r="G14" s="1053"/>
      <c r="H14" s="1053"/>
      <c r="I14" s="1053"/>
      <c r="J14" s="2045"/>
      <c r="K14" s="2082"/>
      <c r="L14" s="2031"/>
      <c r="M14" s="2031"/>
      <c r="N14" s="2032"/>
      <c r="O14" s="2033"/>
      <c r="P14" s="2032"/>
      <c r="Q14" s="2032"/>
      <c r="R14" s="2032"/>
    </row>
    <row r="15" spans="1:19" ht="18" customHeight="1">
      <c r="A15" s="2064"/>
      <c r="B15" s="2083"/>
      <c r="C15" s="2080" t="s">
        <v>1793</v>
      </c>
      <c r="D15" s="1052" t="str">
        <f>IF(B12="出让",IF(D13="","",ROUNDDOWN(MIN((D13-$D$3)/365,D14),2)),D14)</f>
        <v/>
      </c>
      <c r="E15" s="1052">
        <f>IF(B12="出让",IF(E13="","",ROUNDDOWN(MIN((E13-$D$3)/365,E14),2)),E14)</f>
        <v>33.64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7" t="s">
        <v>1794</v>
      </c>
      <c r="B16" s="3013"/>
      <c r="C16" s="3014"/>
      <c r="D16" s="3015"/>
      <c r="E16" s="2087" t="s">
        <v>1795</v>
      </c>
      <c r="F16" s="3016"/>
      <c r="G16" s="3017"/>
      <c r="H16" s="3017"/>
      <c r="I16" s="3018"/>
      <c r="J16" s="2032"/>
      <c r="K16" s="2084"/>
      <c r="L16" s="2085"/>
      <c r="M16" s="2085"/>
      <c r="N16" s="2086"/>
      <c r="O16" s="2085"/>
      <c r="P16" s="2086"/>
      <c r="Q16" s="2032"/>
      <c r="R16" s="2032"/>
    </row>
    <row r="17" spans="1:22" ht="18" customHeight="1">
      <c r="A17" s="2088" t="s">
        <v>1796</v>
      </c>
      <c r="B17" s="2038" t="s">
        <v>1797</v>
      </c>
      <c r="C17" s="1057">
        <f>'数据-汇总表'!E3</f>
        <v>47804</v>
      </c>
      <c r="D17" s="2089" t="s">
        <v>1798</v>
      </c>
      <c r="E17" s="3019" t="s">
        <v>1799</v>
      </c>
      <c r="F17" s="3020"/>
      <c r="G17" s="3020"/>
      <c r="H17" s="3020"/>
      <c r="I17" s="3021"/>
      <c r="J17" s="2032"/>
      <c r="K17" s="2090"/>
      <c r="L17" s="2085"/>
      <c r="M17" s="2085"/>
      <c r="N17" s="2086"/>
      <c r="O17" s="2085"/>
      <c r="P17" s="2086"/>
      <c r="Q17" s="2032"/>
      <c r="R17" s="2032"/>
      <c r="S17" s="2032"/>
      <c r="T17" s="2032"/>
      <c r="U17" s="2032"/>
      <c r="V17" s="2032"/>
    </row>
    <row r="18" spans="1:22" ht="36" customHeight="1" thickBot="1">
      <c r="A18" s="2091" t="s">
        <v>1800</v>
      </c>
      <c r="B18" s="2041" t="s">
        <v>1801</v>
      </c>
      <c r="C18" s="1447">
        <f>'数据-汇总表'!D3</f>
        <v>11433.6</v>
      </c>
      <c r="D18" s="2092" t="s">
        <v>1798</v>
      </c>
      <c r="E18" s="3022" t="s">
        <v>1802</v>
      </c>
      <c r="F18" s="3023"/>
      <c r="G18" s="3023"/>
      <c r="H18" s="3023"/>
      <c r="I18" s="3024"/>
      <c r="J18" s="2032"/>
      <c r="K18" s="2090"/>
      <c r="L18" s="2085"/>
      <c r="M18" s="2085"/>
      <c r="N18" s="2086"/>
      <c r="O18" s="2085"/>
      <c r="P18" s="2086"/>
      <c r="Q18" s="2032"/>
      <c r="R18" s="2032"/>
      <c r="S18" s="2032"/>
      <c r="T18" s="2032"/>
      <c r="U18" s="2032"/>
      <c r="V18" s="2032"/>
    </row>
    <row r="19" spans="1:22" ht="37.5" customHeight="1" thickTop="1" thickBot="1">
      <c r="A19" s="373" t="s">
        <v>1803</v>
      </c>
      <c r="B19" s="352" t="s">
        <v>1804</v>
      </c>
      <c r="C19" s="2093"/>
      <c r="D19" s="2094" t="s">
        <v>1805</v>
      </c>
      <c r="E19" s="2095"/>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1806</v>
      </c>
      <c r="B20" s="3009" t="s">
        <v>1807</v>
      </c>
      <c r="C20" s="3010"/>
      <c r="D20" s="3011" t="s">
        <v>1808</v>
      </c>
      <c r="E20" s="3012"/>
      <c r="F20" s="2099" t="s">
        <v>1809</v>
      </c>
      <c r="G20" s="2045"/>
      <c r="H20" s="2045"/>
      <c r="I20" s="2045"/>
      <c r="J20" s="2045"/>
      <c r="K20" s="3008"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1811</v>
      </c>
      <c r="C21" s="2101" t="s">
        <v>1812</v>
      </c>
      <c r="D21" s="2102" t="s">
        <v>1813</v>
      </c>
      <c r="E21" s="2103" t="s">
        <v>1812</v>
      </c>
      <c r="F21" s="2104"/>
      <c r="G21" s="2045"/>
      <c r="H21" s="2045"/>
      <c r="I21" s="2045"/>
      <c r="J21" s="2045"/>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1814</v>
      </c>
      <c r="C22" s="2101" t="s">
        <v>1815</v>
      </c>
      <c r="D22" s="2029"/>
      <c r="E22" s="2029"/>
      <c r="F22" s="2106"/>
      <c r="G22" s="2045"/>
      <c r="H22" s="2045"/>
      <c r="I22" s="2045"/>
      <c r="J22" s="2045"/>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1816</v>
      </c>
      <c r="B23" s="183" t="s">
        <v>1817</v>
      </c>
      <c r="C23" s="2108"/>
      <c r="D23" s="2109" t="s">
        <v>1817</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1818</v>
      </c>
      <c r="C24" s="2113"/>
      <c r="D24" s="2107" t="s">
        <v>1818</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1819</v>
      </c>
      <c r="C25" s="2113"/>
      <c r="D25" s="2107" t="s">
        <v>1819</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1820</v>
      </c>
      <c r="C26" s="2117"/>
      <c r="D26" s="2118" t="s">
        <v>1821</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26" t="s">
        <v>1822</v>
      </c>
      <c r="B27" s="2064" t="s">
        <v>1823</v>
      </c>
      <c r="C27" s="2121" t="s">
        <v>3054</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26"/>
      <c r="B28" s="2038" t="s">
        <v>1824</v>
      </c>
      <c r="C28" s="2123" t="s">
        <v>3055</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26"/>
      <c r="B29" s="2038" t="s">
        <v>1825</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27"/>
      <c r="B30" s="2038" t="s">
        <v>1826</v>
      </c>
      <c r="C30" s="3028"/>
      <c r="D30" s="3029"/>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30" t="s">
        <v>1827</v>
      </c>
      <c r="B31" s="2128"/>
      <c r="C31" s="2129" t="str">
        <f>IF(B31="现房","成新及维护状况正常否",IF(B31="在建","工程状态是否正常",IF(B31="土地","是否闲置","-")))</f>
        <v>-</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31"/>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31"/>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1828</v>
      </c>
      <c r="B34" s="2135"/>
      <c r="C34" s="2135"/>
      <c r="D34" s="2135"/>
      <c r="E34" s="2135"/>
      <c r="F34" s="2135"/>
      <c r="G34" s="2135"/>
      <c r="H34" s="2135"/>
      <c r="I34" s="2045"/>
      <c r="J34" s="2045"/>
      <c r="K34" s="1798">
        <f>COUNTIF(B34:H34,"——")</f>
        <v>0</v>
      </c>
      <c r="L34" s="2076" t="s">
        <v>1829</v>
      </c>
      <c r="M34" s="2076" t="s">
        <v>1830</v>
      </c>
      <c r="N34" s="2076" t="s">
        <v>1831</v>
      </c>
      <c r="O34" s="2076" t="s">
        <v>1832</v>
      </c>
      <c r="P34" s="2076" t="s">
        <v>1833</v>
      </c>
      <c r="Q34" s="2076" t="s">
        <v>1834</v>
      </c>
      <c r="R34" s="2076" t="s">
        <v>1835</v>
      </c>
      <c r="S34" s="3025" t="s">
        <v>1836</v>
      </c>
      <c r="T34" s="2136" t="str">
        <f>NUMBERSTRING(7-K34,1)&amp;"通"</f>
        <v>七通</v>
      </c>
      <c r="U34" s="2032"/>
      <c r="V34" s="2032"/>
    </row>
    <row r="35" spans="1:22" ht="18" customHeight="1">
      <c r="A35" s="2137"/>
      <c r="B35" s="3032" t="s">
        <v>1837</v>
      </c>
      <c r="C35" s="3032"/>
      <c r="D35" s="3032"/>
      <c r="E35" s="3032"/>
      <c r="F35" s="2138">
        <f>C10</f>
        <v>0</v>
      </c>
      <c r="G35" s="2045"/>
      <c r="H35" s="2045"/>
      <c r="I35" s="2045"/>
      <c r="J35" s="2045"/>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32"/>
      <c r="V35" s="2032"/>
    </row>
    <row r="36" spans="1:22" ht="18" customHeight="1">
      <c r="A36" s="2139"/>
      <c r="B36" s="2138" t="s">
        <v>1838</v>
      </c>
      <c r="C36" s="2138" t="s">
        <v>1839</v>
      </c>
      <c r="D36" s="2138" t="s">
        <v>1840</v>
      </c>
      <c r="E36" s="2138" t="s">
        <v>1841</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1842</v>
      </c>
      <c r="B37" s="2142"/>
      <c r="C37" s="2142"/>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1843</v>
      </c>
      <c r="B38" s="2144"/>
      <c r="C38" s="2144"/>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1844</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1845</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1846</v>
      </c>
      <c r="B42" s="1798" t="s">
        <v>1847</v>
      </c>
      <c r="C42" s="1798" t="s">
        <v>1848</v>
      </c>
      <c r="D42" s="1798" t="s">
        <v>1849</v>
      </c>
      <c r="E42" s="1798" t="s">
        <v>1850</v>
      </c>
      <c r="F42" s="1798" t="s">
        <v>1851</v>
      </c>
      <c r="G42" s="1798" t="s">
        <v>1852</v>
      </c>
      <c r="H42" s="1798" t="s">
        <v>1853</v>
      </c>
      <c r="I42" s="1798" t="s">
        <v>1854</v>
      </c>
      <c r="J42" s="2154" t="s">
        <v>1855</v>
      </c>
      <c r="K42" s="2077" t="s">
        <v>1856</v>
      </c>
      <c r="L42" s="2077" t="s">
        <v>1857</v>
      </c>
      <c r="M42" s="2077" t="s">
        <v>1858</v>
      </c>
      <c r="N42" s="1798" t="s">
        <v>1859</v>
      </c>
      <c r="O42" s="1798" t="s">
        <v>1860</v>
      </c>
      <c r="P42" s="1798" t="s">
        <v>1861</v>
      </c>
      <c r="Q42" s="2076" t="s">
        <v>1862</v>
      </c>
      <c r="R42" s="2076" t="s">
        <v>1863</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1866</v>
      </c>
      <c r="B2" s="11" t="s">
        <v>1867</v>
      </c>
      <c r="C2" s="11" t="s">
        <v>1868</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1869</v>
      </c>
      <c r="AZ2" s="1273" t="s">
        <v>1870</v>
      </c>
      <c r="BA2" s="11" t="s">
        <v>1871</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11433.6</v>
      </c>
      <c r="B3" s="14">
        <f>IF(C3="否",G5-AT5,G5)</f>
        <v>47804</v>
      </c>
      <c r="C3" s="2170" t="s">
        <v>1872</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6"/>
      <c r="C5" s="1806"/>
      <c r="D5" s="1809"/>
      <c r="E5" s="16" t="s">
        <v>1</v>
      </c>
      <c r="F5" s="16">
        <f>SUM(F13:F587)</f>
        <v>0</v>
      </c>
      <c r="G5" s="16">
        <f>SUM(G13:G587)</f>
        <v>47804</v>
      </c>
      <c r="H5" s="16">
        <f t="shared" ref="H5:AT5" si="0">SUM(H13:H656)</f>
        <v>47804</v>
      </c>
      <c r="I5" s="16">
        <f t="shared" si="0"/>
        <v>28584</v>
      </c>
      <c r="J5" s="16">
        <f t="shared" si="0"/>
        <v>0</v>
      </c>
      <c r="K5" s="16">
        <f t="shared" si="0"/>
        <v>19220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47804</v>
      </c>
      <c r="BA5" s="18">
        <f t="shared" si="1"/>
        <v>47804</v>
      </c>
      <c r="BB5" s="18">
        <f t="shared" si="1"/>
        <v>28584</v>
      </c>
      <c r="BC5" s="18">
        <f t="shared" si="1"/>
        <v>19220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1874</v>
      </c>
      <c r="B6" s="2176"/>
      <c r="C6" s="2176"/>
      <c r="D6" s="2177"/>
      <c r="E6" s="16">
        <f>H6+AC6+AT6</f>
        <v>11433.6</v>
      </c>
      <c r="F6" s="16" t="s">
        <v>1</v>
      </c>
      <c r="G6" s="16" t="s">
        <v>2</v>
      </c>
      <c r="H6" s="20">
        <f>SUMIF(I$12:AB$12,"总值",I6:AB6)</f>
        <v>11433.6</v>
      </c>
      <c r="I6" s="16">
        <f t="shared" ref="I6:AB6" si="2">ROUND($A$3*I5/$B$3,2)</f>
        <v>6836.63</v>
      </c>
      <c r="J6" s="16">
        <f t="shared" si="2"/>
        <v>0</v>
      </c>
      <c r="K6" s="16">
        <f t="shared" si="2"/>
        <v>4596.97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1874</v>
      </c>
      <c r="AW6" s="2176"/>
      <c r="AX6" s="2176"/>
      <c r="AY6" s="21">
        <f>IF(AY3&gt;0,AY3,ROUND($A$3*AZ5/$B$3,2))</f>
        <v>11433.6</v>
      </c>
      <c r="AZ6" s="16" t="s">
        <v>3</v>
      </c>
      <c r="BA6" s="16">
        <f>ROUND($AY$6*BA5/$AZ$5,2)</f>
        <v>11433.6</v>
      </c>
      <c r="BB6" s="16">
        <f>ROUND($AY$6*BB5/$AZ$5,2)</f>
        <v>6836.63</v>
      </c>
      <c r="BC6" s="16">
        <f t="shared" ref="BC6:BH6" si="4">ROUND($AY$6*BC5/$AZ$5,2)</f>
        <v>4596.97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80" t="s">
        <v>1881</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1882</v>
      </c>
      <c r="AV7" s="23" t="s">
        <v>1883</v>
      </c>
      <c r="AW7" s="2168" t="s">
        <v>1884</v>
      </c>
      <c r="AX7" s="23" t="s">
        <v>1877</v>
      </c>
      <c r="AY7" s="1806" t="s">
        <v>1885</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1886</v>
      </c>
      <c r="H8" s="2186" t="s">
        <v>1887</v>
      </c>
      <c r="I8" s="2187"/>
      <c r="J8" s="1821"/>
      <c r="K8" s="1821"/>
      <c r="L8" s="1821"/>
      <c r="M8" s="1821"/>
      <c r="N8" s="1821"/>
      <c r="O8" s="1821"/>
      <c r="P8" s="1821"/>
      <c r="Q8" s="1821"/>
      <c r="R8" s="1821"/>
      <c r="S8" s="1821"/>
      <c r="T8" s="1821"/>
      <c r="U8" s="1821"/>
      <c r="V8" s="2188"/>
      <c r="W8" s="1821"/>
      <c r="X8" s="1821"/>
      <c r="Y8" s="1821"/>
      <c r="Z8" s="1821"/>
      <c r="AA8" s="2188"/>
      <c r="AB8" s="2189"/>
      <c r="AC8" s="984" t="s">
        <v>1888</v>
      </c>
      <c r="AD8" s="2190"/>
      <c r="AE8" s="2182"/>
      <c r="AF8" s="1821"/>
      <c r="AG8" s="1821"/>
      <c r="AH8" s="1821"/>
      <c r="AI8" s="1821"/>
      <c r="AJ8" s="1821"/>
      <c r="AK8" s="1821"/>
      <c r="AL8" s="1821"/>
      <c r="AM8" s="1821"/>
      <c r="AN8" s="1821"/>
      <c r="AO8" s="1821"/>
      <c r="AP8" s="1821"/>
      <c r="AQ8" s="1821"/>
      <c r="AR8" s="1821"/>
      <c r="AS8" s="1821"/>
      <c r="AT8" s="1295" t="s">
        <v>1889</v>
      </c>
      <c r="AU8" s="2184" t="s">
        <v>1890</v>
      </c>
      <c r="AV8" s="1295"/>
      <c r="AW8" s="2167"/>
      <c r="AX8" s="1295"/>
      <c r="AY8" s="2168"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1893</v>
      </c>
      <c r="I9" s="2193" t="s">
        <v>3059</v>
      </c>
      <c r="J9" s="984"/>
      <c r="K9" s="2193" t="s">
        <v>3060</v>
      </c>
      <c r="L9" s="984"/>
      <c r="M9" s="2193"/>
      <c r="N9" s="984"/>
      <c r="O9" s="2193"/>
      <c r="P9" s="984"/>
      <c r="Q9" s="2193"/>
      <c r="R9" s="984"/>
      <c r="S9" s="2193"/>
      <c r="T9" s="984"/>
      <c r="U9" s="2193"/>
      <c r="V9" s="984"/>
      <c r="W9" s="2193"/>
      <c r="X9" s="2194"/>
      <c r="Y9" s="2193"/>
      <c r="Z9" s="984"/>
      <c r="AA9" s="2193"/>
      <c r="AB9" s="984"/>
      <c r="AC9" s="2185"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5"/>
      <c r="AT9" s="2184"/>
      <c r="AU9" s="2184" t="s">
        <v>1896</v>
      </c>
      <c r="AV9" s="1295"/>
      <c r="AW9" s="2167"/>
      <c r="AX9" s="1295"/>
      <c r="AY9" s="28"/>
      <c r="AZ9" s="28" t="s">
        <v>1886</v>
      </c>
      <c r="BA9" s="2196" t="s">
        <v>1897</v>
      </c>
      <c r="BB9" s="2197"/>
      <c r="BC9" s="1341"/>
      <c r="BD9" s="1341"/>
      <c r="BE9" s="1341"/>
      <c r="BF9" s="1341"/>
      <c r="BG9" s="1341"/>
      <c r="BH9" s="1341"/>
      <c r="BI9" s="1341"/>
      <c r="BJ9" s="1341"/>
      <c r="BK9" s="2198"/>
      <c r="BL9" s="15" t="s">
        <v>1898</v>
      </c>
      <c r="BM9" s="1821"/>
      <c r="BN9" s="2187"/>
      <c r="BO9" s="1821"/>
      <c r="BP9" s="1821"/>
      <c r="BQ9" s="1821"/>
      <c r="BR9" s="1821"/>
      <c r="BS9" s="1821"/>
      <c r="BT9" s="26"/>
    </row>
    <row r="10" spans="1:72" s="2191" customFormat="1" ht="12.75">
      <c r="A10" s="2184"/>
      <c r="B10" s="2184"/>
      <c r="C10" s="2184"/>
      <c r="D10" s="2184"/>
      <c r="E10" s="2184"/>
      <c r="F10" s="2184"/>
      <c r="G10" s="1295"/>
      <c r="H10" s="28"/>
      <c r="I10" s="2193" t="s">
        <v>1370</v>
      </c>
      <c r="J10" s="984"/>
      <c r="K10" s="2199" t="s">
        <v>1370</v>
      </c>
      <c r="L10" s="984"/>
      <c r="M10" s="2199"/>
      <c r="N10" s="984"/>
      <c r="O10" s="2199"/>
      <c r="P10" s="984"/>
      <c r="Q10" s="2199"/>
      <c r="R10" s="984"/>
      <c r="S10" s="2199"/>
      <c r="T10" s="984"/>
      <c r="U10" s="2199"/>
      <c r="V10" s="984"/>
      <c r="W10" s="2199"/>
      <c r="X10" s="984"/>
      <c r="Y10" s="2199"/>
      <c r="Z10" s="984"/>
      <c r="AA10" s="2199"/>
      <c r="AB10" s="984"/>
      <c r="AC10" s="1295"/>
      <c r="AD10" s="15" t="s">
        <v>1899</v>
      </c>
      <c r="AE10" s="2200"/>
      <c r="AF10" s="15" t="s">
        <v>1899</v>
      </c>
      <c r="AG10" s="2200"/>
      <c r="AH10" s="15" t="s">
        <v>1900</v>
      </c>
      <c r="AI10" s="2200"/>
      <c r="AJ10" s="15" t="s">
        <v>1900</v>
      </c>
      <c r="AK10" s="2200"/>
      <c r="AL10" s="15" t="s">
        <v>1901</v>
      </c>
      <c r="AM10" s="1301"/>
      <c r="AN10" s="15" t="s">
        <v>1901</v>
      </c>
      <c r="AO10" s="1301"/>
      <c r="AP10" s="15" t="s">
        <v>1902</v>
      </c>
      <c r="AQ10" s="1301"/>
      <c r="AR10" s="15" t="s">
        <v>1902</v>
      </c>
      <c r="AS10" s="1301"/>
      <c r="AT10" s="2184"/>
      <c r="AU10" s="2184"/>
      <c r="AV10" s="1295"/>
      <c r="AW10" s="2167"/>
      <c r="AX10" s="1295"/>
      <c r="AY10" s="28"/>
      <c r="AZ10" s="28"/>
      <c r="BA10" s="2201" t="s">
        <v>1893</v>
      </c>
      <c r="BB10" s="2202" t="str">
        <f>I9</f>
        <v>地上</v>
      </c>
      <c r="BC10" s="29" t="str">
        <f>K9</f>
        <v>地下</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3055</v>
      </c>
      <c r="J11" s="2205"/>
      <c r="K11" s="2204" t="s">
        <v>3055</v>
      </c>
      <c r="L11" s="2205"/>
      <c r="M11" s="2204"/>
      <c r="N11" s="2205"/>
      <c r="O11" s="2204"/>
      <c r="P11" s="2205"/>
      <c r="Q11" s="2204"/>
      <c r="R11" s="2205"/>
      <c r="S11" s="2204"/>
      <c r="T11" s="2205"/>
      <c r="U11" s="2204"/>
      <c r="V11" s="2205"/>
      <c r="W11" s="2204"/>
      <c r="X11" s="2205"/>
      <c r="Y11" s="2204"/>
      <c r="Z11" s="2205"/>
      <c r="AA11" s="2204"/>
      <c r="AB11" s="2205"/>
      <c r="AC11" s="1295"/>
      <c r="AD11" s="2206" t="s">
        <v>1903</v>
      </c>
      <c r="AE11" s="1822"/>
      <c r="AF11" s="2206" t="s">
        <v>1903</v>
      </c>
      <c r="AG11" s="1822"/>
      <c r="AH11" s="2206" t="s">
        <v>1904</v>
      </c>
      <c r="AI11" s="2207"/>
      <c r="AJ11" s="2206" t="s">
        <v>1904</v>
      </c>
      <c r="AK11" s="1822"/>
      <c r="AL11" s="1820"/>
      <c r="AM11" s="1822"/>
      <c r="AN11" s="1820"/>
      <c r="AO11" s="1822"/>
      <c r="AP11" s="1820"/>
      <c r="AQ11" s="1822"/>
      <c r="AR11" s="1820"/>
      <c r="AS11" s="1822"/>
      <c r="AT11" s="2167"/>
      <c r="AU11" s="2184"/>
      <c r="AV11" s="1295"/>
      <c r="AW11" s="2167"/>
      <c r="AX11" s="1295"/>
      <c r="AY11" s="28"/>
      <c r="AZ11" s="28"/>
      <c r="BA11" s="28"/>
      <c r="BB11" s="2189" t="str">
        <f>I10</f>
        <v>商业</v>
      </c>
      <c r="BC11" s="2189" t="str">
        <f>K10</f>
        <v>商业</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1"/>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9" t="s">
        <v>1906</v>
      </c>
      <c r="AT12" s="2212"/>
      <c r="AU12" s="2209"/>
      <c r="AV12" s="31"/>
      <c r="AW12" s="2168"/>
      <c r="AX12" s="31"/>
      <c r="AY12" s="2213"/>
      <c r="AZ12" s="28"/>
      <c r="BA12" s="2201"/>
      <c r="BB12" s="24" t="str">
        <f>I11</f>
        <v>酒店</v>
      </c>
      <c r="BC12" s="2214" t="str">
        <f>K11</f>
        <v>酒店</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25.5">
      <c r="A13" s="1275"/>
      <c r="B13" s="1275"/>
      <c r="C13" s="2949" t="s">
        <v>3058</v>
      </c>
      <c r="D13" s="2215" t="s">
        <v>3056</v>
      </c>
      <c r="E13" s="16">
        <f>IF($C$3="是",ROUND($A$3*G13/$B$3,2),ROUND($A$3*(G13-AT13)/$B$3,2))</f>
        <v>11433.6</v>
      </c>
      <c r="F13" s="32"/>
      <c r="G13" s="33">
        <f>H13+AC13+AT13</f>
        <v>47804</v>
      </c>
      <c r="H13" s="20">
        <f>SUMIF(I$12:AB$12,"总值",I13:AB13)</f>
        <v>47804</v>
      </c>
      <c r="I13" s="2216">
        <v>28584</v>
      </c>
      <c r="J13" s="2216"/>
      <c r="K13" s="2216">
        <v>19220</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酒店和温泉酒店</v>
      </c>
      <c r="AY13" s="1809">
        <f>ROUND($AY$6*AZ13/$AZ$5,2)</f>
        <v>11433.6</v>
      </c>
      <c r="AZ13" s="16">
        <f>BA13+BL13</f>
        <v>47804</v>
      </c>
      <c r="BA13" s="16">
        <f>SUM(BB13:BK13)</f>
        <v>47804</v>
      </c>
      <c r="BB13" s="16">
        <f>IF($D13="是",I13-J13,0)</f>
        <v>28584</v>
      </c>
      <c r="BC13" s="16">
        <f>IF($D13="是",K13-L13,0)</f>
        <v>19220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1932</v>
      </c>
      <c r="B1" s="1395"/>
      <c r="C1" s="1395"/>
      <c r="D1" s="1395"/>
      <c r="E1" s="1395"/>
      <c r="F1" s="1395"/>
      <c r="G1" s="1395"/>
      <c r="H1" s="1395"/>
      <c r="I1" s="1395"/>
      <c r="J1" s="1395"/>
      <c r="K1" s="1395"/>
      <c r="L1" s="1395"/>
      <c r="M1" s="1395"/>
      <c r="N1" s="1395"/>
      <c r="O1" s="1395"/>
      <c r="P1" s="1395"/>
    </row>
    <row r="2" spans="1:16" ht="15">
      <c r="A2" s="3044" t="s">
        <v>1933</v>
      </c>
      <c r="B2" s="3044"/>
      <c r="C2" s="3044"/>
      <c r="D2" s="970" t="s">
        <v>1909</v>
      </c>
      <c r="E2" s="2229" t="s">
        <v>1910</v>
      </c>
      <c r="F2" s="1395"/>
      <c r="G2" s="2230"/>
      <c r="H2" s="2231"/>
      <c r="I2" s="2232" t="s">
        <v>1934</v>
      </c>
      <c r="J2" s="1395"/>
      <c r="K2" s="1395"/>
      <c r="L2" s="1395"/>
      <c r="M2" s="1395"/>
      <c r="N2" s="1430"/>
      <c r="O2" s="1395"/>
      <c r="P2" s="1395"/>
    </row>
    <row r="3" spans="1:16" ht="15.75" thickBot="1">
      <c r="A3" s="3045" t="s">
        <v>1907</v>
      </c>
      <c r="B3" s="3045"/>
      <c r="C3" s="3045"/>
      <c r="D3" s="46">
        <f>'数据-基础表'!AY6</f>
        <v>11433.6</v>
      </c>
      <c r="E3" s="46">
        <f>'数据-基础表'!AZ5</f>
        <v>47804</v>
      </c>
      <c r="F3" s="1395"/>
      <c r="G3" s="1402"/>
      <c r="H3" s="1250" t="s">
        <v>1908</v>
      </c>
      <c r="I3" s="55">
        <f>ROUND('数据-基础表'!B3/'数据-基础表'!A3,2)</f>
        <v>4.18</v>
      </c>
      <c r="J3" s="1395"/>
      <c r="K3" s="1395"/>
      <c r="L3" s="1395"/>
      <c r="M3" s="1395"/>
      <c r="N3" s="1430"/>
      <c r="O3" s="1395"/>
      <c r="P3" s="1395"/>
    </row>
    <row r="4" spans="1:16" ht="15">
      <c r="A4" s="3046"/>
      <c r="B4" s="3047"/>
      <c r="C4" s="3048"/>
      <c r="D4" s="2233" t="s">
        <v>1909</v>
      </c>
      <c r="E4" s="2234" t="s">
        <v>1910</v>
      </c>
      <c r="F4" s="1395"/>
      <c r="G4" s="2235" t="s">
        <v>1935</v>
      </c>
      <c r="H4" s="1250" t="s">
        <v>1915</v>
      </c>
      <c r="I4" s="55">
        <f>ROUND(SUMIF('数据-基础表'!I9:AS9,"地上",'数据-基础表'!I5:AS5)/'数据-基础表'!A3,2)</f>
        <v>2.5</v>
      </c>
      <c r="J4" s="1395"/>
      <c r="K4" s="1395"/>
      <c r="L4" s="1395"/>
      <c r="M4" s="1395"/>
      <c r="N4" s="1430"/>
      <c r="O4" s="1395"/>
      <c r="P4" s="1395"/>
    </row>
    <row r="5" spans="1:16">
      <c r="A5" s="47" t="s">
        <v>1911</v>
      </c>
      <c r="B5" s="3049" t="s">
        <v>1912</v>
      </c>
      <c r="C5" s="3049"/>
      <c r="D5" s="48">
        <f>ROUND($D$3*E5/$E$3,2)</f>
        <v>0</v>
      </c>
      <c r="E5" s="49">
        <f>SUMIF('数据-基础表'!$11:$11,"住宅",'数据-基础表'!$5:$5)</f>
        <v>0</v>
      </c>
      <c r="F5" s="1395"/>
      <c r="G5" s="1402"/>
      <c r="H5" s="1250" t="s">
        <v>1908</v>
      </c>
      <c r="I5" s="55">
        <f>ROUND(E31/D31,2)</f>
        <v>4.18</v>
      </c>
      <c r="J5" s="1395"/>
      <c r="K5" s="1395"/>
      <c r="L5" s="1395"/>
      <c r="M5" s="1395"/>
      <c r="N5" s="1395"/>
      <c r="O5" s="1395"/>
      <c r="P5" s="1395"/>
    </row>
    <row r="6" spans="1:16" ht="15" thickBot="1">
      <c r="A6" s="2236"/>
      <c r="B6" s="3049" t="s">
        <v>1913</v>
      </c>
      <c r="C6" s="3049"/>
      <c r="D6" s="48">
        <f>ROUND($D$3*E6/$E$3,2)</f>
        <v>11433.6</v>
      </c>
      <c r="E6" s="49">
        <f>E3-E5</f>
        <v>47804</v>
      </c>
      <c r="F6" s="1395"/>
      <c r="G6" s="2237" t="s">
        <v>1914</v>
      </c>
      <c r="H6" s="1402" t="s">
        <v>1915</v>
      </c>
      <c r="I6" s="942">
        <f>ROUND(F31/D31,2)</f>
        <v>2.5</v>
      </c>
      <c r="J6" s="1395"/>
      <c r="K6" s="1395"/>
      <c r="L6" s="1395"/>
      <c r="M6" s="1395"/>
      <c r="N6" s="1395"/>
      <c r="O6" s="1395"/>
      <c r="P6" s="1395"/>
    </row>
    <row r="7" spans="1:16" ht="15">
      <c r="A7" s="3041"/>
      <c r="B7" s="3042"/>
      <c r="C7" s="3043"/>
      <c r="D7" s="2233" t="s">
        <v>1909</v>
      </c>
      <c r="E7" s="2238" t="s">
        <v>1916</v>
      </c>
      <c r="F7" s="1395"/>
      <c r="G7" s="2230" t="s">
        <v>1917</v>
      </c>
      <c r="H7" s="64"/>
      <c r="I7" s="420"/>
      <c r="J7" s="1395"/>
      <c r="K7" s="1395"/>
      <c r="L7" s="1395"/>
      <c r="M7" s="1395"/>
      <c r="N7" s="1395"/>
      <c r="O7" s="1395"/>
      <c r="P7" s="1395"/>
    </row>
    <row r="8" spans="1:16">
      <c r="A8" s="47" t="s">
        <v>1918</v>
      </c>
      <c r="B8" s="50" t="s">
        <v>1919</v>
      </c>
      <c r="C8" s="48" t="s">
        <v>1920</v>
      </c>
      <c r="D8" s="48">
        <f t="shared" ref="D8:D15" si="0">ROUND($D$3*E8/$E$3,2)</f>
        <v>6836.63</v>
      </c>
      <c r="E8" s="51">
        <f>SUMIF('数据-基础表'!BB10:BK10,"地上",'数据-基础表'!BB5:BK5)</f>
        <v>28584</v>
      </c>
      <c r="F8" s="1395"/>
      <c r="G8" s="2239"/>
      <c r="H8" s="2239"/>
      <c r="I8" s="1395"/>
      <c r="J8" s="1395"/>
      <c r="K8" s="1395"/>
      <c r="L8" s="1395"/>
      <c r="M8" s="1395"/>
      <c r="N8" s="1395"/>
      <c r="O8" s="1395"/>
      <c r="P8" s="1395"/>
    </row>
    <row r="9" spans="1:16">
      <c r="A9" s="2240"/>
      <c r="B9" s="2241"/>
      <c r="C9" s="48" t="s">
        <v>1921</v>
      </c>
      <c r="D9" s="48">
        <f t="shared" si="0"/>
        <v>0</v>
      </c>
      <c r="E9" s="52">
        <v>0</v>
      </c>
      <c r="F9" s="1395"/>
      <c r="G9" s="2239"/>
      <c r="H9" s="2239"/>
      <c r="I9" s="1395"/>
      <c r="J9" s="1395"/>
      <c r="K9" s="1395"/>
      <c r="L9" s="1395"/>
      <c r="M9" s="1395"/>
      <c r="N9" s="1395"/>
      <c r="O9" s="1395"/>
      <c r="P9" s="1395"/>
    </row>
    <row r="10" spans="1:16">
      <c r="A10" s="2240"/>
      <c r="B10" s="2241"/>
      <c r="C10" s="48" t="s">
        <v>1930</v>
      </c>
      <c r="D10" s="48">
        <f t="shared" si="0"/>
        <v>4596.97</v>
      </c>
      <c r="E10" s="51">
        <f>SUMPRODUCT(('数据-基础表'!BB10:BK10="地下")*('数据-基础表'!BB11:BK11="商业")*('数据-基础表'!BB5:BK5))</f>
        <v>19220</v>
      </c>
      <c r="F10" s="1395"/>
      <c r="G10" s="2239"/>
      <c r="H10" s="2239"/>
      <c r="I10" s="1395"/>
      <c r="J10" s="1395"/>
      <c r="K10" s="1395"/>
      <c r="L10" s="1395"/>
      <c r="M10" s="1395"/>
      <c r="N10" s="1395"/>
      <c r="O10" s="1395"/>
      <c r="P10" s="1395"/>
    </row>
    <row r="11" spans="1:16">
      <c r="A11" s="2240"/>
      <c r="B11" s="2241"/>
      <c r="C11" s="48" t="s">
        <v>1922</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1923</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1924</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1936</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1931</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1925</v>
      </c>
      <c r="D16" s="50">
        <f>SUM(D8:D15)</f>
        <v>11433.6</v>
      </c>
      <c r="E16" s="53">
        <f>SUM(E8:E15)</f>
        <v>47804</v>
      </c>
      <c r="F16" s="1395"/>
      <c r="G16" s="2239"/>
      <c r="H16" s="2242" t="s">
        <v>1937</v>
      </c>
      <c r="I16" s="2243"/>
      <c r="J16" s="1395"/>
      <c r="K16" s="3038" t="s">
        <v>1937</v>
      </c>
      <c r="L16" s="3039"/>
      <c r="M16" s="3039"/>
      <c r="N16" s="3039"/>
      <c r="O16" s="3039"/>
      <c r="P16" s="3040"/>
    </row>
    <row r="17" spans="1:19" ht="15">
      <c r="A17" s="2244" t="s">
        <v>1938</v>
      </c>
      <c r="B17" s="2245" t="s">
        <v>1939</v>
      </c>
      <c r="C17" s="2246" t="s">
        <v>1940</v>
      </c>
      <c r="D17" s="2247" t="s">
        <v>1928</v>
      </c>
      <c r="E17" s="2248" t="s">
        <v>1929</v>
      </c>
      <c r="F17" s="2249"/>
      <c r="G17" s="2250"/>
      <c r="H17" s="2251" t="s">
        <v>1941</v>
      </c>
      <c r="I17" s="2252" t="s">
        <v>1926</v>
      </c>
      <c r="J17" s="1395"/>
      <c r="K17" s="3035" t="s">
        <v>1942</v>
      </c>
      <c r="L17" s="3036"/>
      <c r="M17" s="3037"/>
      <c r="N17" s="3035" t="s">
        <v>1943</v>
      </c>
      <c r="O17" s="3036"/>
      <c r="P17" s="3037"/>
      <c r="R17" s="2230" t="s">
        <v>1944</v>
      </c>
      <c r="S17" s="64"/>
    </row>
    <row r="18" spans="1:19" ht="15">
      <c r="A18" s="2240"/>
      <c r="B18" s="2253"/>
      <c r="C18" s="2254"/>
      <c r="D18" s="2255"/>
      <c r="E18" s="2256" t="s">
        <v>1945</v>
      </c>
      <c r="F18" s="2257" t="s">
        <v>1946</v>
      </c>
      <c r="G18" s="2258" t="s">
        <v>1947</v>
      </c>
      <c r="H18" s="1265" t="s">
        <v>1948</v>
      </c>
      <c r="I18" s="2259" t="s">
        <v>1949</v>
      </c>
      <c r="J18" s="1395"/>
      <c r="K18" s="1265" t="s">
        <v>1950</v>
      </c>
      <c r="L18" s="2260" t="s">
        <v>1951</v>
      </c>
      <c r="M18" s="1049" t="s">
        <v>1952</v>
      </c>
      <c r="N18" s="1265" t="s">
        <v>1950</v>
      </c>
      <c r="O18" s="2260" t="s">
        <v>1951</v>
      </c>
      <c r="P18" s="1049" t="s">
        <v>1952</v>
      </c>
      <c r="R18" s="1250" t="s">
        <v>1953</v>
      </c>
      <c r="S18" s="1250" t="s">
        <v>1954</v>
      </c>
    </row>
    <row r="19" spans="1:19">
      <c r="A19" s="2261"/>
      <c r="B19" s="50" t="s">
        <v>1927</v>
      </c>
      <c r="C19" s="2262" t="str">
        <f>'数据-基础表'!C13</f>
        <v>酒店和温泉酒店</v>
      </c>
      <c r="D19" s="48">
        <f>ROUND($D$3*E19/$E$3,2)</f>
        <v>11433.6</v>
      </c>
      <c r="E19" s="56">
        <f t="shared" ref="E19:E26" si="1">SUM(F19:G19)</f>
        <v>47804</v>
      </c>
      <c r="F19" s="57">
        <f>'数据-基础表'!I13</f>
        <v>28584</v>
      </c>
      <c r="G19" s="58">
        <f>'数据-基础表'!K13</f>
        <v>19220</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11433.6</v>
      </c>
      <c r="S19" s="1251">
        <f t="shared" si="5"/>
        <v>47804</v>
      </c>
    </row>
    <row r="20" spans="1:19">
      <c r="A20" s="2265"/>
      <c r="B20" s="50" t="s">
        <v>1955</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1955</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1956</v>
      </c>
      <c r="D27" s="1396">
        <f>SUM(D19:D26)</f>
        <v>11433.6</v>
      </c>
      <c r="E27" s="1397">
        <f>IF(SUM(E19:E26)='数据-基础表'!BA5,SUM(E19:E26),IF(F27="地上面积有误","面积有误","地下面积有误"))</f>
        <v>47804</v>
      </c>
      <c r="F27" s="1396">
        <f>IF(SUM(F19:F26)=E8,SUM(F19:F26),"地上面积有误")</f>
        <v>28584</v>
      </c>
      <c r="G27" s="1398">
        <f>SUM(G19:G26)</f>
        <v>19220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11433.6</v>
      </c>
      <c r="S27" s="1250">
        <f>IF(SUM(S19:S26)=$E$3,SUM(S19:S26),SUM(S19:S26)&amp;"误差"&amp;ROUND(SUM(S19:S26)-E3,2))</f>
        <v>47804</v>
      </c>
    </row>
    <row r="28" spans="1:19">
      <c r="A28" s="2265"/>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1957</v>
      </c>
      <c r="C29" s="2269"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1960</v>
      </c>
      <c r="D31" s="729">
        <f>D27+D30</f>
        <v>11433.6</v>
      </c>
      <c r="E31" s="729">
        <f>E27+E30</f>
        <v>47804</v>
      </c>
      <c r="F31" s="730">
        <f>F27+F30</f>
        <v>28584</v>
      </c>
      <c r="G31" s="731">
        <f>G27+G30</f>
        <v>19220</v>
      </c>
      <c r="H31" s="1395"/>
      <c r="I31" s="1395"/>
      <c r="J31" s="1395"/>
      <c r="K31" s="1395"/>
      <c r="L31" s="1395"/>
      <c r="M31" s="1395"/>
      <c r="N31" s="1395"/>
      <c r="O31" s="1395"/>
      <c r="P31" s="1395"/>
    </row>
    <row r="32" spans="1:19">
      <c r="A32" s="2235"/>
      <c r="B32" s="2235" t="s">
        <v>1961</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7" customWidth="1"/>
    <col min="2" max="2" width="12" style="2277" customWidth="1"/>
    <col min="3" max="3" width="13.3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1962</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1963</v>
      </c>
      <c r="B2" s="1269">
        <f>项目基本情况!D3</f>
        <v>43343</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1964</v>
      </c>
      <c r="B4" s="2283"/>
      <c r="C4" s="2284"/>
      <c r="D4" s="2285"/>
      <c r="E4" s="2284" t="s">
        <v>1965</v>
      </c>
      <c r="F4" s="2284"/>
      <c r="G4" s="2284"/>
      <c r="H4" s="2284"/>
      <c r="I4" s="2284"/>
      <c r="J4" s="2286"/>
      <c r="K4" s="2287"/>
      <c r="L4" s="2288"/>
      <c r="M4" s="2284"/>
      <c r="N4" s="2284" t="s">
        <v>1966</v>
      </c>
      <c r="O4" s="2284"/>
      <c r="P4" s="2284"/>
      <c r="Q4" s="2284"/>
      <c r="R4" s="2284"/>
      <c r="S4" s="2286"/>
      <c r="T4" s="2289" t="str">
        <f>'数据-汇总表'!I17</f>
        <v>按面积比例</v>
      </c>
      <c r="U4" s="2283" t="s">
        <v>1967</v>
      </c>
      <c r="V4" s="2284"/>
      <c r="W4" s="2284"/>
      <c r="X4" s="2284"/>
      <c r="Y4" s="2286"/>
      <c r="Z4" s="2246" t="s">
        <v>1968</v>
      </c>
      <c r="AA4" s="2246"/>
      <c r="AB4" s="2246"/>
      <c r="AC4" s="2246"/>
      <c r="AD4" s="2246"/>
      <c r="AE4" s="2244" t="s">
        <v>1969</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1970</v>
      </c>
      <c r="B5" s="2292" t="s">
        <v>1971</v>
      </c>
      <c r="C5" s="2293" t="s">
        <v>1972</v>
      </c>
      <c r="D5" s="2294" t="s">
        <v>1973</v>
      </c>
      <c r="E5" s="1271" t="s">
        <v>1974</v>
      </c>
      <c r="F5" s="2295" t="s">
        <v>1975</v>
      </c>
      <c r="G5" s="1271" t="s">
        <v>1976</v>
      </c>
      <c r="H5" s="1271" t="s">
        <v>1977</v>
      </c>
      <c r="I5" s="1271" t="s">
        <v>1978</v>
      </c>
      <c r="J5" s="2296" t="s">
        <v>1979</v>
      </c>
      <c r="K5" s="2297" t="s">
        <v>1980</v>
      </c>
      <c r="L5" s="2298" t="s">
        <v>1981</v>
      </c>
      <c r="M5" s="2299" t="s">
        <v>1982</v>
      </c>
      <c r="N5" s="2300" t="s">
        <v>1983</v>
      </c>
      <c r="O5" s="2298" t="s">
        <v>1984</v>
      </c>
      <c r="P5" s="2301" t="s">
        <v>1985</v>
      </c>
      <c r="Q5" s="69" t="s">
        <v>1986</v>
      </c>
      <c r="R5" s="2302" t="s">
        <v>1987</v>
      </c>
      <c r="S5" s="2303" t="s">
        <v>1988</v>
      </c>
      <c r="T5" s="2304" t="s">
        <v>1989</v>
      </c>
      <c r="U5" s="1270" t="s">
        <v>1990</v>
      </c>
      <c r="V5" s="1271" t="s">
        <v>1991</v>
      </c>
      <c r="W5" s="1271" t="s">
        <v>1992</v>
      </c>
      <c r="X5" s="71"/>
      <c r="Y5" s="70" t="s">
        <v>1993</v>
      </c>
      <c r="Z5" s="2305" t="s">
        <v>1990</v>
      </c>
      <c r="AA5" s="1271" t="s">
        <v>1991</v>
      </c>
      <c r="AB5" s="1271" t="s">
        <v>1992</v>
      </c>
      <c r="AC5" s="71"/>
      <c r="AD5" s="71" t="s">
        <v>1993</v>
      </c>
      <c r="AE5" s="1270" t="s">
        <v>1994</v>
      </c>
      <c r="AF5" s="1271" t="s">
        <v>1995</v>
      </c>
      <c r="AG5" s="70" t="s">
        <v>1996</v>
      </c>
      <c r="AH5" s="1270" t="s">
        <v>1997</v>
      </c>
      <c r="AI5" s="2305" t="s">
        <v>1998</v>
      </c>
      <c r="AJ5" s="2305" t="s">
        <v>1999</v>
      </c>
      <c r="AK5" s="1271" t="s">
        <v>2000</v>
      </c>
      <c r="AL5" s="1271" t="s">
        <v>2001</v>
      </c>
      <c r="AM5" s="70" t="s">
        <v>2002</v>
      </c>
      <c r="AN5" s="2306" t="s">
        <v>2003</v>
      </c>
      <c r="AO5" s="2076" t="s">
        <v>2004</v>
      </c>
      <c r="AP5" s="1252" t="s">
        <v>2005</v>
      </c>
      <c r="AQ5" s="2307" t="s">
        <v>2006</v>
      </c>
      <c r="AR5" s="2307" t="s">
        <v>2007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酒店和温泉酒店</v>
      </c>
      <c r="B6" s="2309" t="str">
        <f>IF(A6=0,"","经营性")</f>
        <v>经营性</v>
      </c>
      <c r="C6" s="2310" t="s">
        <v>1370</v>
      </c>
      <c r="D6" s="1054">
        <f>SUMIF(项目基本情况!D$12:I$12,C6,项目基本情况!D$14:I$14)</f>
        <v>40</v>
      </c>
      <c r="E6" s="1051">
        <f>IF(B6="","",SUMIF(项目基本情况!D$12:I$12,C6,项目基本情况!D$13:I$13))</f>
        <v>55624</v>
      </c>
      <c r="F6" s="72">
        <f>SUMIF(项目基本情况!D$12:I$12,C6,项目基本情况!D$15:I$15)</f>
        <v>33.64</v>
      </c>
      <c r="G6" s="73">
        <f>IF(ISERROR(ROUND(POWER(1+H6,D6-F6)*(POWER(1+H6,F6)-1)/(POWER(1+H6,D6)-1),3)),0,ROUND(POWER(1+H6,D6-F6)*(POWER(1+H6,F6)-1)/(POWER(1+H6,D6)-1),3))</f>
        <v>0.93300000000000005</v>
      </c>
      <c r="H6" s="802">
        <v>4.4999999999999998E-2</v>
      </c>
      <c r="I6" s="3309">
        <v>0.05</v>
      </c>
      <c r="J6" s="74">
        <v>0.08</v>
      </c>
      <c r="K6" s="1254">
        <f>SUMIF('数据-汇总表'!C$19:C$33,A6,'数据-汇总表'!E$19:E$33)</f>
        <v>47804</v>
      </c>
      <c r="L6" s="803">
        <v>9000</v>
      </c>
      <c r="M6" s="75">
        <f t="shared" ref="M6:M14" si="0">ROUND(K6*L6/10000,0)</f>
        <v>43024</v>
      </c>
      <c r="N6" s="801">
        <v>0.99</v>
      </c>
      <c r="O6" s="75">
        <f>IF($N$5="成新度","——",ROUND(M6*N6,0))</f>
        <v>42594</v>
      </c>
      <c r="P6" s="76">
        <f>IF($N$5="成新度","——",M6-O6)</f>
        <v>430</v>
      </c>
      <c r="Q6" s="804">
        <v>0.25</v>
      </c>
      <c r="R6" s="77">
        <f ca="1">SUMIF('数据-汇总表'!C$19:C$33,A6,'数据-汇总表'!R$19:R$27)</f>
        <v>11433.6</v>
      </c>
      <c r="S6" s="54">
        <f>IF('数据-汇总表'!$I$17="按面积比例",SUMIF('数据-汇总表'!C$19:C$33,A6,'数据-汇总表'!K$19:K$33),SUMIF('数据-汇总表'!C$19:C$33,A6,'数据-汇总表'!N$19:N$33))</f>
        <v>0</v>
      </c>
      <c r="T6" s="1446">
        <f>ROUND($L$14*S6/10000,0)</f>
        <v>0</v>
      </c>
      <c r="U6" s="78">
        <f>酒店收入计算!E26/'数据-汇总表'!E3*10000/365</f>
        <v>3.6582025003925849</v>
      </c>
      <c r="V6" s="79">
        <v>3.5000000000000003E-2</v>
      </c>
      <c r="W6" s="79">
        <v>0</v>
      </c>
      <c r="X6" s="1264"/>
      <c r="Y6" s="80">
        <v>1</v>
      </c>
      <c r="Z6" s="81"/>
      <c r="AA6" s="74">
        <v>0.03</v>
      </c>
      <c r="AB6" s="74"/>
      <c r="AC6" s="1264"/>
      <c r="AD6" s="82">
        <v>1</v>
      </c>
      <c r="AE6" s="1265">
        <f ca="1">IF(AN6="",0,SUMIF(INDIRECT("'"&amp;AN6&amp;"'"&amp;"!E:E"),$AE$5,INDIRECT("'"&amp;AN6&amp;"'"&amp;"!F:F")))</f>
        <v>33.54</v>
      </c>
      <c r="AF6" s="1807"/>
      <c r="AG6" s="147">
        <f>IF(AF6="",0,AE6-AF6)</f>
        <v>0</v>
      </c>
      <c r="AH6" s="83"/>
      <c r="AI6" s="85">
        <v>365</v>
      </c>
      <c r="AJ6" s="86"/>
      <c r="AK6" s="87">
        <v>0.01</v>
      </c>
      <c r="AL6" s="88">
        <v>1E-3</v>
      </c>
      <c r="AM6" s="89">
        <v>0.01</v>
      </c>
      <c r="AN6" s="2311" t="s">
        <v>3061</v>
      </c>
      <c r="AO6" s="55">
        <f ca="1">SUMIF(INDIRECT("'"&amp;AN6&amp;"'"&amp;"!A:A"),"总价",INDIRECT("'"&amp;AN6&amp;"'"&amp;"!B:B"))</f>
        <v>114889</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2008</v>
      </c>
      <c r="B14" s="2309" t="s">
        <v>2009</v>
      </c>
      <c r="C14" s="2314" t="s">
        <v>2008</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2010</v>
      </c>
      <c r="B15" s="2309" t="s">
        <v>2009</v>
      </c>
      <c r="C15" s="2314"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2012</v>
      </c>
      <c r="B16" s="97"/>
      <c r="C16" s="1008"/>
      <c r="D16" s="2316"/>
      <c r="E16" s="97"/>
      <c r="F16" s="97"/>
      <c r="G16" s="98">
        <f>ROUND(SUMPRODUCT(G6:G13,K6:K13)/SUMPRODUCT((G6:G13&gt;0)*(K6:K13)),3)</f>
        <v>0.93300000000000005</v>
      </c>
      <c r="H16" s="99">
        <f>ROUND(SUMPRODUCT(H6:H13,K6:K13)/SUMPRODUCT((H6:H13&gt;0)*(K6:K13)),3)</f>
        <v>4.4999999999999998E-2</v>
      </c>
      <c r="I16" s="100"/>
      <c r="J16" s="100"/>
      <c r="K16" s="101">
        <f>SUM(K6:K15)</f>
        <v>47804</v>
      </c>
      <c r="L16" s="102">
        <f>ROUND(M16*10000/SUM(K6:K14),0)</f>
        <v>9000</v>
      </c>
      <c r="M16" s="102">
        <f>SUM(M6:M14)</f>
        <v>43024</v>
      </c>
      <c r="N16" s="103">
        <f>ROUND(SUMPRODUCT(M6:M14,N6:N14)/M16,3)</f>
        <v>0.99</v>
      </c>
      <c r="O16" s="102">
        <f>SUM(O6:O14)</f>
        <v>42594</v>
      </c>
      <c r="P16" s="102">
        <f>SUM(P6:P14)</f>
        <v>430</v>
      </c>
      <c r="Q16" s="104">
        <f>ROUND(SUMPRODUCT(Q6:Q13,K6:K13)/SUMPRODUCT((Q6:Q13&gt;0)*(K6:K13)),2)</f>
        <v>0.25</v>
      </c>
      <c r="R16" s="1258">
        <f ca="1">SUM(R6:R13)</f>
        <v>11433.6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2014</v>
      </c>
      <c r="B19" s="112">
        <v>0</v>
      </c>
      <c r="C19" s="2279" t="s">
        <v>2015</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2016</v>
      </c>
      <c r="B20" s="113">
        <v>2.5</v>
      </c>
      <c r="C20" s="2279" t="s">
        <v>2017</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2018</v>
      </c>
      <c r="B21" s="113">
        <v>2.4</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2019</v>
      </c>
      <c r="B22" s="114">
        <f>B19+B20</f>
        <v>2.5</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2020</v>
      </c>
      <c r="B23" s="114">
        <f>B19+B21</f>
        <v>2.4</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2021</v>
      </c>
      <c r="B24" s="115">
        <f>B20-B21</f>
        <v>0.10000000000000009</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2022</v>
      </c>
      <c r="B26" s="2322" t="s">
        <v>2023</v>
      </c>
      <c r="C26" s="2323" t="s">
        <v>2024</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2025</v>
      </c>
      <c r="B27" s="116">
        <v>110</v>
      </c>
      <c r="C27" s="1767" t="s">
        <v>2026</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2027</v>
      </c>
      <c r="B28" s="119">
        <v>110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2028</v>
      </c>
      <c r="B29" s="121">
        <v>110</v>
      </c>
      <c r="C29" s="1767" t="s">
        <v>2029</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2030</v>
      </c>
      <c r="B30" s="724">
        <v>170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2031</v>
      </c>
      <c r="B31" s="120">
        <f>B30-B32</f>
        <v>170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2032</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2033</v>
      </c>
      <c r="B33" s="726">
        <v>0.05</v>
      </c>
      <c r="C33" s="1766" t="s">
        <v>2034</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2035</v>
      </c>
      <c r="B34" s="122">
        <v>0.05</v>
      </c>
      <c r="C34" s="1766" t="s">
        <v>2036</v>
      </c>
      <c r="D34" s="2280" t="s">
        <v>2037</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2038</v>
      </c>
      <c r="B35" s="119">
        <v>200</v>
      </c>
      <c r="C35" s="1766" t="s">
        <v>2039</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2040</v>
      </c>
      <c r="B36" s="123">
        <v>1.4999999999999999E-2</v>
      </c>
      <c r="C36" s="1766" t="s">
        <v>2041</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2042</v>
      </c>
      <c r="B37" s="124">
        <v>0.02</v>
      </c>
      <c r="C37" s="1766" t="s">
        <v>2043</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2044</v>
      </c>
      <c r="B38" s="3308">
        <v>0.05</v>
      </c>
      <c r="C38" s="1766" t="s">
        <v>2043</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2045</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2046</v>
      </c>
      <c r="B40" s="1303">
        <f ca="1">存贷款利率!G1</f>
        <v>4.7500000000000001E-2</v>
      </c>
      <c r="C40" s="1766" t="s">
        <v>2047</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2048</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2049</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2050</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2051</v>
      </c>
      <c r="B44" s="128">
        <v>0.05</v>
      </c>
      <c r="C44" s="1766" t="s">
        <v>2052</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2053</v>
      </c>
      <c r="B45" s="126">
        <v>0.03</v>
      </c>
      <c r="C45" s="1767" t="s">
        <v>2054</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2055</v>
      </c>
      <c r="B46" s="126">
        <v>0.02</v>
      </c>
      <c r="C46" s="1767" t="s">
        <v>2056</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2057</v>
      </c>
      <c r="B47" s="129">
        <v>0</v>
      </c>
      <c r="C47" s="1767" t="s">
        <v>2058</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2059</v>
      </c>
      <c r="B48" s="130">
        <v>0.03</v>
      </c>
      <c r="C48" s="1774" t="s">
        <v>2060</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2061</v>
      </c>
      <c r="B49" s="126">
        <v>5.0000000000000001E-4</v>
      </c>
      <c r="C49" s="1774" t="s">
        <v>2062</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2063</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2064</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2065</v>
      </c>
      <c r="B52" s="133">
        <f>SUMIF(A54:A63,B53,B54:B63)</f>
        <v>0</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2066</v>
      </c>
      <c r="B53" s="2338"/>
      <c r="C53" s="1430" t="s">
        <v>2067</v>
      </c>
      <c r="D53" s="2339" t="s">
        <v>2068</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2069</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2070</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2071</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2072</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2073</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2074</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2075</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2076</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2077</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2078</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50" t="s">
        <v>2079</v>
      </c>
      <c r="B1" s="3051"/>
      <c r="C1" s="3051"/>
      <c r="D1" s="3051"/>
      <c r="E1" s="3051"/>
      <c r="F1" s="3051"/>
      <c r="G1" s="3051"/>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2080</v>
      </c>
      <c r="D2" s="2368"/>
      <c r="E2" s="2369"/>
      <c r="F2" s="2288"/>
      <c r="G2" s="2367" t="s">
        <v>2081</v>
      </c>
      <c r="H2" s="2370"/>
      <c r="I2" s="2370"/>
      <c r="J2" s="2370"/>
      <c r="K2" s="2370"/>
      <c r="L2" s="2370"/>
      <c r="M2" s="2370"/>
      <c r="N2" s="2370"/>
      <c r="O2" s="2370"/>
      <c r="P2" s="2370"/>
      <c r="Q2" s="2370"/>
      <c r="R2" s="2370"/>
    </row>
    <row r="3" spans="1:29" ht="54">
      <c r="A3" s="415" t="s">
        <v>2082</v>
      </c>
      <c r="B3" s="1271" t="s">
        <v>2083</v>
      </c>
      <c r="C3" s="2372" t="s">
        <v>2084</v>
      </c>
      <c r="D3" s="2373"/>
      <c r="E3" s="431" t="s">
        <v>2082</v>
      </c>
      <c r="F3" s="2374" t="s">
        <v>2085</v>
      </c>
      <c r="G3" s="2375" t="s">
        <v>2086</v>
      </c>
      <c r="H3" s="2370"/>
      <c r="I3" s="2370"/>
      <c r="J3" s="2370"/>
      <c r="K3" s="2370"/>
      <c r="L3" s="2370"/>
      <c r="M3" s="2370"/>
      <c r="N3" s="2370"/>
      <c r="O3" s="2370"/>
      <c r="P3" s="2370"/>
      <c r="Q3" s="2370"/>
      <c r="R3" s="2370"/>
    </row>
    <row r="4" spans="1:29" ht="41.25">
      <c r="A4" s="431"/>
      <c r="B4" s="1798" t="s">
        <v>2087</v>
      </c>
      <c r="C4" s="2376" t="s">
        <v>2088</v>
      </c>
      <c r="D4" s="2373"/>
      <c r="E4" s="2377"/>
      <c r="F4" s="42" t="s">
        <v>2089</v>
      </c>
      <c r="G4" s="2378" t="s">
        <v>2090</v>
      </c>
      <c r="H4" s="2370"/>
      <c r="I4" s="2370"/>
      <c r="J4" s="2370"/>
      <c r="K4" s="2370"/>
      <c r="L4" s="2370"/>
      <c r="M4" s="2370"/>
      <c r="N4" s="2370"/>
      <c r="O4" s="2370"/>
      <c r="P4" s="2370"/>
      <c r="Q4" s="2370"/>
      <c r="R4" s="2370"/>
    </row>
    <row r="5" spans="1:29" ht="41.25">
      <c r="A5" s="431"/>
      <c r="B5" s="1798" t="s">
        <v>2091</v>
      </c>
      <c r="C5" s="2376" t="s">
        <v>2092</v>
      </c>
      <c r="D5" s="2373"/>
      <c r="E5" s="2377"/>
      <c r="F5" s="1798" t="s">
        <v>2093</v>
      </c>
      <c r="G5" s="2378" t="s">
        <v>2094</v>
      </c>
      <c r="H5" s="2370"/>
      <c r="I5" s="2370"/>
      <c r="J5" s="2370"/>
      <c r="K5" s="2370"/>
      <c r="L5" s="2370"/>
      <c r="M5" s="2370"/>
      <c r="N5" s="2370"/>
      <c r="O5" s="2370"/>
      <c r="P5" s="2370"/>
      <c r="Q5" s="2370"/>
      <c r="R5" s="2370"/>
    </row>
    <row r="6" spans="1:29" ht="54">
      <c r="A6" s="431"/>
      <c r="B6" s="1798" t="s">
        <v>2095</v>
      </c>
      <c r="C6" s="2378" t="s">
        <v>2090</v>
      </c>
      <c r="D6" s="2373"/>
      <c r="E6" s="2377"/>
      <c r="F6" s="1798" t="s">
        <v>2096</v>
      </c>
      <c r="G6" s="2378" t="s">
        <v>2097</v>
      </c>
      <c r="H6" s="2370"/>
      <c r="I6" s="2370"/>
      <c r="J6" s="2370"/>
      <c r="K6" s="2370"/>
      <c r="L6" s="2370"/>
      <c r="M6" s="2370"/>
      <c r="N6" s="2370"/>
      <c r="O6" s="2370"/>
      <c r="P6" s="2370"/>
      <c r="Q6" s="2370"/>
      <c r="R6" s="2370"/>
    </row>
    <row r="7" spans="1:29" ht="41.25" thickBot="1">
      <c r="A7" s="431"/>
      <c r="B7" s="1798" t="s">
        <v>2093</v>
      </c>
      <c r="C7" s="2378" t="s">
        <v>2094</v>
      </c>
      <c r="D7" s="2379"/>
      <c r="E7" s="2380"/>
      <c r="F7" s="2381" t="s">
        <v>2098</v>
      </c>
      <c r="G7" s="2382" t="s">
        <v>2099</v>
      </c>
      <c r="H7" s="2370"/>
      <c r="I7" s="2370"/>
      <c r="J7" s="2370"/>
      <c r="K7" s="2370"/>
      <c r="L7" s="2370"/>
      <c r="M7" s="2370"/>
      <c r="N7" s="2370"/>
      <c r="O7" s="2370"/>
      <c r="P7" s="2370"/>
      <c r="Q7" s="2370"/>
      <c r="R7" s="2370"/>
    </row>
    <row r="8" spans="1:29" ht="27">
      <c r="A8" s="431"/>
      <c r="B8" s="1798" t="s">
        <v>2096</v>
      </c>
      <c r="C8" s="2378" t="s">
        <v>2097</v>
      </c>
      <c r="D8" s="2379"/>
      <c r="E8" s="2379"/>
      <c r="F8" s="1136"/>
      <c r="G8" s="1136"/>
      <c r="H8" s="2370"/>
      <c r="I8" s="2370"/>
      <c r="J8" s="2370"/>
      <c r="K8" s="2370"/>
      <c r="L8" s="2370"/>
      <c r="M8" s="2370"/>
      <c r="N8" s="2370"/>
      <c r="O8" s="2370"/>
      <c r="P8" s="2370"/>
      <c r="Q8" s="2370"/>
      <c r="R8" s="2370"/>
    </row>
    <row r="9" spans="1:29" ht="27">
      <c r="A9" s="431"/>
      <c r="B9" s="1798" t="s">
        <v>2100</v>
      </c>
      <c r="C9" s="2376" t="s">
        <v>2101</v>
      </c>
      <c r="D9" s="2373"/>
      <c r="E9" s="2379"/>
      <c r="F9" s="1136"/>
      <c r="G9" s="1136"/>
      <c r="H9" s="2370"/>
      <c r="I9" s="2370"/>
      <c r="J9" s="2370"/>
      <c r="K9" s="2370"/>
      <c r="L9" s="2370"/>
      <c r="M9" s="2370"/>
      <c r="N9" s="2370"/>
      <c r="O9" s="2370"/>
      <c r="P9" s="2370"/>
      <c r="Q9" s="2370"/>
      <c r="R9" s="2370"/>
    </row>
    <row r="10" spans="1:29" s="117" customFormat="1" ht="15.75" thickBot="1">
      <c r="A10" s="2383"/>
      <c r="B10" s="2384" t="s">
        <v>2102</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2103</v>
      </c>
      <c r="B13" s="2390"/>
      <c r="C13" s="2390"/>
      <c r="D13" s="2397"/>
      <c r="E13" s="2390"/>
      <c r="F13" s="2390"/>
      <c r="G13" s="2390"/>
    </row>
    <row r="14" spans="1:29" ht="15.75" thickBot="1">
      <c r="A14" s="2401"/>
      <c r="B14" s="2402"/>
      <c r="C14" s="2403" t="s">
        <v>2104</v>
      </c>
      <c r="D14" s="2373"/>
      <c r="E14" s="2404"/>
      <c r="F14" s="2404"/>
      <c r="G14" s="2367" t="s">
        <v>2105</v>
      </c>
    </row>
    <row r="15" spans="1:29" ht="57">
      <c r="A15" s="68" t="s">
        <v>2106</v>
      </c>
      <c r="B15" s="1270" t="s">
        <v>2083</v>
      </c>
      <c r="C15" s="2405" t="str">
        <f>C3</f>
        <v>估价对象周边居住用地比例、居住小区规模和社区发展完善程度，综合评价居住社区成熟度一般</v>
      </c>
      <c r="D15" s="2373"/>
      <c r="E15" s="2406" t="s">
        <v>2107</v>
      </c>
      <c r="F15" s="1270" t="s">
        <v>2108</v>
      </c>
      <c r="G15" s="135" t="str">
        <f>G3</f>
        <v>估价对象位于XX开发区，园区建设成熟度XX，产业集聚程度XX</v>
      </c>
    </row>
    <row r="16" spans="1:29" ht="42.75">
      <c r="A16" s="645"/>
      <c r="B16" s="2407" t="s">
        <v>2087</v>
      </c>
      <c r="C16" s="2408" t="str">
        <f>C4</f>
        <v>估价对象位于XX商圈，周边商业氛围成熟，人流量大，商业繁华度好</v>
      </c>
      <c r="D16" s="2373"/>
      <c r="E16" s="2409"/>
      <c r="F16" s="2410" t="s">
        <v>2089</v>
      </c>
      <c r="G16" s="136" t="str">
        <f>G4</f>
        <v>估价对象周边道路状况、公共交通通达情况、停车便捷程度，综合评价交通便捷度较好</v>
      </c>
    </row>
    <row r="17" spans="1:18" ht="42.75">
      <c r="A17" s="645"/>
      <c r="B17" s="2407" t="s">
        <v>2091</v>
      </c>
      <c r="C17" s="2408" t="str">
        <f>C5</f>
        <v>估价对象位于XX商圈，周边办公楼项目较多，入驻率高，办公集聚程度较好</v>
      </c>
      <c r="D17" s="2379"/>
      <c r="E17" s="2409"/>
      <c r="F17" s="2410" t="s">
        <v>2109</v>
      </c>
      <c r="G17" s="1572"/>
    </row>
    <row r="18" spans="1:18" ht="57">
      <c r="A18" s="645"/>
      <c r="B18" s="2410" t="s">
        <v>2095</v>
      </c>
      <c r="C18" s="136" t="str">
        <f>C6</f>
        <v>估价对象周边道路状况、公共交通通达情况、停车便捷程度，综合评价交通便捷度较好</v>
      </c>
      <c r="D18" s="2379"/>
      <c r="E18" s="2409"/>
      <c r="F18" s="2410" t="s">
        <v>2098</v>
      </c>
      <c r="G18" s="136" t="str">
        <f>G7</f>
        <v>该园区内是否有污染型企业，绿化情况，卫生条件，整体环境状况判断</v>
      </c>
    </row>
    <row r="19" spans="1:18" ht="28.5">
      <c r="A19" s="645"/>
      <c r="B19" s="2410" t="s">
        <v>2110</v>
      </c>
      <c r="C19" s="1572"/>
      <c r="D19" s="2373"/>
      <c r="E19" s="2409"/>
      <c r="F19" s="1798" t="s">
        <v>2093</v>
      </c>
      <c r="G19" s="136" t="str">
        <f>G5</f>
        <v>估价对象所在区域公共配套设施齐备情况</v>
      </c>
    </row>
    <row r="20" spans="1:18" ht="28.5">
      <c r="A20" s="645"/>
      <c r="B20" s="2410" t="s">
        <v>2111</v>
      </c>
      <c r="C20" s="2408" t="str">
        <f>C9</f>
        <v>区域自然环境：；人文环境；综合评价环境状况一般</v>
      </c>
      <c r="D20" s="2379"/>
      <c r="E20" s="2409"/>
      <c r="F20" s="1798" t="s">
        <v>2112</v>
      </c>
      <c r="G20" s="136" t="str">
        <f>G6</f>
        <v>估价对象所在区域基础设施水平</v>
      </c>
    </row>
    <row r="21" spans="1:18" ht="28.5">
      <c r="A21" s="645"/>
      <c r="B21" s="1798" t="s">
        <v>2093</v>
      </c>
      <c r="C21" s="136" t="str">
        <f>C7</f>
        <v>估价对象所在区域公共配套设施齐备情况</v>
      </c>
      <c r="D21" s="2373"/>
      <c r="E21" s="2409"/>
      <c r="F21" s="2410" t="s">
        <v>2113</v>
      </c>
      <c r="G21" s="2411"/>
    </row>
    <row r="22" spans="1:18" ht="13.5" customHeight="1">
      <c r="A22" s="645"/>
      <c r="B22" s="1798" t="s">
        <v>2096</v>
      </c>
      <c r="C22" s="136" t="str">
        <f>C8</f>
        <v>估价对象所在区域基础设施水平</v>
      </c>
      <c r="D22" s="2373"/>
      <c r="E22" s="2409"/>
      <c r="F22" s="2410" t="s">
        <v>2102</v>
      </c>
      <c r="G22" s="1572"/>
    </row>
    <row r="23" spans="1:18" s="2370" customFormat="1" ht="15.75" thickBot="1">
      <c r="A23" s="645"/>
      <c r="B23" s="2410" t="s">
        <v>2113</v>
      </c>
      <c r="C23" s="2411"/>
      <c r="D23" s="2398"/>
      <c r="E23" s="2412"/>
      <c r="F23" s="2413" t="s">
        <v>2114</v>
      </c>
      <c r="G23" s="2414"/>
      <c r="H23" s="2398"/>
      <c r="I23" s="2399"/>
      <c r="J23" s="2398"/>
      <c r="K23" s="2398"/>
      <c r="L23" s="2399"/>
      <c r="M23" s="2398"/>
      <c r="N23" s="2398"/>
      <c r="O23" s="2399"/>
      <c r="P23" s="2398"/>
      <c r="Q23" s="2398"/>
      <c r="R23" s="2400"/>
    </row>
    <row r="24" spans="1:18" s="2370" customFormat="1" ht="15.75" thickBot="1">
      <c r="A24" s="2415"/>
      <c r="B24" s="2413" t="s">
        <v>2115</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1358</v>
      </c>
      <c r="B1" s="1746">
        <f>SUM(B14:B23)</f>
        <v>47804</v>
      </c>
      <c r="C1" s="1745"/>
      <c r="D1" s="1745"/>
      <c r="E1" s="1745"/>
      <c r="F1" s="1745"/>
      <c r="G1" s="1743"/>
    </row>
    <row r="2" spans="1:10" ht="16.5">
      <c r="A2" s="1746" t="s">
        <v>1346</v>
      </c>
      <c r="B2" s="1746">
        <f>SUM(C14:C23)</f>
        <v>11433.6</v>
      </c>
      <c r="C2" s="1745"/>
      <c r="D2" s="1745"/>
      <c r="E2" s="1745"/>
      <c r="F2" s="1745"/>
      <c r="G2" s="1743"/>
    </row>
    <row r="3" spans="1:10" ht="16.5">
      <c r="A3" s="1746" t="s">
        <v>1355</v>
      </c>
      <c r="B3" s="1747">
        <f>项目基本情况!D3</f>
        <v>43343</v>
      </c>
      <c r="C3" s="1745"/>
      <c r="D3" s="1745"/>
      <c r="E3" s="1745"/>
      <c r="F3" s="1745"/>
      <c r="G3" s="1743"/>
    </row>
    <row r="4" spans="1:10" ht="33">
      <c r="A4" s="1746" t="s">
        <v>1354</v>
      </c>
      <c r="B4" s="1746" t="s">
        <v>1353</v>
      </c>
      <c r="C4" s="1746" t="s">
        <v>1352</v>
      </c>
      <c r="D4" s="1746" t="s">
        <v>1351</v>
      </c>
      <c r="E4" s="1745"/>
      <c r="F4" s="1743"/>
      <c r="G4" s="1743"/>
    </row>
    <row r="5" spans="1:10" ht="16.5">
      <c r="A5" s="1746" t="s">
        <v>1350</v>
      </c>
      <c r="B5" s="1746">
        <f ca="1">SUM(D14:D23)</f>
        <v>95591</v>
      </c>
      <c r="C5" s="1746">
        <f ca="1">ROUND(B5*10000/$B$1,0)</f>
        <v>19996</v>
      </c>
      <c r="D5" s="1746">
        <f ca="1">ROUND(B5*10000/$B$2,0)</f>
        <v>83605</v>
      </c>
      <c r="E5" s="1745"/>
      <c r="F5" s="1743"/>
      <c r="G5" s="1743"/>
    </row>
    <row r="6" spans="1:10" ht="16.5">
      <c r="A6" s="1746" t="s">
        <v>1349</v>
      </c>
      <c r="B6" s="1746">
        <f ca="1">SUM(G14:G23)</f>
        <v>95591</v>
      </c>
      <c r="C6" s="1746">
        <f ca="1">ROUND(B6*10000/$B$1,0)</f>
        <v>19996</v>
      </c>
      <c r="D6" s="1746">
        <f ca="1">ROUND(B6*10000/$B$2,0)</f>
        <v>83605</v>
      </c>
      <c r="E6" s="1745"/>
      <c r="F6" s="1743"/>
      <c r="G6" s="1743"/>
    </row>
    <row r="7" spans="1:10" ht="16.5">
      <c r="A7" s="1746" t="s">
        <v>1357</v>
      </c>
      <c r="B7" s="1746">
        <f>SUM(H14:H23)</f>
        <v>0</v>
      </c>
      <c r="C7" s="1746">
        <f>ROUND(B7*10000/$B$1,0)</f>
        <v>0</v>
      </c>
      <c r="D7" s="1746">
        <f>ROUND(B7*10000/$B$2,0)</f>
        <v>0</v>
      </c>
      <c r="E7" s="1745"/>
      <c r="F7" s="1743"/>
      <c r="G7" s="1743"/>
    </row>
    <row r="8" spans="1:10" ht="16.5">
      <c r="A8" s="1746" t="s">
        <v>1278</v>
      </c>
      <c r="B8" s="1746">
        <f>SUM(I14:I23)</f>
        <v>0</v>
      </c>
      <c r="C8" s="1746">
        <f>ROUND(B8*10000/$B$1,0)</f>
        <v>0</v>
      </c>
      <c r="D8" s="1746">
        <f>ROUND(B8*10000/$B$2,0)</f>
        <v>0</v>
      </c>
      <c r="E8" s="1745"/>
      <c r="F8" s="1743"/>
      <c r="G8" s="1743"/>
    </row>
    <row r="9" spans="1:10" ht="16.5">
      <c r="A9" s="1746" t="s">
        <v>1348</v>
      </c>
      <c r="B9" s="1748"/>
      <c r="C9" s="1745"/>
      <c r="D9" s="1745"/>
      <c r="E9" s="1745"/>
      <c r="F9" s="1743"/>
      <c r="G9" s="1743"/>
    </row>
    <row r="10" spans="1:10" ht="16.5">
      <c r="A10" s="1746" t="s">
        <v>1347</v>
      </c>
      <c r="B10" s="1748"/>
      <c r="C10" s="1745"/>
      <c r="D10" s="1745"/>
      <c r="E10" s="1745"/>
      <c r="F10" s="1743"/>
      <c r="G10" s="1743"/>
    </row>
    <row r="11" spans="1:10" ht="16.5">
      <c r="A11" s="1746" t="s">
        <v>1363</v>
      </c>
      <c r="B11" s="1748"/>
      <c r="C11" s="1745"/>
      <c r="D11" s="1745"/>
      <c r="E11" s="1745"/>
      <c r="F11" s="1743"/>
      <c r="G11" s="1743"/>
    </row>
    <row r="12" spans="1:10" ht="16.5">
      <c r="A12" s="1745"/>
      <c r="B12" s="1745"/>
      <c r="C12" s="1745"/>
      <c r="D12" s="1745"/>
      <c r="E12" s="1745"/>
      <c r="F12" s="1743"/>
      <c r="G12" s="1743"/>
    </row>
    <row r="13" spans="1:10" ht="33">
      <c r="A13" s="1751" t="s">
        <v>1362</v>
      </c>
      <c r="B13" s="1744" t="s">
        <v>1359</v>
      </c>
      <c r="C13" s="1744" t="s">
        <v>1361</v>
      </c>
      <c r="D13" s="1744" t="s">
        <v>1360</v>
      </c>
      <c r="E13" s="1746" t="s">
        <v>1352</v>
      </c>
      <c r="F13" s="1746" t="s">
        <v>1351</v>
      </c>
      <c r="G13" s="1744" t="s">
        <v>1345</v>
      </c>
      <c r="H13" s="1744" t="s">
        <v>1356</v>
      </c>
      <c r="I13" s="1744" t="s">
        <v>1344</v>
      </c>
      <c r="J13" s="1743"/>
    </row>
    <row r="14" spans="1:10" ht="16.5">
      <c r="A14" s="1742" t="s">
        <v>1343</v>
      </c>
      <c r="B14" s="1744">
        <f>结果表!B118</f>
        <v>47804</v>
      </c>
      <c r="C14" s="1744">
        <f>结果表!C118</f>
        <v>11433.6</v>
      </c>
      <c r="D14" s="1744">
        <f ca="1">结果表!H118</f>
        <v>95591</v>
      </c>
      <c r="E14" s="1744">
        <f ca="1">ROUND(D14*10000/B14,0)</f>
        <v>19996</v>
      </c>
      <c r="F14" s="1744">
        <f ca="1">ROUND(D14*10000/C14,0)</f>
        <v>83605</v>
      </c>
      <c r="G14" s="1744">
        <f ca="1">结果表!D122</f>
        <v>95591</v>
      </c>
      <c r="H14" s="1744" t="str">
        <f>结果表!D124</f>
        <v>——</v>
      </c>
      <c r="I14" s="1744" t="str">
        <f>结果表!D126</f>
        <v>——</v>
      </c>
      <c r="J14" s="1743"/>
    </row>
    <row r="15" spans="1:10" ht="16.5">
      <c r="A15" s="1742" t="s">
        <v>1342</v>
      </c>
      <c r="B15" s="1749"/>
      <c r="C15" s="1749"/>
      <c r="D15" s="1749"/>
      <c r="E15" s="1744" t="e">
        <f t="shared" ref="E15:E23" si="0">ROUND(D15*10000/B15,0)</f>
        <v>#DIV/0!</v>
      </c>
      <c r="F15" s="1744" t="e">
        <f t="shared" ref="F15:F23" si="1">ROUND(D15*10000/C15,0)</f>
        <v>#DIV/0!</v>
      </c>
      <c r="G15" s="1750"/>
      <c r="H15" s="1750"/>
      <c r="I15" s="1749"/>
      <c r="J15" s="1743"/>
    </row>
    <row r="16" spans="1:10" ht="16.5">
      <c r="A16" s="1742" t="s">
        <v>1341</v>
      </c>
      <c r="B16" s="1749"/>
      <c r="C16" s="1749"/>
      <c r="D16" s="1749"/>
      <c r="E16" s="1744" t="e">
        <f t="shared" si="0"/>
        <v>#DIV/0!</v>
      </c>
      <c r="F16" s="1744" t="e">
        <f t="shared" si="1"/>
        <v>#DIV/0!</v>
      </c>
      <c r="G16" s="1750"/>
      <c r="H16" s="1750"/>
      <c r="I16" s="1749"/>
    </row>
    <row r="17" spans="1:9" ht="16.5">
      <c r="A17" s="1742" t="s">
        <v>1340</v>
      </c>
      <c r="B17" s="1749"/>
      <c r="C17" s="1749"/>
      <c r="D17" s="1749"/>
      <c r="E17" s="1744" t="e">
        <f t="shared" si="0"/>
        <v>#DIV/0!</v>
      </c>
      <c r="F17" s="1744" t="e">
        <f t="shared" si="1"/>
        <v>#DIV/0!</v>
      </c>
      <c r="G17" s="1750"/>
      <c r="H17" s="1750"/>
      <c r="I17" s="1749"/>
    </row>
    <row r="18" spans="1:9" ht="16.5">
      <c r="A18" s="1742" t="s">
        <v>1339</v>
      </c>
      <c r="B18" s="1749"/>
      <c r="C18" s="1749"/>
      <c r="D18" s="1749"/>
      <c r="E18" s="1744" t="e">
        <f t="shared" si="0"/>
        <v>#DIV/0!</v>
      </c>
      <c r="F18" s="1744" t="e">
        <f t="shared" si="1"/>
        <v>#DIV/0!</v>
      </c>
      <c r="G18" s="1749"/>
      <c r="H18" s="1749"/>
      <c r="I18" s="1749"/>
    </row>
    <row r="19" spans="1:9" ht="16.5">
      <c r="A19" s="1742" t="s">
        <v>1338</v>
      </c>
      <c r="B19" s="1749"/>
      <c r="C19" s="1749"/>
      <c r="D19" s="1749"/>
      <c r="E19" s="1744" t="e">
        <f t="shared" si="0"/>
        <v>#DIV/0!</v>
      </c>
      <c r="F19" s="1744" t="e">
        <f t="shared" si="1"/>
        <v>#DIV/0!</v>
      </c>
      <c r="G19" s="1749"/>
      <c r="H19" s="1749"/>
      <c r="I19" s="1749"/>
    </row>
    <row r="20" spans="1:9" ht="16.5">
      <c r="A20" s="1742" t="s">
        <v>1337</v>
      </c>
      <c r="B20" s="1749"/>
      <c r="C20" s="1749"/>
      <c r="D20" s="1749"/>
      <c r="E20" s="1744" t="e">
        <f t="shared" si="0"/>
        <v>#DIV/0!</v>
      </c>
      <c r="F20" s="1744" t="e">
        <f t="shared" si="1"/>
        <v>#DIV/0!</v>
      </c>
      <c r="G20" s="1749"/>
      <c r="H20" s="1749"/>
      <c r="I20" s="1749"/>
    </row>
    <row r="21" spans="1:9" ht="16.5">
      <c r="A21" s="1742" t="s">
        <v>1336</v>
      </c>
      <c r="B21" s="1749"/>
      <c r="C21" s="1749"/>
      <c r="D21" s="1749"/>
      <c r="E21" s="1744" t="e">
        <f t="shared" si="0"/>
        <v>#DIV/0!</v>
      </c>
      <c r="F21" s="1744" t="e">
        <f t="shared" si="1"/>
        <v>#DIV/0!</v>
      </c>
      <c r="G21" s="1749"/>
      <c r="H21" s="1749"/>
      <c r="I21" s="1749"/>
    </row>
    <row r="22" spans="1:9" ht="16.5">
      <c r="A22" s="1742" t="s">
        <v>1335</v>
      </c>
      <c r="B22" s="1749"/>
      <c r="C22" s="1749"/>
      <c r="D22" s="1749"/>
      <c r="E22" s="1744" t="e">
        <f t="shared" si="0"/>
        <v>#DIV/0!</v>
      </c>
      <c r="F22" s="1744" t="e">
        <f t="shared" si="1"/>
        <v>#DIV/0!</v>
      </c>
      <c r="G22" s="1749"/>
      <c r="H22" s="1749"/>
      <c r="I22" s="1749"/>
    </row>
    <row r="23" spans="1:9" ht="16.5">
      <c r="A23" s="1742" t="s">
        <v>1334</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2116</v>
      </c>
      <c r="B1" s="2421"/>
      <c r="C1" s="2422"/>
      <c r="D1" s="2421"/>
      <c r="E1" s="2421"/>
      <c r="F1" s="2423" t="s">
        <v>2117</v>
      </c>
      <c r="G1" s="2072" t="s">
        <v>2118</v>
      </c>
      <c r="H1" s="2424" t="str">
        <f>IF(G1="现房","——","估价对象范围")</f>
        <v>估价对象范围</v>
      </c>
      <c r="I1" s="2425"/>
    </row>
    <row r="2" spans="1:12" ht="21.75" customHeight="1" thickBot="1">
      <c r="A2" s="3124" t="str">
        <f>项目基本情况!S2</f>
        <v>北京市出让国有建设用地使用权及在建建筑物房地产</v>
      </c>
      <c r="B2" s="3125"/>
      <c r="C2" s="3125"/>
      <c r="D2" s="3125"/>
      <c r="E2" s="3125"/>
      <c r="F2" s="3125"/>
      <c r="G2" s="3125"/>
      <c r="H2" s="3125"/>
      <c r="I2" s="3126"/>
    </row>
    <row r="3" spans="1:12" ht="12.75">
      <c r="A3" s="3127" t="s">
        <v>2119</v>
      </c>
      <c r="B3" s="3128"/>
      <c r="C3" s="3128"/>
      <c r="D3" s="3128"/>
      <c r="E3" s="3128"/>
      <c r="F3" s="3128"/>
      <c r="G3" s="3128"/>
      <c r="H3" s="3128"/>
      <c r="I3" s="3128"/>
    </row>
    <row r="4" spans="1:12" ht="14.25">
      <c r="A4" s="2428" t="s">
        <v>2120</v>
      </c>
      <c r="B4" s="2429" t="s">
        <v>2121</v>
      </c>
      <c r="C4" s="2430" t="s">
        <v>3065</v>
      </c>
      <c r="D4" s="2430" t="s">
        <v>3066</v>
      </c>
      <c r="E4" s="3108" t="s">
        <v>2122</v>
      </c>
      <c r="F4" s="3121"/>
      <c r="G4" s="3121"/>
      <c r="H4" s="3121"/>
      <c r="I4" s="310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假设开发法</v>
      </c>
    </row>
    <row r="5" spans="1:12" ht="12.75">
      <c r="A5" s="3099" t="s">
        <v>2123</v>
      </c>
      <c r="B5" s="3025">
        <v>25</v>
      </c>
      <c r="C5" s="3129"/>
      <c r="D5" s="3117"/>
      <c r="E5" s="140" t="s">
        <v>2124</v>
      </c>
      <c r="F5" s="2432"/>
      <c r="G5" s="2432"/>
      <c r="H5" s="2432"/>
      <c r="I5" s="1834"/>
    </row>
    <row r="6" spans="1:12" ht="12.75">
      <c r="A6" s="3099"/>
      <c r="B6" s="3025"/>
      <c r="C6" s="3131"/>
      <c r="D6" s="3117"/>
      <c r="E6" s="140" t="s">
        <v>2125</v>
      </c>
      <c r="F6" s="2432"/>
      <c r="G6" s="2432"/>
      <c r="H6" s="2432"/>
      <c r="I6" s="1834"/>
    </row>
    <row r="7" spans="1:12" ht="12.75">
      <c r="A7" s="3099"/>
      <c r="B7" s="3025"/>
      <c r="C7" s="3130"/>
      <c r="D7" s="3117"/>
      <c r="E7" s="140" t="s">
        <v>2126</v>
      </c>
      <c r="F7" s="2432"/>
      <c r="G7" s="2432"/>
      <c r="H7" s="2432"/>
      <c r="I7" s="1834"/>
    </row>
    <row r="8" spans="1:12" ht="12.75">
      <c r="A8" s="3099" t="s">
        <v>2127</v>
      </c>
      <c r="B8" s="3025">
        <v>15</v>
      </c>
      <c r="C8" s="3129"/>
      <c r="D8" s="3117"/>
      <c r="E8" s="140" t="s">
        <v>2128</v>
      </c>
      <c r="F8" s="2432"/>
      <c r="G8" s="2432"/>
      <c r="H8" s="2432"/>
      <c r="I8" s="1834"/>
    </row>
    <row r="9" spans="1:12" ht="12.75">
      <c r="A9" s="3099"/>
      <c r="B9" s="3025"/>
      <c r="C9" s="3130"/>
      <c r="D9" s="3117"/>
      <c r="E9" s="140" t="s">
        <v>2129</v>
      </c>
      <c r="F9" s="2432"/>
      <c r="G9" s="2432"/>
      <c r="H9" s="2432"/>
      <c r="I9" s="1834"/>
    </row>
    <row r="10" spans="1:12" ht="12.75">
      <c r="A10" s="3099" t="s">
        <v>2130</v>
      </c>
      <c r="B10" s="3025">
        <v>15</v>
      </c>
      <c r="C10" s="3129"/>
      <c r="D10" s="3117"/>
      <c r="E10" s="140" t="s">
        <v>2131</v>
      </c>
      <c r="F10" s="2432"/>
      <c r="G10" s="2432"/>
      <c r="H10" s="2432"/>
      <c r="I10" s="1834"/>
    </row>
    <row r="11" spans="1:12" ht="12.75">
      <c r="A11" s="3099"/>
      <c r="B11" s="3025"/>
      <c r="C11" s="3130"/>
      <c r="D11" s="3117"/>
      <c r="E11" s="140" t="s">
        <v>2132</v>
      </c>
      <c r="F11" s="2432"/>
      <c r="G11" s="2432"/>
      <c r="H11" s="2432"/>
      <c r="I11" s="1834"/>
    </row>
    <row r="12" spans="1:12" ht="12.75">
      <c r="A12" s="3099" t="s">
        <v>2133</v>
      </c>
      <c r="B12" s="3025">
        <v>15</v>
      </c>
      <c r="C12" s="3129"/>
      <c r="D12" s="3117"/>
      <c r="E12" s="140" t="s">
        <v>2134</v>
      </c>
      <c r="F12" s="2432"/>
      <c r="G12" s="2432"/>
      <c r="H12" s="2432"/>
      <c r="I12" s="1834"/>
    </row>
    <row r="13" spans="1:12" ht="12.75">
      <c r="A13" s="3099"/>
      <c r="B13" s="3025"/>
      <c r="C13" s="3130"/>
      <c r="D13" s="3117"/>
      <c r="E13" s="140" t="s">
        <v>2135</v>
      </c>
      <c r="F13" s="2432"/>
      <c r="G13" s="2432"/>
      <c r="H13" s="2432"/>
      <c r="I13" s="1834"/>
    </row>
    <row r="14" spans="1:12" ht="12.75">
      <c r="A14" s="3099" t="s">
        <v>2136</v>
      </c>
      <c r="B14" s="3025">
        <v>30</v>
      </c>
      <c r="C14" s="3129">
        <v>5</v>
      </c>
      <c r="D14" s="3117">
        <v>5</v>
      </c>
      <c r="E14" s="140" t="s">
        <v>2137</v>
      </c>
      <c r="F14" s="2432"/>
      <c r="G14" s="2432"/>
      <c r="H14" s="2432"/>
      <c r="I14" s="1834"/>
    </row>
    <row r="15" spans="1:12" ht="12.75">
      <c r="A15" s="3099"/>
      <c r="B15" s="3025"/>
      <c r="C15" s="3131"/>
      <c r="D15" s="3117"/>
      <c r="E15" s="140" t="s">
        <v>2138</v>
      </c>
      <c r="F15" s="2432"/>
      <c r="G15" s="2432"/>
      <c r="H15" s="2432"/>
      <c r="I15" s="1834"/>
    </row>
    <row r="16" spans="1:12" ht="12.75">
      <c r="A16" s="3099"/>
      <c r="B16" s="3025"/>
      <c r="C16" s="3130"/>
      <c r="D16" s="3117"/>
      <c r="E16" s="140" t="s">
        <v>2139</v>
      </c>
      <c r="F16" s="2432"/>
      <c r="G16" s="2432"/>
      <c r="H16" s="2432"/>
      <c r="I16" s="1834"/>
    </row>
    <row r="17" spans="1:35" ht="15">
      <c r="A17" s="2433" t="s">
        <v>2140</v>
      </c>
      <c r="B17" s="64"/>
      <c r="C17" s="141">
        <f>SUM(C5:C16)</f>
        <v>5</v>
      </c>
      <c r="D17" s="141">
        <f>SUM(D5:D16)</f>
        <v>5</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47804</v>
      </c>
      <c r="M18" s="2431">
        <f>IF(C1="",'数据-汇总表'!E3,SUMIF(项目类型,C1,'数据-汇总表'!E17:E26))</f>
        <v>47804</v>
      </c>
    </row>
    <row r="19" spans="1:35" ht="15">
      <c r="A19" s="2437" t="s">
        <v>2145</v>
      </c>
      <c r="B19" s="2438" t="s">
        <v>2146</v>
      </c>
      <c r="C19" s="143">
        <f ca="1">SUMIF(INDIRECT("'"&amp;C4&amp;"'"&amp;"!A:A"),结果表!B19,INDIRECT("'"&amp;C4&amp;"'"&amp;"!B:B"))</f>
        <v>88195</v>
      </c>
      <c r="D19" s="144">
        <f ca="1">SUMIF(INDIRECT("'"&amp;D4&amp;"'"&amp;"!A:A"),结果表!B19,INDIRECT("'"&amp;D4&amp;"'"&amp;"!B:B"))</f>
        <v>102987</v>
      </c>
      <c r="E19" s="2437" t="s">
        <v>2147</v>
      </c>
      <c r="F19" s="2438" t="s">
        <v>2146</v>
      </c>
      <c r="G19" s="145">
        <f ca="1">ROUND(C19*$C$18+D19*$D$18,0)</f>
        <v>95591</v>
      </c>
      <c r="H19" s="2439" t="s">
        <v>2148</v>
      </c>
      <c r="I19" s="138"/>
      <c r="K19" s="2431" t="s">
        <v>2149</v>
      </c>
      <c r="L19" s="2431">
        <f>IF(C1="",'数据-汇总表'!D3,SUMIF(项目类型,C1,'数据-汇总表'!D17:D26)+SUMIF(项目类型,C1,'数据-汇总表'!H17:H27))</f>
        <v>11433.6</v>
      </c>
      <c r="M19" s="2431">
        <f>IF(C1="",'数据-汇总表'!D3,SUMIF(项目类型,C1,'数据-汇总表'!D17:D26))</f>
        <v>11433.6</v>
      </c>
    </row>
    <row r="20" spans="1:35" ht="15">
      <c r="A20" s="2440"/>
      <c r="B20" s="1250" t="s">
        <v>2150</v>
      </c>
      <c r="C20" s="146">
        <f ca="1">SUMIF(INDIRECT("'"&amp;C4&amp;"'"&amp;"!A:A"),结果表!B20,INDIRECT("'"&amp;C4&amp;"'"&amp;"!B:B"))</f>
        <v>18449</v>
      </c>
      <c r="D20" s="147">
        <f ca="1">SUMIF(INDIRECT("'"&amp;D4&amp;"'"&amp;"!A:A"),结果表!B20,INDIRECT("'"&amp;D4&amp;"'"&amp;"!B:B"))</f>
        <v>21544</v>
      </c>
      <c r="E20" s="2440"/>
      <c r="F20" s="1250" t="s">
        <v>2150</v>
      </c>
      <c r="G20" s="148">
        <f ca="1">ROUND(C20*$C$18+D20*$D$18,0)</f>
        <v>19997</v>
      </c>
      <c r="H20" s="983" t="s">
        <v>2151</v>
      </c>
      <c r="I20" s="138"/>
    </row>
    <row r="21" spans="1:35" ht="15" customHeight="1" thickBot="1">
      <c r="A21" s="1003"/>
      <c r="B21" s="2441" t="s">
        <v>2152</v>
      </c>
      <c r="C21" s="789">
        <f ca="1">ROUND(C19*10000/L19,0)</f>
        <v>77137</v>
      </c>
      <c r="D21" s="790">
        <f ca="1">ROUND(D19*10000/L19,0)</f>
        <v>90074</v>
      </c>
      <c r="E21" s="1003"/>
      <c r="F21" s="2441" t="s">
        <v>2152</v>
      </c>
      <c r="G21" s="149">
        <f ca="1">ROUND(G19*10000/L19,0)</f>
        <v>83605</v>
      </c>
      <c r="H21" s="2442" t="s">
        <v>2151</v>
      </c>
      <c r="I21" s="138"/>
    </row>
    <row r="22" spans="1:35" ht="15" thickBot="1">
      <c r="A22" s="2283" t="s">
        <v>2153</v>
      </c>
      <c r="B22" s="2443"/>
      <c r="C22" s="2444"/>
      <c r="D22" s="791">
        <f ca="1">IF(C19&lt;D19,D19/C19-1,C19/D19-1)</f>
        <v>0.16771925846136404</v>
      </c>
      <c r="E22" s="138"/>
      <c r="F22" s="138"/>
      <c r="G22" s="138"/>
      <c r="H22" s="138"/>
      <c r="I22" s="138"/>
    </row>
    <row r="23" spans="1:35" ht="13.5" thickBot="1">
      <c r="A23" s="2421"/>
      <c r="B23" s="2421"/>
      <c r="C23" s="2421"/>
      <c r="D23" s="2421"/>
      <c r="E23" s="138"/>
      <c r="F23" s="138"/>
      <c r="G23" s="138"/>
      <c r="H23" s="138"/>
      <c r="I23" s="138"/>
    </row>
    <row r="24" spans="1:35" ht="14.25">
      <c r="A24" s="3138" t="s">
        <v>2154</v>
      </c>
      <c r="B24" s="2438" t="s">
        <v>2146</v>
      </c>
      <c r="C24" s="145">
        <f>IF(B30=0,0,D30)</f>
        <v>0</v>
      </c>
      <c r="D24" s="2445"/>
      <c r="E24" s="138"/>
      <c r="F24" s="138"/>
      <c r="G24" s="138"/>
      <c r="H24" s="138"/>
      <c r="I24" s="138"/>
    </row>
    <row r="25" spans="1:35" ht="14.25">
      <c r="A25" s="3139"/>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30" t="s">
        <v>3037</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95591</v>
      </c>
      <c r="D32" s="2452" t="s">
        <v>2161</v>
      </c>
      <c r="E32" s="138"/>
      <c r="F32" s="138"/>
      <c r="G32" s="138"/>
      <c r="H32" s="138"/>
      <c r="I32" s="138"/>
    </row>
    <row r="33" spans="1:15" ht="15">
      <c r="A33" s="960" t="s">
        <v>2162</v>
      </c>
      <c r="B33" s="2453"/>
      <c r="C33" s="2454" t="s">
        <v>3176</v>
      </c>
      <c r="D33" s="2455" t="s">
        <v>3065</v>
      </c>
      <c r="E33" s="2456" t="s">
        <v>2163</v>
      </c>
      <c r="F33" s="2457" t="str">
        <f>IF(D32="楼面单价","取值（单价）","取值（总价）")</f>
        <v>取值（总价）</v>
      </c>
      <c r="G33" s="138"/>
      <c r="H33" s="138"/>
      <c r="I33" s="138"/>
    </row>
    <row r="34" spans="1:15" ht="15">
      <c r="A34" s="2458"/>
      <c r="B34" s="2459" t="s">
        <v>2164</v>
      </c>
      <c r="C34" s="157">
        <f ca="1">IF(C33="自定义",F34,C32-C35)</f>
        <v>19692</v>
      </c>
      <c r="D34" s="1058">
        <f ca="1">IF(C33="自定义",ROUND(C34/C32,3),IF(C33="收益比率",SUMIF(INDIRECT("'"&amp;D33&amp;"'"&amp;"!b:b"),"土地收益比率",INDIRECT("'"&amp;D33&amp;"'"&amp;"!c:c")),SUMIF(INDIRECT("'"&amp;D33&amp;"'"&amp;"!b:b"),"土地成本比率",INDIRECT("'"&amp;D33&amp;"'"&amp;"!c:c"))))</f>
        <v>0.20599999999999996</v>
      </c>
      <c r="E34" s="2460" t="s">
        <v>2165</v>
      </c>
      <c r="F34" s="1739"/>
      <c r="G34" s="138"/>
      <c r="H34" s="138"/>
      <c r="I34" s="138"/>
    </row>
    <row r="35" spans="1:15" ht="15.75" thickBot="1">
      <c r="A35" s="2461"/>
      <c r="B35" s="2462" t="s">
        <v>2166</v>
      </c>
      <c r="C35" s="1444">
        <f ca="1">IF(C33="自定义",F35,ROUND(C32*D35,0))</f>
        <v>75899</v>
      </c>
      <c r="D35" s="1445">
        <f ca="1">IF(C33="自定义",ROUND(C35/C32,3),IF(C33="收益比率",SUMIF(INDIRECT("'"&amp;D33&amp;"'"&amp;"!b:b"),"建筑物收益比率",INDIRECT("'"&amp;D33&amp;"'"&amp;"!c:c")),SUMIF(INDIRECT("'"&amp;D33&amp;"'"&amp;"!b:b"),"建筑物成本比率",INDIRECT("'"&amp;D33&amp;"'"&amp;"!c:c"))))</f>
        <v>0.79400000000000004</v>
      </c>
      <c r="E35" s="2463" t="s">
        <v>2167</v>
      </c>
      <c r="F35" s="163"/>
      <c r="G35" s="138"/>
      <c r="H35" s="138"/>
      <c r="I35" s="138"/>
    </row>
    <row r="36" spans="1:15" ht="15.75" thickBot="1">
      <c r="A36" s="3118" t="s">
        <v>2168</v>
      </c>
      <c r="B36" s="2464" t="s">
        <v>2169</v>
      </c>
      <c r="C36" s="154"/>
      <c r="D36" s="2465"/>
      <c r="E36" s="2466"/>
      <c r="F36" s="2467"/>
      <c r="G36" s="138"/>
      <c r="H36" s="138"/>
      <c r="I36" s="138"/>
    </row>
    <row r="37" spans="1:15" ht="15.75" thickBot="1">
      <c r="A37" s="3119"/>
      <c r="B37" s="2269" t="s">
        <v>2170</v>
      </c>
      <c r="C37" s="156"/>
      <c r="D37" s="1395"/>
      <c r="E37" s="1395"/>
      <c r="F37" s="2467"/>
      <c r="G37" s="138"/>
      <c r="H37" s="138"/>
      <c r="I37" s="138"/>
    </row>
    <row r="38" spans="1:15" ht="15.75" thickBot="1">
      <c r="A38" s="3120"/>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35" t="s">
        <v>2182</v>
      </c>
      <c r="B45" s="3136"/>
      <c r="C45" s="3137"/>
      <c r="D45" s="164">
        <f ca="1">ROUND(H101*F45,0)</f>
        <v>95591</v>
      </c>
      <c r="E45" s="165" t="s">
        <v>2183</v>
      </c>
      <c r="F45" s="166">
        <v>1</v>
      </c>
      <c r="G45" s="167" t="s">
        <v>2184</v>
      </c>
      <c r="H45" s="138"/>
      <c r="I45" s="138"/>
      <c r="J45" s="3054" t="s">
        <v>2185</v>
      </c>
      <c r="K45" s="3054"/>
      <c r="L45" s="3054"/>
      <c r="M45" s="3054"/>
      <c r="N45" s="3054"/>
      <c r="O45" s="3054"/>
    </row>
    <row r="46" spans="1:15" ht="14.25" customHeight="1">
      <c r="A46" s="3132" t="s">
        <v>2186</v>
      </c>
      <c r="B46" s="3133"/>
      <c r="C46" s="3133"/>
      <c r="D46" s="3133"/>
      <c r="E46" s="3133"/>
      <c r="F46" s="3133"/>
      <c r="G46" s="3134"/>
      <c r="H46" s="2483"/>
      <c r="I46" s="168"/>
      <c r="J46" s="1812">
        <v>1</v>
      </c>
      <c r="K46" s="3054" t="s">
        <v>2187</v>
      </c>
      <c r="L46" s="3054"/>
      <c r="M46" s="3055"/>
      <c r="N46" s="3055"/>
      <c r="O46" s="3055"/>
    </row>
    <row r="47" spans="1:15" ht="12" customHeight="1">
      <c r="A47" s="169" t="s">
        <v>2188</v>
      </c>
      <c r="B47" s="170"/>
      <c r="C47" s="171"/>
      <c r="D47" s="172" t="s">
        <v>2189</v>
      </c>
      <c r="E47" s="24" t="s">
        <v>2190</v>
      </c>
      <c r="F47" s="173" t="s">
        <v>2191</v>
      </c>
      <c r="G47" s="174" t="s">
        <v>2192</v>
      </c>
      <c r="H47" s="2483"/>
      <c r="I47" s="168"/>
      <c r="J47" s="1812">
        <v>2</v>
      </c>
      <c r="K47" s="3054" t="s">
        <v>2193</v>
      </c>
      <c r="L47" s="3054"/>
      <c r="M47" s="3056">
        <f>'数据-取费表'!B2</f>
        <v>43343</v>
      </c>
      <c r="N47" s="3056"/>
      <c r="O47" s="3056"/>
    </row>
    <row r="48" spans="1:15" ht="25.5">
      <c r="A48" s="3122" t="s">
        <v>2194</v>
      </c>
      <c r="B48" s="3123"/>
      <c r="C48" s="3123"/>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054" t="s">
        <v>2197</v>
      </c>
      <c r="L48" s="3054"/>
      <c r="M48" s="3057">
        <f ca="1">H101</f>
        <v>95591</v>
      </c>
      <c r="N48" s="3057"/>
      <c r="O48" s="3057"/>
    </row>
    <row r="49" spans="1:35" ht="25.5" customHeight="1">
      <c r="A49" s="176" t="s">
        <v>2198</v>
      </c>
      <c r="B49" s="3102" t="s">
        <v>2199</v>
      </c>
      <c r="C49" s="3102"/>
      <c r="D49" s="177">
        <v>0</v>
      </c>
      <c r="E49" s="23" t="s">
        <v>2200</v>
      </c>
      <c r="F49" s="28" t="s">
        <v>34</v>
      </c>
      <c r="G49" s="3083"/>
      <c r="H49" s="138"/>
      <c r="I49" s="2486"/>
      <c r="J49" s="1812">
        <v>4</v>
      </c>
      <c r="K49" s="3054" t="str">
        <f>IF(项目基本情况!E8="房地产抵押价值","房地产抵押价值","抵押担保权已注销时的房地产抵押价值")</f>
        <v>房地产抵押价值</v>
      </c>
      <c r="L49" s="3054"/>
      <c r="M49" s="3057">
        <f ca="1">IF(项目基本情况!E8="房地产抵押价值",H107,H109)</f>
        <v>95591</v>
      </c>
      <c r="N49" s="3057"/>
      <c r="O49" s="3057"/>
    </row>
    <row r="50" spans="1:35" ht="25.5" customHeight="1">
      <c r="A50" s="178"/>
      <c r="B50" s="3102" t="s">
        <v>2201</v>
      </c>
      <c r="C50" s="3102"/>
      <c r="D50" s="179"/>
      <c r="E50" s="31"/>
      <c r="F50" s="180"/>
      <c r="G50" s="3084"/>
      <c r="H50" s="138"/>
      <c r="I50" s="2486"/>
      <c r="J50" s="3054" t="s">
        <v>2202</v>
      </c>
      <c r="K50" s="3054"/>
      <c r="L50" s="3054"/>
      <c r="M50" s="3054"/>
      <c r="N50" s="3054"/>
      <c r="O50" s="3054"/>
    </row>
    <row r="51" spans="1:35" ht="12" customHeight="1">
      <c r="A51" s="181"/>
      <c r="B51" s="3102" t="s">
        <v>2203</v>
      </c>
      <c r="C51" s="3102"/>
      <c r="D51" s="182"/>
      <c r="E51" s="30"/>
      <c r="F51" s="180"/>
      <c r="G51" s="3085"/>
      <c r="H51" s="138"/>
      <c r="I51" s="2486"/>
      <c r="J51" s="2487" t="s">
        <v>2204</v>
      </c>
      <c r="K51" s="3054" t="s">
        <v>2205</v>
      </c>
      <c r="L51" s="3054"/>
      <c r="M51" s="2487" t="s">
        <v>2206</v>
      </c>
      <c r="N51" s="2487" t="s">
        <v>2207</v>
      </c>
      <c r="O51" s="2487" t="s">
        <v>2208</v>
      </c>
    </row>
    <row r="52" spans="1:35" ht="24" customHeight="1">
      <c r="A52" s="183" t="s">
        <v>2209</v>
      </c>
      <c r="B52" s="3102" t="s">
        <v>2210</v>
      </c>
      <c r="C52" s="3102"/>
      <c r="D52" s="182">
        <f ca="1">ROUND(D45*'数据-取费表'!B41/(1+'数据-取费表'!C42),0)</f>
        <v>5007</v>
      </c>
      <c r="E52" s="11" t="s">
        <v>2211</v>
      </c>
      <c r="F52" s="184">
        <f>'数据-取费表'!B41</f>
        <v>5.5000000000000007E-2</v>
      </c>
      <c r="G52" s="2488"/>
      <c r="H52" s="138"/>
      <c r="I52" s="2486"/>
      <c r="J52" s="1812">
        <v>1</v>
      </c>
      <c r="K52" s="3077" t="s">
        <v>2212</v>
      </c>
      <c r="L52" s="3077"/>
      <c r="M52" s="1754">
        <f>D48</f>
        <v>0</v>
      </c>
      <c r="N52" s="1812" t="str">
        <f>E48</f>
        <v>销售额×税（费）率</v>
      </c>
      <c r="O52" s="1755" t="str">
        <f>F48</f>
        <v>免征</v>
      </c>
    </row>
    <row r="53" spans="1:35" ht="12" customHeight="1">
      <c r="A53" s="183" t="s">
        <v>2213</v>
      </c>
      <c r="B53" s="3103" t="s">
        <v>2214</v>
      </c>
      <c r="C53" s="3104"/>
      <c r="D53" s="182">
        <f ca="1">ROUND(D45*'数据-取费表'!B41/(1+'数据-取费表'!C42),0)</f>
        <v>5007</v>
      </c>
      <c r="E53" s="11" t="s">
        <v>2211</v>
      </c>
      <c r="F53" s="184">
        <f>'数据-取费表'!B41</f>
        <v>5.5000000000000007E-2</v>
      </c>
      <c r="G53" s="2488"/>
      <c r="H53" s="138"/>
      <c r="I53" s="2486"/>
      <c r="J53" s="1812">
        <v>2</v>
      </c>
      <c r="K53" s="3077" t="s">
        <v>2215</v>
      </c>
      <c r="L53" s="3077"/>
      <c r="M53" s="1754">
        <f t="shared" ref="M53:O54" ca="1" si="0">D55</f>
        <v>48</v>
      </c>
      <c r="N53" s="1812" t="str">
        <f t="shared" si="0"/>
        <v>销售额×税（费）率</v>
      </c>
      <c r="O53" s="1755">
        <f t="shared" si="0"/>
        <v>5.0000000000000001E-4</v>
      </c>
    </row>
    <row r="54" spans="1:35" ht="12" customHeight="1">
      <c r="A54" s="183" t="s">
        <v>2216</v>
      </c>
      <c r="B54" s="3103" t="s">
        <v>2217</v>
      </c>
      <c r="C54" s="3104"/>
      <c r="D54" s="182">
        <f ca="1">C68</f>
        <v>5007</v>
      </c>
      <c r="E54" s="30" t="s">
        <v>2218</v>
      </c>
      <c r="F54" s="184">
        <f>'数据-取费表'!B41</f>
        <v>5.5000000000000007E-2</v>
      </c>
      <c r="G54" s="2488"/>
      <c r="H54" s="2489"/>
      <c r="I54" s="2486"/>
      <c r="J54" s="1812">
        <v>3</v>
      </c>
      <c r="K54" s="3077" t="s">
        <v>2219</v>
      </c>
      <c r="L54" s="3077"/>
      <c r="M54" s="1754">
        <f t="shared" ca="1" si="0"/>
        <v>54191</v>
      </c>
      <c r="N54" s="1812" t="str">
        <f t="shared" si="0"/>
        <v>增值额×税（费）率</v>
      </c>
      <c r="O54" s="1756" t="str">
        <f t="shared" si="0"/>
        <v>——</v>
      </c>
    </row>
    <row r="55" spans="1:35" ht="24" customHeight="1">
      <c r="A55" s="3141" t="s">
        <v>2220</v>
      </c>
      <c r="B55" s="3123"/>
      <c r="C55" s="3123"/>
      <c r="D55" s="185">
        <f ca="1">IF(H55="个人住宅",0,ROUND(D45*I55,0))</f>
        <v>48</v>
      </c>
      <c r="E55" s="11" t="s">
        <v>2221</v>
      </c>
      <c r="F55" s="184">
        <f>IF(H55="正常",I55,"免征")</f>
        <v>5.0000000000000001E-4</v>
      </c>
      <c r="G55" s="2488"/>
      <c r="H55" s="2485" t="s">
        <v>2222</v>
      </c>
      <c r="I55" s="186">
        <f>'数据-取费表'!B49</f>
        <v>5.0000000000000001E-4</v>
      </c>
      <c r="J55" s="1812" t="str">
        <f>IF(H59="非个人房产","",4)</f>
        <v/>
      </c>
      <c r="K55" s="3077" t="str">
        <f>IF(H59="非个人房产","——","个人所得税")</f>
        <v>——</v>
      </c>
      <c r="L55" s="3077"/>
      <c r="M55" s="1757" t="str">
        <f>D59</f>
        <v>——</v>
      </c>
      <c r="N55" s="1810" t="str">
        <f>E59</f>
        <v>——</v>
      </c>
      <c r="O55" s="1758" t="str">
        <f>F59</f>
        <v>——</v>
      </c>
    </row>
    <row r="56" spans="1:35" ht="24.75">
      <c r="A56" s="3141" t="s">
        <v>2223</v>
      </c>
      <c r="B56" s="3123"/>
      <c r="C56" s="3123"/>
      <c r="D56" s="185">
        <f ca="1">IF(H56="个人住宅",D57,D58)</f>
        <v>54191</v>
      </c>
      <c r="E56" s="11" t="s">
        <v>2224</v>
      </c>
      <c r="F56" s="184" t="str">
        <f>IF(H56="正常",F58,"免征")</f>
        <v>——</v>
      </c>
      <c r="G56" s="2490" t="s">
        <v>2225</v>
      </c>
      <c r="H56" s="2491" t="s">
        <v>2222</v>
      </c>
      <c r="I56" s="2492"/>
      <c r="J56" s="1812" t="str">
        <f>IF(项目基本情况!K6="上海银行",IF(J55="",4,J55+1),"")</f>
        <v/>
      </c>
      <c r="K56" s="3060" t="str">
        <f>IF(项目基本情况!K6="上海银行","其他处置费用","")</f>
        <v/>
      </c>
      <c r="L56" s="3061"/>
      <c r="M56" s="1754" t="str">
        <f>IF(项目基本情况!K6="上海银行",M69,"")</f>
        <v/>
      </c>
      <c r="N56" s="3063" t="str">
        <f>IF(项目基本情况!K6="上海银行","包含处置中涉及的律师、诉讼、拍卖、评估等费用","")</f>
        <v/>
      </c>
      <c r="O56" s="3064"/>
    </row>
    <row r="57" spans="1:35" ht="12.75">
      <c r="A57" s="183" t="s">
        <v>2198</v>
      </c>
      <c r="B57" s="3108" t="s">
        <v>2226</v>
      </c>
      <c r="C57" s="3109"/>
      <c r="D57" s="187">
        <v>0</v>
      </c>
      <c r="E57" s="23" t="s">
        <v>2200</v>
      </c>
      <c r="F57" s="155"/>
      <c r="G57" s="2488"/>
      <c r="H57" s="2492"/>
      <c r="I57" s="2492"/>
      <c r="J57" s="3077">
        <f>IF(AND(J55="",J56=""),4,IF(项目基本情况!K6="上海银行",结果表!J56+1,结果表!J55+1))</f>
        <v>4</v>
      </c>
      <c r="K57" s="3077" t="s">
        <v>2227</v>
      </c>
      <c r="L57" s="2493" t="s">
        <v>2228</v>
      </c>
      <c r="M57" s="1759"/>
      <c r="N57" s="1760">
        <f ca="1">SUMIF(M52:M56,"&lt;9e307")</f>
        <v>54239</v>
      </c>
      <c r="O57" s="2494"/>
      <c r="P57" s="1753">
        <f ca="1">N57/M49</f>
        <v>0.56740697345984459</v>
      </c>
    </row>
    <row r="58" spans="1:35" ht="24.75">
      <c r="A58" s="183" t="s">
        <v>2209</v>
      </c>
      <c r="B58" s="3108" t="s">
        <v>2229</v>
      </c>
      <c r="C58" s="3121"/>
      <c r="D58" s="185">
        <f ca="1">IF(H58="转让取得",C81,C97)</f>
        <v>54191</v>
      </c>
      <c r="E58" s="11" t="s">
        <v>2224</v>
      </c>
      <c r="F58" s="24" t="s">
        <v>34</v>
      </c>
      <c r="G58" s="2488"/>
      <c r="H58" s="2491" t="s">
        <v>2230</v>
      </c>
      <c r="I58" s="2492"/>
      <c r="J58" s="3077"/>
      <c r="K58" s="3077"/>
      <c r="L58" s="2493" t="s">
        <v>2231</v>
      </c>
      <c r="M58" s="1761"/>
      <c r="N58" s="2495" t="str">
        <f ca="1">NUMBERSTRING(INT(N57*10000),2)&amp;"元整"</f>
        <v>伍亿肆仟贰佰叁拾玖万元整</v>
      </c>
      <c r="O58" s="2496"/>
    </row>
    <row r="59" spans="1:35" ht="24.75" thickBot="1">
      <c r="A59" s="3081" t="s">
        <v>2232</v>
      </c>
      <c r="B59" s="3082"/>
      <c r="C59" s="3082"/>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079">
        <f>J57+1</f>
        <v>5</v>
      </c>
      <c r="K59" s="3077" t="s">
        <v>2234</v>
      </c>
      <c r="L59" s="1812" t="s">
        <v>2228</v>
      </c>
      <c r="M59" s="1762"/>
      <c r="N59" s="1763">
        <f ca="1">M49-N57</f>
        <v>41352</v>
      </c>
      <c r="O59" s="2498"/>
    </row>
    <row r="60" spans="1:35" ht="12" customHeight="1">
      <c r="A60" s="2499"/>
      <c r="B60" s="2421"/>
      <c r="C60" s="2421"/>
      <c r="D60" s="2421"/>
      <c r="E60" s="2168"/>
      <c r="F60" s="2492"/>
      <c r="G60" s="2492"/>
      <c r="H60" s="2500"/>
      <c r="I60" s="138"/>
      <c r="J60" s="3080"/>
      <c r="K60" s="3077"/>
      <c r="L60" s="2493" t="s">
        <v>2231</v>
      </c>
      <c r="M60" s="1761"/>
      <c r="N60" s="2495" t="str">
        <f ca="1">NUMBERSTRING(INT(N59*10000),2)&amp;"元整"</f>
        <v>肆亿壹仟叁佰伍拾贰万元整</v>
      </c>
      <c r="O60" s="2496"/>
    </row>
    <row r="61" spans="1:35" ht="13.5" thickBot="1">
      <c r="A61" s="3140" t="s">
        <v>2235</v>
      </c>
      <c r="B61" s="3140"/>
      <c r="C61" s="3140"/>
      <c r="D61" s="3140"/>
      <c r="E61" s="3140"/>
      <c r="F61" s="2492"/>
      <c r="G61" s="2492"/>
      <c r="H61" s="2500"/>
      <c r="I61" s="138"/>
      <c r="J61" s="1812">
        <f>J59+1</f>
        <v>6</v>
      </c>
      <c r="K61" s="3077" t="s">
        <v>2236</v>
      </c>
      <c r="L61" s="3077"/>
      <c r="M61" s="1764"/>
      <c r="N61" s="1765">
        <f ca="1">ROUND(N59*10000/'数据-汇总表'!E3,0)</f>
        <v>8650</v>
      </c>
      <c r="O61" s="2501"/>
    </row>
    <row r="62" spans="1:35" ht="12.75">
      <c r="A62" s="3097" t="s">
        <v>2237</v>
      </c>
      <c r="B62" s="3098"/>
      <c r="C62" s="1804"/>
      <c r="D62" s="1804" t="s">
        <v>2238</v>
      </c>
      <c r="E62" s="192" t="s">
        <v>2239</v>
      </c>
      <c r="F62" s="2492"/>
      <c r="G62" s="2492"/>
      <c r="H62" s="2500"/>
      <c r="I62" s="138"/>
    </row>
    <row r="63" spans="1:35" ht="12.75">
      <c r="A63" s="203" t="s">
        <v>775</v>
      </c>
      <c r="B63" s="193" t="s">
        <v>2240</v>
      </c>
      <c r="C63" s="194">
        <f ca="1">ROUND((C64+C65)/(1+'数据-取费表'!C42),0)</f>
        <v>91039</v>
      </c>
      <c r="D63" s="195"/>
      <c r="E63" s="196"/>
      <c r="F63" s="2492"/>
      <c r="G63" s="2492"/>
      <c r="H63" s="2500"/>
      <c r="I63" s="138"/>
      <c r="J63" s="3062" t="s">
        <v>2241</v>
      </c>
      <c r="K63" s="2502" t="s">
        <v>2242</v>
      </c>
      <c r="L63" s="1752">
        <f ca="1">IF(M49&gt;10000,M49*0.5%,IF(AND(M49&gt;1000,M49&lt;=10000),M49*1%,IF(AND(M49&gt;100,M49&lt;=1000),M49*3%,IF(AND(M49&gt;10,M49&lt;=100),M49*5%,M49*8%))))</f>
        <v>477.95499999999998</v>
      </c>
      <c r="M63" s="24">
        <f ca="1">ROUND(L63,1)</f>
        <v>478</v>
      </c>
      <c r="Z63" s="2426"/>
      <c r="AI63" s="2427"/>
    </row>
    <row r="64" spans="1:35" ht="14.25" customHeight="1">
      <c r="A64" s="197" t="s">
        <v>770</v>
      </c>
      <c r="B64" s="198" t="s">
        <v>2243</v>
      </c>
      <c r="C64" s="199">
        <f ca="1">D45</f>
        <v>95591</v>
      </c>
      <c r="D64" s="200" t="s">
        <v>32</v>
      </c>
      <c r="E64" s="201"/>
      <c r="F64" s="2492"/>
      <c r="G64" s="2492"/>
      <c r="H64" s="2500"/>
      <c r="I64" s="138"/>
      <c r="J64" s="3062"/>
      <c r="K64" s="2502" t="s">
        <v>2244</v>
      </c>
      <c r="L64" s="1752">
        <f ca="1">IF(M49&gt;2000,M49*0.5%,IF(AND(M49&gt;1000,M49&lt;=2000),M49*0.6%,IF(AND(M49&gt;500,M49&lt;=1000),M49*0.7%,IF(AND(M49&gt;200,M49&lt;=500),M49*0.8%,IF(AND(M49&gt;100,M49&lt;=200),M49*0.9%,IF(AND(M49&gt;50,M49&lt;=100),M49*1%,IF(AND(M49&gt;20,M49&lt;=50),M49*1.5%,IF(AND(M49&gt;10,M49&lt;=20),M49*2%,IF(AND(M49&gt;1,M49&lt;=10),M49*2.5%)))))))))</f>
        <v>477.95499999999998</v>
      </c>
      <c r="M64" s="24">
        <f t="shared" ref="M64:M65" ca="1" si="1">ROUND(L64,1)</f>
        <v>478</v>
      </c>
      <c r="N64" s="138" t="s">
        <v>2245</v>
      </c>
      <c r="Z64" s="2426"/>
      <c r="AI64" s="2427"/>
    </row>
    <row r="65" spans="1:35" ht="14.25" customHeight="1">
      <c r="A65" s="197" t="s">
        <v>771</v>
      </c>
      <c r="B65" s="198" t="s">
        <v>2246</v>
      </c>
      <c r="C65" s="202"/>
      <c r="D65" s="200"/>
      <c r="E65" s="201"/>
      <c r="F65" s="2492"/>
      <c r="G65" s="2492"/>
      <c r="H65" s="2500"/>
      <c r="I65" s="138"/>
      <c r="J65" s="3062"/>
      <c r="K65" s="2502" t="s">
        <v>2247</v>
      </c>
      <c r="L65" s="1752">
        <f ca="1">IF(M49&gt;1000,M49*0.1%,IF(AND(M49&gt;500,M49&lt;=1000),M49*0.5%,IF(AND(M49&gt;50,M49&lt;=500),M49*1%,IF(AND(M49&gt;1,M49&lt;=50),M49*1.5%))))</f>
        <v>95.591000000000008</v>
      </c>
      <c r="M65" s="24">
        <f t="shared" ca="1" si="1"/>
        <v>95.6</v>
      </c>
      <c r="N65" s="138" t="s">
        <v>2245</v>
      </c>
      <c r="Z65" s="2426"/>
      <c r="AI65" s="2427"/>
    </row>
    <row r="66" spans="1:35" ht="14.25" customHeight="1">
      <c r="A66" s="203" t="s">
        <v>772</v>
      </c>
      <c r="B66" s="204" t="s">
        <v>2248</v>
      </c>
      <c r="C66" s="205"/>
      <c r="D66" s="206" t="s">
        <v>32</v>
      </c>
      <c r="E66" s="1776" t="s">
        <v>1364</v>
      </c>
      <c r="F66" s="2492"/>
      <c r="G66" s="2492"/>
      <c r="H66" s="2500"/>
      <c r="I66" s="138"/>
      <c r="J66" s="3062"/>
      <c r="K66" s="2502" t="s">
        <v>2249</v>
      </c>
      <c r="L66" s="1752">
        <f ca="1">M49*0.5%</f>
        <v>477.95499999999998</v>
      </c>
      <c r="M66" s="24">
        <f ca="1">IF(L66&gt;0.5,0.5,ROUND(L66,0))</f>
        <v>0.5</v>
      </c>
      <c r="N66" s="138" t="s">
        <v>2250</v>
      </c>
      <c r="Z66" s="2426"/>
      <c r="AI66" s="2427"/>
    </row>
    <row r="67" spans="1:35" ht="14.25" customHeight="1">
      <c r="A67" s="203" t="s">
        <v>773</v>
      </c>
      <c r="B67" s="204" t="s">
        <v>2251</v>
      </c>
      <c r="C67" s="207">
        <f ca="1">C63-C66</f>
        <v>91039</v>
      </c>
      <c r="D67" s="200" t="s">
        <v>32</v>
      </c>
      <c r="E67" s="201"/>
      <c r="F67" s="2492"/>
      <c r="G67" s="2492"/>
      <c r="H67" s="2500"/>
      <c r="I67" s="138"/>
      <c r="J67" s="3062"/>
      <c r="K67" s="2502" t="s">
        <v>2252</v>
      </c>
      <c r="L67" s="1752">
        <f ca="1">IF(M49&gt;=10000,(8.25+(M49-10000)*0.01%),IF(AND(M49&gt;=8000,M49&lt;10000),(7.85+(M49-8000)*0.02%),IF(AND(M49&gt;=5000,M49&lt;8000),(6.65+(M49-5000)*0.04%),IF(AND(M49&gt;=2000,M49&lt;5000),(4.25+(PM49-2000)*0.08%),IF(AND(M49&gt;=1000,M49&lt;2000),(2.75+(M49-1000)*0.15%),IF(AND(M49&gt;=100,M49&lt;1000),(0.5+(M49-100)*0.25%),IF(AND(M49&gt;0,M49&lt;100),M49*0.5%)))))))</f>
        <v>16.809100000000001</v>
      </c>
      <c r="M67" s="24">
        <f ca="1">ROUND(L67*0.9,1)</f>
        <v>15.1</v>
      </c>
      <c r="Z67" s="2426"/>
      <c r="AI67" s="2427"/>
    </row>
    <row r="68" spans="1:35" ht="14.25" customHeight="1" thickBot="1">
      <c r="A68" s="208" t="s">
        <v>774</v>
      </c>
      <c r="B68" s="209" t="s">
        <v>2253</v>
      </c>
      <c r="C68" s="210">
        <f ca="1">IF(C67&lt;=0,0,ROUND(C67*D68,0))</f>
        <v>5007</v>
      </c>
      <c r="D68" s="211">
        <f>'数据-取费表'!B41</f>
        <v>5.5000000000000007E-2</v>
      </c>
      <c r="E68" s="212"/>
      <c r="F68" s="2492"/>
      <c r="G68" s="2492"/>
      <c r="H68" s="2500"/>
      <c r="I68" s="138"/>
      <c r="J68" s="3062"/>
      <c r="K68" s="2502" t="s">
        <v>2254</v>
      </c>
      <c r="L68" s="1752">
        <f ca="1">IF(M49&gt;10000,M49*0.5%,IF(AND(M49&gt;5000,M49&lt;=10000),M49*1%,IF(AND(M49&gt;1000,M49&lt;=5000),M49*2%,IF(AND(M49&gt;200,M49&lt;=1000),M49*3%,M49*5%))))</f>
        <v>477.95499999999998</v>
      </c>
      <c r="M68" s="24">
        <f ca="1">ROUND(L68,1)</f>
        <v>478</v>
      </c>
      <c r="Z68" s="2426"/>
      <c r="AI68" s="2427"/>
    </row>
    <row r="69" spans="1:35" s="2449" customFormat="1" ht="16.5" customHeight="1">
      <c r="A69" s="2503"/>
      <c r="B69" s="2504"/>
      <c r="C69" s="2505"/>
      <c r="D69" s="2506"/>
      <c r="E69" s="2507"/>
      <c r="F69" s="2168"/>
      <c r="G69" s="2168"/>
      <c r="H69" s="2167"/>
      <c r="I69" s="2421"/>
      <c r="J69" s="3062"/>
      <c r="K69" s="2502" t="s">
        <v>2255</v>
      </c>
      <c r="L69" s="2508"/>
      <c r="M69" s="24">
        <f ca="1">ROUND(SUM(M63:M68),0)</f>
        <v>1545</v>
      </c>
      <c r="N69" s="1753">
        <f ca="1">M69/M49</f>
        <v>1.6162609450680505E-2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06" t="s">
        <v>2256</v>
      </c>
      <c r="B70" s="3107"/>
      <c r="C70" s="3107"/>
      <c r="D70" s="3107"/>
      <c r="E70" s="3107"/>
      <c r="F70" s="3107"/>
      <c r="G70" s="3107"/>
      <c r="H70" s="3107"/>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97" t="s">
        <v>2237</v>
      </c>
      <c r="B71" s="3098"/>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91039</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455</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03" t="s">
        <v>2265</v>
      </c>
      <c r="F76" s="3102"/>
      <c r="G76" s="3102"/>
      <c r="H76" s="3105"/>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455</v>
      </c>
      <c r="D78" s="226">
        <f>'数据-取费表'!B43</f>
        <v>5.000000000000001E-3</v>
      </c>
      <c r="E78" s="3094" t="s">
        <v>2270</v>
      </c>
      <c r="F78" s="3095"/>
      <c r="G78" s="3095"/>
      <c r="H78" s="309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90584</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199.08571428571429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54191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06" t="s">
        <v>2274</v>
      </c>
      <c r="B83" s="3107"/>
      <c r="C83" s="3107"/>
      <c r="D83" s="3107"/>
      <c r="E83" s="3107"/>
      <c r="F83" s="3107"/>
      <c r="G83" s="3107"/>
      <c r="H83" s="3107"/>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97" t="s">
        <v>2237</v>
      </c>
      <c r="B84" s="3098"/>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91039</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455</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094" t="s">
        <v>2283</v>
      </c>
      <c r="F91" s="3095"/>
      <c r="G91" s="3095"/>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094" t="s">
        <v>2287</v>
      </c>
      <c r="F92" s="3095"/>
      <c r="G92" s="3095"/>
      <c r="H92" s="309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455</v>
      </c>
      <c r="D93" s="226">
        <f>'数据-取费表'!B43</f>
        <v>5.000000000000001E-3</v>
      </c>
      <c r="E93" s="3094" t="s">
        <v>2270</v>
      </c>
      <c r="F93" s="3095"/>
      <c r="G93" s="3095"/>
      <c r="H93" s="309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42" t="s">
        <v>2291</v>
      </c>
      <c r="F94" s="3143"/>
      <c r="G94" s="3143"/>
      <c r="H94" s="3144"/>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90584</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199.08571428571429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54191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2292</v>
      </c>
      <c r="B99" s="2421"/>
      <c r="C99" s="2421"/>
      <c r="D99" s="2421"/>
      <c r="E99" s="2168"/>
      <c r="F99" s="2168"/>
      <c r="G99" s="2168"/>
      <c r="H99" s="2167"/>
      <c r="I99" s="138"/>
    </row>
    <row r="100" spans="1:35" ht="18.75" customHeight="1">
      <c r="A100" s="3046" t="s">
        <v>2293</v>
      </c>
      <c r="B100" s="3047"/>
      <c r="C100" s="3047"/>
      <c r="D100" s="3078"/>
      <c r="E100" s="3047" t="s">
        <v>2294</v>
      </c>
      <c r="F100" s="3047"/>
      <c r="G100" s="3047"/>
      <c r="H100" s="3078"/>
      <c r="I100" s="138"/>
    </row>
    <row r="101" spans="1:35" ht="18.75" customHeight="1">
      <c r="A101" s="3086" t="s">
        <v>2295</v>
      </c>
      <c r="B101" s="3087"/>
      <c r="C101" s="736" t="str">
        <f>C4</f>
        <v>成本法</v>
      </c>
      <c r="D101" s="737" t="str">
        <f>D4</f>
        <v>假设开发法</v>
      </c>
      <c r="E101" s="3058" t="s">
        <v>2296</v>
      </c>
      <c r="F101" s="3059"/>
      <c r="G101" s="2523" t="s">
        <v>2297</v>
      </c>
      <c r="H101" s="1048">
        <f ca="1">H118</f>
        <v>95591</v>
      </c>
      <c r="I101" s="138"/>
    </row>
    <row r="102" spans="1:35" ht="18.75" customHeight="1">
      <c r="A102" s="3088" t="s">
        <v>2298</v>
      </c>
      <c r="B102" s="2523" t="s">
        <v>2297</v>
      </c>
      <c r="C102" s="736">
        <f ca="1">C19</f>
        <v>88195</v>
      </c>
      <c r="D102" s="737">
        <f ca="1">D19</f>
        <v>102987</v>
      </c>
      <c r="E102" s="3058"/>
      <c r="F102" s="3059"/>
      <c r="G102" s="2523" t="s">
        <v>2299</v>
      </c>
      <c r="H102" s="371">
        <f ca="1">I118</f>
        <v>19996</v>
      </c>
      <c r="I102" s="138"/>
    </row>
    <row r="103" spans="1:35" ht="42.75" customHeight="1">
      <c r="A103" s="3088"/>
      <c r="B103" s="2523" t="s">
        <v>2299</v>
      </c>
      <c r="C103" s="738">
        <f ca="1">C20</f>
        <v>18449</v>
      </c>
      <c r="D103" s="739">
        <f ca="1">D20</f>
        <v>21544</v>
      </c>
      <c r="E103" s="3052" t="s">
        <v>2300</v>
      </c>
      <c r="F103" s="3053"/>
      <c r="G103" s="2524" t="s">
        <v>2301</v>
      </c>
      <c r="H103" s="1048">
        <f>IF(D36="正常操作",H104+H105+H106,H105+H106)</f>
        <v>0</v>
      </c>
      <c r="I103" s="138"/>
    </row>
    <row r="104" spans="1:35" ht="18.75" customHeight="1">
      <c r="A104" s="3088" t="s">
        <v>2302</v>
      </c>
      <c r="B104" s="2525" t="s">
        <v>2297</v>
      </c>
      <c r="C104" s="740">
        <f ca="1">H118</f>
        <v>95591</v>
      </c>
      <c r="D104" s="741"/>
      <c r="E104" s="2269" t="s">
        <v>2303</v>
      </c>
      <c r="F104" s="2260"/>
      <c r="G104" s="2524" t="s">
        <v>2301</v>
      </c>
      <c r="H104" s="1049">
        <f>IF(D36="同一抵押权人同一抵押物续贷",C36&amp;"（未扣减，详见特别提示）",C36)</f>
        <v>0</v>
      </c>
      <c r="I104" s="138"/>
    </row>
    <row r="105" spans="1:35" ht="18.75" customHeight="1" thickBot="1">
      <c r="A105" s="3100"/>
      <c r="B105" s="2526" t="s">
        <v>2299</v>
      </c>
      <c r="C105" s="742">
        <f ca="1">I118</f>
        <v>19996</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089" t="str">
        <f>IF(项目基本情况!E8="已注销","——","3.房地产抵押价值")</f>
        <v>3.房地产抵押价值</v>
      </c>
      <c r="F107" s="3059"/>
      <c r="G107" s="2523" t="s">
        <v>2297</v>
      </c>
      <c r="H107" s="1048">
        <f ca="1">IF(E107="——","——",H101-H103)</f>
        <v>95591</v>
      </c>
      <c r="I107" s="138"/>
    </row>
    <row r="108" spans="1:35" ht="18.75" customHeight="1">
      <c r="A108" s="138"/>
      <c r="B108" s="138"/>
      <c r="C108" s="138"/>
      <c r="D108" s="138"/>
      <c r="E108" s="3089"/>
      <c r="F108" s="3059"/>
      <c r="G108" s="2523" t="s">
        <v>2299</v>
      </c>
      <c r="H108" s="371">
        <f ca="1">ROUND(H107*10000/'数据-汇总表'!E3,0)</f>
        <v>19996</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23" t="s">
        <v>2297</v>
      </c>
      <c r="H109" s="348" t="str">
        <f>IF(E109="——","——",H101-H105-H106)</f>
        <v>——</v>
      </c>
      <c r="I109" s="138"/>
    </row>
    <row r="110" spans="1:35" ht="18.75" customHeight="1">
      <c r="A110" s="138"/>
      <c r="B110" s="138"/>
      <c r="C110" s="138"/>
      <c r="D110" s="138"/>
      <c r="E110" s="3089"/>
      <c r="F110" s="3059"/>
      <c r="G110" s="2523" t="s">
        <v>2299</v>
      </c>
      <c r="H110" s="371" t="str">
        <f>IF(H109="——","——",ROUND(H109*10000/'数据-汇总表'!E3,0))</f>
        <v>——</v>
      </c>
      <c r="I110" s="138"/>
    </row>
    <row r="111" spans="1:35" ht="18.75" customHeight="1">
      <c r="A111" s="138"/>
      <c r="B111" s="138"/>
      <c r="C111" s="138"/>
      <c r="D111" s="138"/>
      <c r="E111" s="3090" t="str">
        <f>IF(项目基本情况!E9="抵押净值",IF(OR(项目基本情况!E8="已注销",项目基本情况!E8="房地产抵押价值"),"4.抵押净值","5.抵押净值"),"——")</f>
        <v>——</v>
      </c>
      <c r="F111" s="3091"/>
      <c r="G111" s="2523" t="s">
        <v>2297</v>
      </c>
      <c r="H111" s="1048" t="str">
        <f>IF(E111="——","——",N59)</f>
        <v>——</v>
      </c>
      <c r="I111" s="138"/>
    </row>
    <row r="112" spans="1:35" ht="18.75" customHeight="1" thickBot="1">
      <c r="A112" s="138"/>
      <c r="B112" s="138"/>
      <c r="C112" s="138"/>
      <c r="D112" s="138"/>
      <c r="E112" s="3092"/>
      <c r="F112" s="3093"/>
      <c r="G112" s="2528" t="s">
        <v>2299</v>
      </c>
      <c r="H112" s="790" t="str">
        <f>IF(E111="——","——",N61)</f>
        <v>——</v>
      </c>
      <c r="I112" s="138"/>
    </row>
    <row r="113" spans="1:11" ht="18.75" customHeight="1">
      <c r="A113" s="138"/>
      <c r="B113" s="138"/>
      <c r="C113" s="138"/>
      <c r="D113" s="138"/>
      <c r="E113" s="3101" t="s">
        <v>2305</v>
      </c>
      <c r="F113" s="3101"/>
      <c r="G113" s="3101"/>
      <c r="H113" s="3101"/>
      <c r="I113" s="138"/>
    </row>
    <row r="114" spans="1:11" ht="3.75" customHeight="1">
      <c r="A114" s="2421"/>
      <c r="B114" s="2421"/>
      <c r="C114" s="2421"/>
      <c r="D114" s="2421"/>
      <c r="E114" s="2499"/>
      <c r="F114" s="2499"/>
      <c r="G114" s="2499"/>
      <c r="H114" s="2499"/>
      <c r="I114" s="2421"/>
    </row>
    <row r="115" spans="1:11" ht="18.75" customHeight="1">
      <c r="A115" s="3114" t="s">
        <v>2307</v>
      </c>
      <c r="B115" s="3115"/>
      <c r="C115" s="3115"/>
      <c r="D115" s="3115"/>
      <c r="E115" s="3115"/>
      <c r="F115" s="3115"/>
      <c r="G115" s="3115"/>
      <c r="H115" s="3115"/>
      <c r="I115" s="3116"/>
    </row>
    <row r="116" spans="1:11" ht="27" customHeight="1">
      <c r="A116" s="3025" t="s">
        <v>2308</v>
      </c>
      <c r="B116" s="3068" t="s">
        <v>2309</v>
      </c>
      <c r="C116" s="3068" t="s">
        <v>2310</v>
      </c>
      <c r="D116" s="3074" t="s">
        <v>2311</v>
      </c>
      <c r="E116" s="3075"/>
      <c r="F116" s="3110" t="s">
        <v>2312</v>
      </c>
      <c r="G116" s="3110"/>
      <c r="H116" s="3025" t="s">
        <v>2313</v>
      </c>
      <c r="I116" s="3025"/>
    </row>
    <row r="117" spans="1:11" ht="18.75" customHeight="1">
      <c r="A117" s="3025"/>
      <c r="B117" s="3069"/>
      <c r="C117" s="3069"/>
      <c r="D117" s="1798" t="s">
        <v>2314</v>
      </c>
      <c r="E117" s="1798" t="s">
        <v>2315</v>
      </c>
      <c r="F117" s="1798" t="s">
        <v>2314</v>
      </c>
      <c r="G117" s="1798" t="s">
        <v>2316</v>
      </c>
      <c r="H117" s="1798" t="s">
        <v>2314</v>
      </c>
      <c r="I117" s="1798" t="s">
        <v>2316</v>
      </c>
    </row>
    <row r="118" spans="1:11" ht="24.75" customHeight="1">
      <c r="A118" s="2529" t="str">
        <f>项目基本情况!S2</f>
        <v>北京市出让国有建设用地使用权及在建建筑物房地产</v>
      </c>
      <c r="B118" s="1798">
        <f>M18</f>
        <v>47804</v>
      </c>
      <c r="C118" s="1798">
        <f>M19</f>
        <v>11433.6</v>
      </c>
      <c r="D118" s="1798">
        <f ca="1">ROUND(IF(D32="总价",C34,E118*B118/10000),0)</f>
        <v>19692</v>
      </c>
      <c r="E118" s="1798">
        <f ca="1">ROUND(IF(C33="自定义",IF(D32="楼面单价",C34,D118*10000/B118),I118-G118),0)</f>
        <v>4119</v>
      </c>
      <c r="F118" s="1798">
        <f ca="1">ROUND(IF(D32="总价",C35,G118*B118/10000),0)</f>
        <v>75899</v>
      </c>
      <c r="G118" s="1798">
        <f ca="1">ROUND(IF(D32="楼面单价",C35,F118*10000/B118),0)</f>
        <v>15877</v>
      </c>
      <c r="H118" s="1798">
        <f ca="1">ROUND(IF(D32="总价",C32,I118*B118/10000),0)</f>
        <v>95591</v>
      </c>
      <c r="I118" s="1798">
        <f ca="1">ROUND(IF(D32="楼面单价",C32,H118*10000/B118),0)</f>
        <v>19996</v>
      </c>
    </row>
    <row r="119" spans="1:11" ht="18.75" customHeight="1">
      <c r="A119" s="3025" t="s">
        <v>2317</v>
      </c>
      <c r="B119" s="3025"/>
      <c r="C119" s="3025"/>
      <c r="D119" s="3070" t="str">
        <f ca="1">NUMBERSTRING(INT(D118*10000),2)&amp;"元整"</f>
        <v>壹亿玖仟陆佰玖拾贰万元整</v>
      </c>
      <c r="E119" s="3071"/>
      <c r="F119" s="3070" t="str">
        <f ca="1">NUMBERSTRING(INT(F118*10000),2)&amp;"元整"</f>
        <v>柒亿伍仟捌佰玖拾玖万元整</v>
      </c>
      <c r="G119" s="3071"/>
      <c r="H119" s="3070" t="str">
        <f ca="1">NUMBERSTRING(INT(H118*10000),2)&amp;"元整"</f>
        <v>玖亿伍仟伍佰玖拾壹万元整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6" t="str">
        <f>IF(D120=0,"故，本次评估不存在"&amp;A120,"故，本次评估"&amp;A120&amp;"为人民币"&amp;D120&amp;"万元整。")</f>
        <v>故，本次评估不存在估价师知悉的法定优先受偿款</v>
      </c>
    </row>
    <row r="121" spans="1:11" ht="18.75" customHeight="1">
      <c r="A121" s="3111" t="s">
        <v>2317</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95591</v>
      </c>
      <c r="E122" s="3066"/>
      <c r="F122" s="3066"/>
      <c r="G122" s="3066"/>
      <c r="H122" s="3066"/>
      <c r="I122" s="3067"/>
    </row>
    <row r="123" spans="1:11" ht="18.75" customHeight="1">
      <c r="A123" s="3025" t="s">
        <v>2317</v>
      </c>
      <c r="B123" s="3025"/>
      <c r="C123" s="3025"/>
      <c r="D123" s="3070" t="str">
        <f ca="1">NUMBERSTRING(INT(D122*10000),2)&amp;"元整"</f>
        <v>玖亿伍仟伍佰玖拾壹万元整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2317</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2317</v>
      </c>
      <c r="B127" s="3025"/>
      <c r="C127" s="3025"/>
      <c r="D127" s="3070" t="e">
        <f>NUMBERSTRING(INT(D126*10000),2)&amp;"元整"</f>
        <v>#VALUE!</v>
      </c>
      <c r="E127" s="3072"/>
      <c r="F127" s="3072"/>
      <c r="G127" s="3072"/>
      <c r="H127" s="3072"/>
      <c r="I127" s="3071"/>
    </row>
    <row r="128" spans="1:11" ht="21.75" customHeight="1">
      <c r="A128" s="3073" t="s">
        <v>2318</v>
      </c>
      <c r="B128" s="3073"/>
      <c r="C128" s="3073"/>
      <c r="D128" s="3073"/>
      <c r="E128" s="3073"/>
      <c r="F128" s="3073"/>
      <c r="G128" s="3073"/>
      <c r="H128" s="3073"/>
      <c r="I128" s="3073"/>
    </row>
    <row r="129" spans="1:35" ht="21.75" customHeight="1">
      <c r="A129" s="2530" t="s">
        <v>2319</v>
      </c>
      <c r="B129" s="2531"/>
      <c r="C129" s="2532" t="s">
        <v>2320</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2321</v>
      </c>
      <c r="G135" s="2547"/>
      <c r="H135" s="2547"/>
      <c r="I135" s="2548" t="s">
        <v>2322</v>
      </c>
    </row>
    <row r="136" spans="1:35" ht="21.75" customHeight="1">
      <c r="A136" s="795"/>
      <c r="B136" s="2549"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2324</v>
      </c>
    </row>
    <row r="139" spans="1:35" ht="21.75" customHeight="1">
      <c r="A139" s="795"/>
      <c r="B139" s="2549" t="s">
        <v>2325</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2324</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K21" sqref="K2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t="s">
        <v>3057</v>
      </c>
      <c r="C1" s="242"/>
      <c r="D1" s="242"/>
      <c r="E1" s="242"/>
      <c r="F1" s="242"/>
      <c r="G1" s="1382">
        <f>MATCH(B1,'数据-取费表'!A6:A16,0)+5</f>
        <v>6</v>
      </c>
    </row>
    <row r="2" spans="1:9" s="244" customFormat="1" ht="18" customHeight="1">
      <c r="A2" s="245" t="s">
        <v>2327</v>
      </c>
      <c r="B2" s="246">
        <f ca="1">IF(D2="——",C52,C52-E2)</f>
        <v>88195</v>
      </c>
      <c r="C2" s="243" t="s">
        <v>2328</v>
      </c>
      <c r="D2" s="2552" t="s">
        <v>70</v>
      </c>
      <c r="E2" s="1443" t="e">
        <f ca="1">SUMIF(INDIRECT("'"&amp;G2&amp;"'"&amp;"!A:A"),"承租人权益价值",INDIRECT("'"&amp;G2&amp;"'"&amp;"!c:c"))</f>
        <v>#REF!</v>
      </c>
      <c r="F2" s="2553" t="s">
        <v>2328</v>
      </c>
      <c r="G2" s="2554"/>
    </row>
    <row r="3" spans="1:9" s="244" customFormat="1" ht="18" customHeight="1" thickBot="1">
      <c r="A3" s="247" t="s">
        <v>2329</v>
      </c>
      <c r="B3" s="248">
        <f ca="1">ROUND(B2*10000/(IF(B1="",'数据-汇总表'!E3,INDIRECT("'数据-取费表'!k"&amp;$G$1))),0)</f>
        <v>18449</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10797</v>
      </c>
      <c r="D5" s="255" t="s">
        <v>2334</v>
      </c>
      <c r="E5" s="256" t="s">
        <v>2335</v>
      </c>
      <c r="F5" s="256" t="s">
        <v>2336</v>
      </c>
      <c r="G5" s="257"/>
    </row>
    <row r="6" spans="1:9" s="258" customFormat="1" ht="13.5" customHeight="1">
      <c r="A6" s="952" t="s">
        <v>2337</v>
      </c>
      <c r="B6" s="259" t="s">
        <v>2338</v>
      </c>
      <c r="C6" s="260">
        <f>'土地比较法-住宅、综合'!B2</f>
        <v>9967</v>
      </c>
      <c r="D6" s="261"/>
      <c r="E6" s="262"/>
      <c r="F6" s="262"/>
      <c r="G6" s="263"/>
    </row>
    <row r="7" spans="1:9" s="258" customFormat="1" ht="13.5" customHeight="1">
      <c r="A7" s="952" t="s">
        <v>2339</v>
      </c>
      <c r="B7" s="259" t="s">
        <v>2340</v>
      </c>
      <c r="C7" s="264">
        <f>ROUND(C6*F7,0)</f>
        <v>304</v>
      </c>
      <c r="D7" s="264"/>
      <c r="E7" s="262"/>
      <c r="F7" s="265">
        <f>'数据-取费表'!B48+'数据-取费表'!B49</f>
        <v>3.0499999999999999E-2</v>
      </c>
      <c r="G7" s="263"/>
    </row>
    <row r="8" spans="1:9" s="267" customFormat="1">
      <c r="A8" s="952" t="s">
        <v>2341</v>
      </c>
      <c r="B8" s="259" t="s">
        <v>2342</v>
      </c>
      <c r="C8" s="264">
        <f ca="1">IF(G8="已包含在土地购买价格中","0",IF(B1="",'数据-取费表'!B29,IF(G9="全部缴纳",C9+C10,H9)))</f>
        <v>526</v>
      </c>
      <c r="D8" s="266"/>
      <c r="E8" s="264"/>
      <c r="F8" s="265"/>
      <c r="G8" s="2555" t="s">
        <v>3174</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110</v>
      </c>
      <c r="F9" s="265"/>
      <c r="G9" s="2556" t="s">
        <v>3175</v>
      </c>
      <c r="H9" s="1393"/>
      <c r="I9" s="2557" t="s">
        <v>2344</v>
      </c>
    </row>
    <row r="10" spans="1:9" s="258" customFormat="1" ht="13.5" customHeight="1">
      <c r="A10" s="953" t="s">
        <v>801</v>
      </c>
      <c r="B10" s="268" t="s">
        <v>2345</v>
      </c>
      <c r="C10" s="269">
        <f ca="1">ROUND(D10*E10/10000,0)</f>
        <v>526</v>
      </c>
      <c r="D10" s="1035">
        <f ca="1">IF(B1="",'数据-汇总表'!E6,IF(INDIRECT("'数据-取费表'!c"&amp;$G$1)="住宅",INDIRECT("'数据-取费表'!s"&amp;$G$1),INDIRECT("'数据-取费表'!k"&amp;$G$1)+INDIRECT("'数据-取费表'!s"&amp;$G$1)))</f>
        <v>47804</v>
      </c>
      <c r="E10" s="269">
        <f>'数据-取费表'!B28</f>
        <v>110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f ca="1">IF(G19="已包含在土地取得成本中","0",ROUND(D19*E19/10000,0))</f>
        <v>813</v>
      </c>
      <c r="D19" s="1039">
        <f ca="1">D9+D10</f>
        <v>47804</v>
      </c>
      <c r="E19" s="255">
        <f>'数据-取费表'!B31</f>
        <v>170</v>
      </c>
      <c r="F19" s="275"/>
      <c r="G19" s="2555" t="s">
        <v>1074</v>
      </c>
    </row>
    <row r="20" spans="1:7" s="258" customFormat="1" ht="13.5" customHeight="1">
      <c r="A20" s="299" t="s">
        <v>2358</v>
      </c>
      <c r="B20" s="254" t="s">
        <v>2359</v>
      </c>
      <c r="C20" s="276">
        <f ca="1">ROUND((C5+C19)*F20,0)</f>
        <v>232</v>
      </c>
      <c r="D20" s="276"/>
      <c r="E20" s="276"/>
      <c r="F20" s="277">
        <f>'数据-取费表'!B37</f>
        <v>0.02</v>
      </c>
      <c r="G20" s="278" t="s">
        <v>2360</v>
      </c>
    </row>
    <row r="21" spans="1:7" s="258" customFormat="1" ht="13.5" customHeight="1">
      <c r="A21" s="299" t="s">
        <v>2361</v>
      </c>
      <c r="B21" s="254" t="s">
        <v>2362</v>
      </c>
      <c r="C21" s="279">
        <f>F21</f>
        <v>0.05</v>
      </c>
      <c r="D21" s="280" t="s">
        <v>2363</v>
      </c>
      <c r="E21" s="276"/>
      <c r="F21" s="277">
        <f>'数据-取费表'!B38</f>
        <v>0.05</v>
      </c>
      <c r="G21" s="278" t="s">
        <v>2364</v>
      </c>
    </row>
    <row r="22" spans="1:7" s="258" customFormat="1" ht="13.5" customHeight="1">
      <c r="A22" s="299" t="s">
        <v>2365</v>
      </c>
      <c r="B22" s="254" t="s">
        <v>2366</v>
      </c>
      <c r="C22" s="1357">
        <f ca="1">ROUND(SUM(C23:C25),0)</f>
        <v>1381</v>
      </c>
      <c r="D22" s="279">
        <f ca="1">C26</f>
        <v>2.8999999999999998E-3</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1272</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96</v>
      </c>
      <c r="D24" s="282"/>
      <c r="E24" s="282"/>
      <c r="F24" s="283"/>
      <c r="G24" s="284" t="s">
        <v>2372</v>
      </c>
    </row>
    <row r="25" spans="1:7" s="258" customFormat="1" ht="24">
      <c r="A25" s="954" t="s">
        <v>2373</v>
      </c>
      <c r="B25" s="259" t="s">
        <v>2374</v>
      </c>
      <c r="C25" s="1358">
        <f ca="1">ROUND(IF('数据-取费表'!B22&lt;=1,C20*F22*'数据-取费表'!B23/2,C20*(POWER((1+F22),'数据-取费表'!B23/2)-1)),0)</f>
        <v>13</v>
      </c>
      <c r="D25" s="282"/>
      <c r="E25" s="285"/>
      <c r="F25" s="283"/>
      <c r="G25" s="286" t="s">
        <v>2375</v>
      </c>
    </row>
    <row r="26" spans="1:7" s="258" customFormat="1">
      <c r="A26" s="954" t="s">
        <v>795</v>
      </c>
      <c r="B26" s="259" t="s">
        <v>2376</v>
      </c>
      <c r="C26" s="282">
        <f ca="1">ROUND(IF('数据-取费表'!B22&lt;=1,F21*F22*'数据-取费表'!B23/2,F21*(POWER((1+F22),'数据-取费表'!B23/2)-1)),4)</f>
        <v>2.8999999999999998E-3</v>
      </c>
      <c r="D26" s="282"/>
      <c r="E26" s="285"/>
      <c r="F26" s="283"/>
      <c r="G26" s="287"/>
    </row>
    <row r="27" spans="1:7" s="258" customFormat="1" ht="24.75">
      <c r="A27" s="299" t="s">
        <v>2377</v>
      </c>
      <c r="B27" s="288" t="s">
        <v>2378</v>
      </c>
      <c r="C27" s="289">
        <f ca="1">C28</f>
        <v>2842</v>
      </c>
      <c r="D27" s="279">
        <f ca="1">C29</f>
        <v>1.2E-2</v>
      </c>
      <c r="E27" s="280" t="s">
        <v>2379</v>
      </c>
      <c r="F27" s="290">
        <f ca="1">IF(B1="",'数据-取费表'!Q16,INDIRECT("'数据-取费表'!q"&amp;$G$1))</f>
        <v>0.25</v>
      </c>
      <c r="G27" s="291" t="s">
        <v>2380</v>
      </c>
    </row>
    <row r="28" spans="1:7" s="258" customFormat="1" ht="13.5" customHeight="1">
      <c r="A28" s="954" t="s">
        <v>791</v>
      </c>
      <c r="B28" s="292" t="s">
        <v>2381</v>
      </c>
      <c r="C28" s="293">
        <f ca="1">ROUND((C5+C19+C20)*F27*'数据-取费表'!B21/'数据-取费表'!B20,0)</f>
        <v>2842</v>
      </c>
      <c r="D28" s="279"/>
      <c r="E28" s="280"/>
      <c r="F28" s="290"/>
      <c r="G28" s="291"/>
    </row>
    <row r="29" spans="1:7" s="258" customFormat="1" ht="13.5" customHeight="1">
      <c r="A29" s="954" t="s">
        <v>792</v>
      </c>
      <c r="B29" s="292" t="s">
        <v>2382</v>
      </c>
      <c r="C29" s="282">
        <f ca="1">ROUND(C21*F27*'数据-取费表'!B21/'数据-取费表'!B20,4)</f>
        <v>1.2E-2</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18200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46310</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42594</v>
      </c>
      <c r="D34" s="261"/>
      <c r="E34" s="264"/>
      <c r="F34" s="301">
        <f ca="1">IF('数据-取费表'!B24=0,1,IF(B1="",'数据-取费表'!N16,INDIRECT("'数据-取费表'!n"&amp;$G$1)))</f>
        <v>0.99</v>
      </c>
      <c r="G34" s="263" t="s">
        <v>2391</v>
      </c>
    </row>
    <row r="35" spans="1:7" ht="13.5" customHeight="1">
      <c r="A35" s="954" t="s">
        <v>796</v>
      </c>
      <c r="B35" s="259" t="s">
        <v>2392</v>
      </c>
      <c r="C35" s="264">
        <f ca="1">ROUND(C34*F35,0)</f>
        <v>2130</v>
      </c>
      <c r="D35" s="264"/>
      <c r="E35" s="264"/>
      <c r="F35" s="303">
        <f>'数据-取费表'!B33</f>
        <v>0.05</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4" t="s">
        <v>798</v>
      </c>
      <c r="B37" s="259" t="s">
        <v>2396</v>
      </c>
      <c r="C37" s="293">
        <f ca="1">ROUND(E37*D37*F34/10000,0)</f>
        <v>947</v>
      </c>
      <c r="D37" s="261">
        <f ca="1">D19</f>
        <v>47804</v>
      </c>
      <c r="E37" s="293">
        <f>'数据-取费表'!B35</f>
        <v>200</v>
      </c>
      <c r="F37" s="303"/>
      <c r="G37" s="305" t="s">
        <v>2397</v>
      </c>
    </row>
    <row r="38" spans="1:7" ht="13.5" customHeight="1">
      <c r="A38" s="954" t="s">
        <v>799</v>
      </c>
      <c r="B38" s="259" t="s">
        <v>2398</v>
      </c>
      <c r="C38" s="264">
        <f ca="1">ROUND(C34*F38,0)</f>
        <v>639</v>
      </c>
      <c r="D38" s="264"/>
      <c r="E38" s="264"/>
      <c r="F38" s="303">
        <f>'数据-取费表'!B36</f>
        <v>1.4999999999999999E-2</v>
      </c>
      <c r="G38" s="263" t="s">
        <v>2393</v>
      </c>
    </row>
    <row r="39" spans="1:7" s="258" customFormat="1" ht="13.5" customHeight="1">
      <c r="A39" s="299" t="s">
        <v>2399</v>
      </c>
      <c r="B39" s="254" t="s">
        <v>2400</v>
      </c>
      <c r="C39" s="276">
        <f ca="1">ROUND(C33*F20,0)</f>
        <v>926</v>
      </c>
      <c r="D39" s="276"/>
      <c r="E39" s="276"/>
      <c r="F39" s="277"/>
      <c r="G39" s="278" t="s">
        <v>2401</v>
      </c>
    </row>
    <row r="40" spans="1:7" s="258" customFormat="1" ht="13.5" customHeight="1">
      <c r="A40" s="299" t="s">
        <v>2402</v>
      </c>
      <c r="B40" s="254" t="s">
        <v>2403</v>
      </c>
      <c r="C40" s="1731">
        <f>F21</f>
        <v>0.05</v>
      </c>
      <c r="D40" s="280" t="s">
        <v>2404</v>
      </c>
      <c r="E40" s="276"/>
      <c r="F40" s="277"/>
      <c r="G40" s="278" t="s">
        <v>2405</v>
      </c>
    </row>
    <row r="41" spans="1:7" s="258" customFormat="1" ht="13.5" customHeight="1">
      <c r="A41" s="299" t="s">
        <v>2406</v>
      </c>
      <c r="B41" s="254" t="s">
        <v>2407</v>
      </c>
      <c r="C41" s="276">
        <f ca="1">ROUND(SUM(C42:C43),0)</f>
        <v>2705</v>
      </c>
      <c r="D41" s="279">
        <f ca="1">C44</f>
        <v>2.8999999999999998E-3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2652</v>
      </c>
      <c r="D42" s="282"/>
      <c r="E42" s="282"/>
      <c r="F42" s="283"/>
      <c r="G42" s="3145" t="s">
        <v>2409</v>
      </c>
    </row>
    <row r="43" spans="1:7" ht="13.5" customHeight="1">
      <c r="A43" s="954" t="s">
        <v>792</v>
      </c>
      <c r="B43" s="259" t="s">
        <v>2410</v>
      </c>
      <c r="C43" s="282">
        <f ca="1">ROUND(IF('数据-取费表'!B22&lt;=1,C39*F22*'数据-取费表'!B21/2,C39*(POWER((1+F22),'数据-取费表'!B21/2)-1)),0)</f>
        <v>53</v>
      </c>
      <c r="D43" s="282"/>
      <c r="E43" s="282"/>
      <c r="F43" s="283"/>
      <c r="G43" s="3146"/>
    </row>
    <row r="44" spans="1:7" ht="13.5" customHeight="1">
      <c r="A44" s="954" t="s">
        <v>793</v>
      </c>
      <c r="B44" s="259" t="s">
        <v>2411</v>
      </c>
      <c r="C44" s="282">
        <f ca="1">ROUND(IF('数据-取费表'!B22&lt;=1,C40*F22*'数据-取费表'!B21/2,C40*(POWER((1+F22),'数据-取费表'!B21/2)-1)),4)</f>
        <v>2.8999999999999998E-3</v>
      </c>
      <c r="D44" s="282"/>
      <c r="E44" s="282"/>
      <c r="F44" s="283"/>
      <c r="G44" s="3147"/>
    </row>
    <row r="45" spans="1:7" s="258" customFormat="1" ht="13.5" customHeight="1">
      <c r="A45" s="299" t="s">
        <v>2412</v>
      </c>
      <c r="B45" s="288" t="s">
        <v>2378</v>
      </c>
      <c r="C45" s="289">
        <f ca="1">C46</f>
        <v>11809</v>
      </c>
      <c r="D45" s="279">
        <f ca="1">C47</f>
        <v>1.2500000000000001E-2</v>
      </c>
      <c r="E45" s="280" t="s">
        <v>2404</v>
      </c>
      <c r="F45" s="290"/>
      <c r="G45" s="291" t="s">
        <v>2413</v>
      </c>
    </row>
    <row r="46" spans="1:7" s="258" customFormat="1" ht="13.5" customHeight="1">
      <c r="A46" s="954" t="s">
        <v>791</v>
      </c>
      <c r="B46" s="292" t="s">
        <v>2414</v>
      </c>
      <c r="C46" s="293">
        <f ca="1">ROUND((C33+C39)*F27,0)</f>
        <v>11809</v>
      </c>
      <c r="D46" s="307"/>
      <c r="E46" s="280"/>
      <c r="F46" s="290"/>
      <c r="G46" s="291"/>
    </row>
    <row r="47" spans="1:7" s="258" customFormat="1" ht="13.5" customHeight="1">
      <c r="A47" s="954" t="s">
        <v>792</v>
      </c>
      <c r="B47" s="292" t="s">
        <v>2415</v>
      </c>
      <c r="C47" s="282">
        <f ca="1">ROUND(C40*F27,4)</f>
        <v>1.2500000000000001E-2</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69995</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69995</v>
      </c>
      <c r="D51" s="276"/>
      <c r="E51" s="276"/>
      <c r="F51" s="308"/>
      <c r="G51" s="278" t="s">
        <v>2425</v>
      </c>
    </row>
    <row r="52" spans="1:7" s="252" customFormat="1" ht="16.5" thickBot="1">
      <c r="A52" s="309" t="s">
        <v>2426</v>
      </c>
      <c r="B52" s="310"/>
      <c r="C52" s="311">
        <f ca="1">C31+C51</f>
        <v>88195</v>
      </c>
      <c r="D52" s="310"/>
      <c r="E52" s="310"/>
      <c r="F52" s="310"/>
      <c r="G52" s="312"/>
    </row>
    <row r="55" spans="1:7" ht="15">
      <c r="B55" s="314" t="s">
        <v>2427</v>
      </c>
      <c r="C55" s="315"/>
    </row>
    <row r="56" spans="1:7">
      <c r="B56" s="317" t="s">
        <v>1506</v>
      </c>
      <c r="C56" s="319">
        <f ca="1">1-C57</f>
        <v>0.20599999999999996</v>
      </c>
    </row>
    <row r="57" spans="1:7">
      <c r="B57" s="317" t="s">
        <v>1507</v>
      </c>
      <c r="C57" s="318">
        <f ca="1">ROUND(C51/C52,3)</f>
        <v>0.79400000000000004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9" t="str">
        <f>项目基本情况!B1</f>
        <v>北京市出让国有建设用地使用权及在建建筑物房地产抵押价值预评估</v>
      </c>
      <c r="C37" s="2959"/>
      <c r="D37" s="2959"/>
      <c r="E37" s="2959"/>
      <c r="F37" s="2959"/>
      <c r="G37" s="2959"/>
      <c r="H37" s="2959"/>
      <c r="I37" s="2959"/>
    </row>
    <row r="38" spans="1:9">
      <c r="A38" s="1019"/>
      <c r="B38" s="1019"/>
    </row>
    <row r="39" spans="1:9">
      <c r="A39" s="1017" t="s">
        <v>818</v>
      </c>
      <c r="B39" s="1017" t="s">
        <v>820</v>
      </c>
    </row>
    <row r="40" spans="1:9">
      <c r="A40" s="1017"/>
      <c r="B40" s="1945" t="str">
        <f>项目基本情况!B5</f>
        <v>金泰丽城（天津）置业投资有限公司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58"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72965</v>
      </c>
      <c r="C2" s="243" t="s">
        <v>2328</v>
      </c>
      <c r="D2" s="2552" t="s">
        <v>70</v>
      </c>
      <c r="E2" s="1443" t="e">
        <f ca="1">SUMIF(INDIRECT("'"&amp;G2&amp;"'"&amp;"!A:A"),"承租人权益价值",INDIRECT("'"&amp;G2&amp;"'"&amp;"!c:c"))</f>
        <v>#REF!</v>
      </c>
      <c r="F2" s="2553" t="s">
        <v>2328</v>
      </c>
      <c r="G2" s="2554"/>
    </row>
    <row r="3" spans="1:8" s="244" customFormat="1" ht="18" customHeight="1" thickBot="1">
      <c r="A3" s="247" t="s">
        <v>2329</v>
      </c>
      <c r="B3" s="248">
        <f ca="1">ROUND(B2*10000/(IF(B1="",'数据-汇总表'!E3,INDIRECT("'数据-取费表'!k"&amp;$G$1))),0)</f>
        <v>15263</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5258440</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5258440</v>
      </c>
      <c r="D8" s="266"/>
      <c r="E8" s="264"/>
      <c r="F8" s="265"/>
      <c r="G8" s="2555"/>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110</v>
      </c>
      <c r="F9" s="265"/>
      <c r="G9" s="270"/>
    </row>
    <row r="10" spans="1:8" s="258" customFormat="1" ht="13.5" customHeight="1">
      <c r="A10" s="953" t="s">
        <v>801</v>
      </c>
      <c r="B10" s="268" t="s">
        <v>2345</v>
      </c>
      <c r="C10" s="269">
        <f ca="1">ROUND(D10*E10,0)</f>
        <v>5258440</v>
      </c>
      <c r="D10" s="1035">
        <f ca="1">IF(B1="",'数据-汇总表'!E6,IF(INDIRECT("'数据-取费表'!c"&amp;$G$1)="住宅",INDIRECT("'数据-取费表'!s"&amp;$G$1),INDIRECT("'数据-取费表'!k"&amp;$G$1)+INDIRECT("'数据-取费表'!s"&amp;$G$1)))</f>
        <v>47804</v>
      </c>
      <c r="E10" s="269">
        <f>'数据-取费表'!B28</f>
        <v>110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8126680</v>
      </c>
      <c r="D19" s="1039">
        <f ca="1">D9+D10</f>
        <v>47804</v>
      </c>
      <c r="E19" s="255">
        <f>'数据-取费表'!B31</f>
        <v>170</v>
      </c>
      <c r="F19" s="275"/>
      <c r="G19" s="2555"/>
    </row>
    <row r="20" spans="1:7" s="258" customFormat="1" ht="13.5" customHeight="1">
      <c r="A20" s="299" t="s">
        <v>2439</v>
      </c>
      <c r="B20" s="254" t="s">
        <v>2440</v>
      </c>
      <c r="C20" s="276">
        <f ca="1">ROUND((C5+C19)*F20,0)</f>
        <v>267702</v>
      </c>
      <c r="D20" s="276"/>
      <c r="E20" s="276"/>
      <c r="F20" s="277">
        <f>'数据-取费表'!B37</f>
        <v>0.02</v>
      </c>
      <c r="G20" s="278" t="s">
        <v>2441</v>
      </c>
    </row>
    <row r="21" spans="1:7" s="258" customFormat="1" ht="13.5" customHeight="1">
      <c r="A21" s="299" t="s">
        <v>2442</v>
      </c>
      <c r="B21" s="254" t="s">
        <v>2443</v>
      </c>
      <c r="C21" s="279">
        <f>F21</f>
        <v>0.05</v>
      </c>
      <c r="D21" s="280" t="s">
        <v>2444</v>
      </c>
      <c r="E21" s="276"/>
      <c r="F21" s="277">
        <f>'数据-取费表'!B38</f>
        <v>0.05</v>
      </c>
      <c r="G21" s="278" t="s">
        <v>2445</v>
      </c>
    </row>
    <row r="22" spans="1:7" s="258" customFormat="1" ht="13.5" customHeight="1">
      <c r="A22" s="299" t="s">
        <v>2446</v>
      </c>
      <c r="B22" s="254" t="s">
        <v>2447</v>
      </c>
      <c r="C22" s="1383">
        <f ca="1">ROUND(SUM(C23:C25),0)</f>
        <v>1662541</v>
      </c>
      <c r="D22" s="279">
        <f ca="1">C26</f>
        <v>3.0000000000000001E-3</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646860</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999693</v>
      </c>
      <c r="D24" s="282"/>
      <c r="E24" s="282"/>
      <c r="F24" s="283"/>
      <c r="G24" s="284" t="s">
        <v>2451</v>
      </c>
    </row>
    <row r="25" spans="1:7" s="258" customFormat="1" ht="24">
      <c r="A25" s="954" t="s">
        <v>2341</v>
      </c>
      <c r="B25" s="259" t="s">
        <v>2452</v>
      </c>
      <c r="C25" s="1384">
        <f ca="1">ROUND(IF('数据-取费表'!B22&lt;=1,C20*F22*'数据-取费表'!B22/2,C20*(POWER((1+F22),'数据-取费表'!B22/2)-1)),0)</f>
        <v>15988</v>
      </c>
      <c r="D25" s="282"/>
      <c r="E25" s="285"/>
      <c r="F25" s="283"/>
      <c r="G25" s="286" t="s">
        <v>2453</v>
      </c>
    </row>
    <row r="26" spans="1:7" s="258" customFormat="1">
      <c r="A26" s="954" t="s">
        <v>795</v>
      </c>
      <c r="B26" s="259" t="s">
        <v>2376</v>
      </c>
      <c r="C26" s="282">
        <f ca="1">ROUND(IF('数据-取费表'!B22&lt;=1,F21*F22*'数据-取费表'!B22/2,F21*(POWER((1+F22),'数据-取费表'!B22/2)-1)),4)</f>
        <v>3.0000000000000001E-3</v>
      </c>
      <c r="D26" s="282"/>
      <c r="E26" s="285"/>
      <c r="F26" s="283"/>
      <c r="G26" s="287"/>
    </row>
    <row r="27" spans="1:7" s="258" customFormat="1" ht="24.75">
      <c r="A27" s="299" t="s">
        <v>2377</v>
      </c>
      <c r="B27" s="288" t="s">
        <v>2378</v>
      </c>
      <c r="C27" s="289">
        <f ca="1">C28</f>
        <v>3413206</v>
      </c>
      <c r="D27" s="279">
        <f ca="1">C29</f>
        <v>1.2500000000000001E-2</v>
      </c>
      <c r="E27" s="280" t="s">
        <v>2379</v>
      </c>
      <c r="F27" s="290">
        <f ca="1">IF(B1="",'数据-取费表'!Q16,INDIRECT("'数据-取费表'!q"&amp;$G$1))</f>
        <v>0.25</v>
      </c>
      <c r="G27" s="291" t="s">
        <v>2380</v>
      </c>
    </row>
    <row r="28" spans="1:7" s="258" customFormat="1" ht="13.5" customHeight="1">
      <c r="A28" s="954" t="s">
        <v>791</v>
      </c>
      <c r="B28" s="292" t="s">
        <v>2381</v>
      </c>
      <c r="C28" s="293">
        <f ca="1">ROUND((C5+C19+C20)*F27,0)</f>
        <v>3413206</v>
      </c>
      <c r="D28" s="279"/>
      <c r="E28" s="280"/>
      <c r="F28" s="290"/>
      <c r="G28" s="291"/>
    </row>
    <row r="29" spans="1:7" s="258" customFormat="1" ht="13.5" customHeight="1">
      <c r="A29" s="954" t="s">
        <v>792</v>
      </c>
      <c r="B29" s="292" t="s">
        <v>2382</v>
      </c>
      <c r="C29" s="282">
        <f ca="1">ROUND(C21*F27,4)</f>
        <v>1.2500000000000001E-2</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21231798</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467762140</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430236000</v>
      </c>
      <c r="D34" s="261"/>
      <c r="E34" s="264"/>
      <c r="F34" s="301"/>
      <c r="G34" s="263"/>
    </row>
    <row r="35" spans="1:7" ht="13.5" customHeight="1">
      <c r="A35" s="954" t="s">
        <v>796</v>
      </c>
      <c r="B35" s="259" t="s">
        <v>2392</v>
      </c>
      <c r="C35" s="264">
        <f ca="1">ROUND(C34*F35,0)</f>
        <v>21511800</v>
      </c>
      <c r="D35" s="264"/>
      <c r="E35" s="264"/>
      <c r="F35" s="303">
        <f>'数据-取费表'!B33</f>
        <v>0.05</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4" t="s">
        <v>798</v>
      </c>
      <c r="B37" s="259" t="s">
        <v>2396</v>
      </c>
      <c r="C37" s="293">
        <f ca="1">ROUND(E37*D37,0)</f>
        <v>9560800</v>
      </c>
      <c r="D37" s="261">
        <f ca="1">D19</f>
        <v>47804</v>
      </c>
      <c r="E37" s="293">
        <f>'数据-取费表'!B35</f>
        <v>200</v>
      </c>
      <c r="F37" s="303"/>
      <c r="G37" s="305"/>
    </row>
    <row r="38" spans="1:7" ht="13.5" customHeight="1">
      <c r="A38" s="954" t="s">
        <v>799</v>
      </c>
      <c r="B38" s="259" t="s">
        <v>2398</v>
      </c>
      <c r="C38" s="264">
        <f ca="1">ROUND(C34*F38,0)</f>
        <v>6453540</v>
      </c>
      <c r="D38" s="264"/>
      <c r="E38" s="264"/>
      <c r="F38" s="303">
        <f>'数据-取费表'!B36</f>
        <v>1.4999999999999999E-2</v>
      </c>
      <c r="G38" s="263" t="s">
        <v>2393</v>
      </c>
    </row>
    <row r="39" spans="1:7" s="258" customFormat="1" ht="13.5" customHeight="1">
      <c r="A39" s="299" t="s">
        <v>2399</v>
      </c>
      <c r="B39" s="254" t="s">
        <v>2400</v>
      </c>
      <c r="C39" s="276">
        <f ca="1">ROUND(C33*F20,0)</f>
        <v>9355243</v>
      </c>
      <c r="D39" s="276"/>
      <c r="E39" s="276"/>
      <c r="F39" s="277"/>
      <c r="G39" s="278" t="s">
        <v>2401</v>
      </c>
    </row>
    <row r="40" spans="1:7" s="258" customFormat="1" ht="13.5" customHeight="1">
      <c r="A40" s="299" t="s">
        <v>2402</v>
      </c>
      <c r="B40" s="254" t="s">
        <v>2403</v>
      </c>
      <c r="C40" s="1731">
        <f>F21</f>
        <v>0.05</v>
      </c>
      <c r="D40" s="280" t="s">
        <v>2404</v>
      </c>
      <c r="E40" s="276"/>
      <c r="F40" s="277"/>
      <c r="G40" s="278" t="s">
        <v>2405</v>
      </c>
    </row>
    <row r="41" spans="1:7" s="258" customFormat="1" ht="13.5" customHeight="1">
      <c r="A41" s="299" t="s">
        <v>2406</v>
      </c>
      <c r="B41" s="254" t="s">
        <v>2407</v>
      </c>
      <c r="C41" s="276">
        <f ca="1">ROUND(SUM(C42:C43),0)</f>
        <v>28495090</v>
      </c>
      <c r="D41" s="279">
        <f ca="1">C44</f>
        <v>3.0000000000000001E-3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27936363</v>
      </c>
      <c r="D42" s="282"/>
      <c r="E42" s="282"/>
      <c r="F42" s="283"/>
      <c r="G42" s="3145" t="s">
        <v>2456</v>
      </c>
    </row>
    <row r="43" spans="1:7" ht="13.5" customHeight="1">
      <c r="A43" s="954" t="s">
        <v>792</v>
      </c>
      <c r="B43" s="259" t="s">
        <v>2410</v>
      </c>
      <c r="C43" s="282">
        <f ca="1">ROUND(IF('数据-取费表'!B22&lt;=1,C39*F22*'数据-取费表'!B20/2,C39*(POWER((1+F22),'数据-取费表'!B20/2)-1)),0)</f>
        <v>558727</v>
      </c>
      <c r="D43" s="282"/>
      <c r="E43" s="282"/>
      <c r="F43" s="283"/>
      <c r="G43" s="3146"/>
    </row>
    <row r="44" spans="1:7" ht="13.5" customHeight="1">
      <c r="A44" s="954" t="s">
        <v>793</v>
      </c>
      <c r="B44" s="259" t="s">
        <v>2411</v>
      </c>
      <c r="C44" s="282">
        <f ca="1">ROUND(IF('数据-取费表'!B22&lt;=1,C40*F22*'数据-取费表'!B20/2,C40*(POWER((1+F22),'数据-取费表'!B20/2)-1)),4)</f>
        <v>3.0000000000000001E-3</v>
      </c>
      <c r="D44" s="282"/>
      <c r="E44" s="282"/>
      <c r="F44" s="283"/>
      <c r="G44" s="3147"/>
    </row>
    <row r="45" spans="1:7" s="258" customFormat="1" ht="13.5" customHeight="1">
      <c r="A45" s="299" t="s">
        <v>2412</v>
      </c>
      <c r="B45" s="288" t="s">
        <v>2378</v>
      </c>
      <c r="C45" s="289">
        <f ca="1">C46</f>
        <v>119279346</v>
      </c>
      <c r="D45" s="279">
        <f ca="1">C47</f>
        <v>1.2500000000000001E-2</v>
      </c>
      <c r="E45" s="280" t="s">
        <v>2404</v>
      </c>
      <c r="F45" s="290"/>
      <c r="G45" s="291" t="s">
        <v>2413</v>
      </c>
    </row>
    <row r="46" spans="1:7" s="258" customFormat="1" ht="13.5" customHeight="1">
      <c r="A46" s="954" t="s">
        <v>791</v>
      </c>
      <c r="B46" s="292" t="s">
        <v>2414</v>
      </c>
      <c r="C46" s="293">
        <f ca="1">ROUND((C33+C39)*F27,0)</f>
        <v>119279346</v>
      </c>
      <c r="D46" s="307"/>
      <c r="E46" s="280"/>
      <c r="F46" s="290"/>
      <c r="G46" s="291"/>
    </row>
    <row r="47" spans="1:7" s="258" customFormat="1" ht="13.5" customHeight="1">
      <c r="A47" s="954" t="s">
        <v>792</v>
      </c>
      <c r="B47" s="292" t="s">
        <v>2415</v>
      </c>
      <c r="C47" s="282">
        <f ca="1">ROUND(C40*F27,4)</f>
        <v>1.2500000000000001E-2</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708413807</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708413807</v>
      </c>
      <c r="D51" s="276"/>
      <c r="E51" s="276"/>
      <c r="F51" s="308"/>
      <c r="G51" s="278" t="s">
        <v>2425</v>
      </c>
    </row>
    <row r="52" spans="1:7" s="252" customFormat="1" ht="16.5" thickBot="1">
      <c r="A52" s="309" t="s">
        <v>2426</v>
      </c>
      <c r="B52" s="310"/>
      <c r="C52" s="311">
        <f ca="1">C31+C51</f>
        <v>729645605</v>
      </c>
      <c r="D52" s="310"/>
      <c r="E52" s="310"/>
      <c r="F52" s="310"/>
      <c r="G52" s="312"/>
    </row>
    <row r="55" spans="1:7" ht="15">
      <c r="B55" s="314" t="s">
        <v>2427</v>
      </c>
      <c r="C55" s="315"/>
    </row>
    <row r="56" spans="1:7">
      <c r="B56" s="317" t="s">
        <v>1506</v>
      </c>
      <c r="C56" s="319">
        <f ca="1">1-C57</f>
        <v>2.9000000000000026E-2</v>
      </c>
    </row>
    <row r="57" spans="1:7">
      <c r="B57" s="317" t="s">
        <v>1507</v>
      </c>
      <c r="C57" s="318">
        <f ca="1">ROUND(C51/C52,3)</f>
        <v>0.97099999999999997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4"/>
      <c r="C1" s="1585" t="s">
        <v>3057</v>
      </c>
      <c r="D1" s="1583"/>
      <c r="E1" s="320"/>
      <c r="F1" s="320"/>
      <c r="G1" s="1584"/>
      <c r="H1" s="320"/>
      <c r="I1" s="320"/>
      <c r="J1" s="320"/>
      <c r="K1" s="320">
        <f>MATCH(C1,'数据-取费表'!A6:A16,0)+5</f>
        <v>6</v>
      </c>
    </row>
    <row r="2" spans="1:33" ht="18" customHeight="1">
      <c r="A2" s="245" t="s">
        <v>2327</v>
      </c>
      <c r="B2" s="248">
        <f ca="1">C32</f>
        <v>102987</v>
      </c>
      <c r="C2" s="320" t="s">
        <v>2460</v>
      </c>
      <c r="D2" s="320"/>
      <c r="E2" s="320"/>
      <c r="F2" s="320"/>
      <c r="G2" s="320"/>
      <c r="H2" s="320"/>
      <c r="I2" s="320"/>
      <c r="J2" s="320"/>
      <c r="K2" s="320"/>
    </row>
    <row r="3" spans="1:33" ht="18" customHeight="1" thickBot="1">
      <c r="A3" s="247" t="s">
        <v>2329</v>
      </c>
      <c r="B3" s="248">
        <f ca="1">ROUND(B2*10000/IF(C1="",'数据-汇总表'!E3,INDIRECT("'数据-取费表'!K"&amp;$K$1)),0)</f>
        <v>21544</v>
      </c>
      <c r="C3" s="320" t="s">
        <v>2461</v>
      </c>
      <c r="D3" s="320"/>
      <c r="E3" s="320"/>
      <c r="F3" s="320"/>
      <c r="G3" s="320"/>
      <c r="H3" s="320"/>
      <c r="I3" s="320"/>
      <c r="J3" s="320"/>
      <c r="K3" s="320"/>
    </row>
    <row r="4" spans="1:33" s="959" customFormat="1" ht="16.5" customHeight="1">
      <c r="A4" s="956" t="s">
        <v>2462</v>
      </c>
      <c r="B4" s="957"/>
      <c r="C4" s="999">
        <f ca="1">SUM(C8:K8)</f>
        <v>114887.3532</v>
      </c>
      <c r="D4" s="957"/>
      <c r="E4" s="957"/>
      <c r="F4" s="957"/>
      <c r="G4" s="957"/>
      <c r="H4" s="957"/>
      <c r="I4" s="957"/>
      <c r="J4" s="957"/>
      <c r="K4" s="958"/>
    </row>
    <row r="5" spans="1:33" s="963" customFormat="1" ht="25.5">
      <c r="A5" s="960" t="s">
        <v>2463</v>
      </c>
      <c r="B5" s="961" t="s">
        <v>2464</v>
      </c>
      <c r="C5" s="2559" t="s">
        <v>3057</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f ca="1">收益法!B3</f>
        <v>24033</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47804</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f ca="1">C6*C7/10000</f>
        <v>114887.3532</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1327</v>
      </c>
      <c r="B11" s="975" t="s">
        <v>2479</v>
      </c>
      <c r="C11" s="323">
        <f ca="1">IF(C1="",'数据-取费表'!P16,INDIRECT("'数据-取费表'!p"&amp;$K$1)+INDIRECT("'数据-取费表'!ar"&amp;$K$1))</f>
        <v>430</v>
      </c>
      <c r="D11" s="976"/>
      <c r="E11" s="375"/>
      <c r="F11" s="977">
        <f ca="1">1-IF('数据-取费表'!B24=0,1,IF(C1="",'数据-取费表'!N16,INDIRECT("'数据-取费表'!n"&amp;$K$1)))</f>
        <v>1.0000000000000009E-2</v>
      </c>
      <c r="G11" s="8"/>
      <c r="H11" s="971"/>
      <c r="I11" s="971"/>
      <c r="J11" s="971"/>
      <c r="K11" s="972"/>
    </row>
    <row r="12" spans="1:33" s="978" customFormat="1" ht="13.5" customHeight="1">
      <c r="A12" s="974" t="s">
        <v>1328</v>
      </c>
      <c r="B12" s="975" t="s">
        <v>2480</v>
      </c>
      <c r="C12" s="24">
        <f ca="1">ROUND(C11*F12,0)</f>
        <v>22</v>
      </c>
      <c r="D12" s="976"/>
      <c r="E12" s="375"/>
      <c r="F12" s="979">
        <f>'数据-取费表'!B33</f>
        <v>0.05</v>
      </c>
      <c r="G12" s="8" t="s">
        <v>2481</v>
      </c>
      <c r="H12" s="971"/>
      <c r="I12" s="971"/>
      <c r="J12" s="971"/>
      <c r="K12" s="972"/>
    </row>
    <row r="13" spans="1:33" s="978" customFormat="1" ht="13.5" customHeight="1">
      <c r="A13" s="974" t="s">
        <v>1329</v>
      </c>
      <c r="B13" s="975" t="s">
        <v>2482</v>
      </c>
      <c r="C13" s="24">
        <f ca="1">ROUND(IF(C1="",SUMIF('数据-取费表'!C:C,"住宅",'数据-取费表'!P:P)*F13,IF(INDIRECT("'数据-取费表'!c"&amp;$K$1)="住宅",INDIRECT("'数据-取费表'!P"&amp;$K$1)*F13,0)),0)</f>
        <v>0</v>
      </c>
      <c r="D13" s="1036"/>
      <c r="E13" s="375"/>
      <c r="F13" s="979">
        <f>'数据-取费表'!B34</f>
        <v>0.05</v>
      </c>
      <c r="G13" s="8" t="s">
        <v>2483</v>
      </c>
      <c r="H13" s="971"/>
      <c r="I13" s="971"/>
      <c r="J13" s="971"/>
      <c r="K13" s="972"/>
    </row>
    <row r="14" spans="1:33" s="980" customFormat="1" ht="13.5" customHeight="1">
      <c r="A14" s="974" t="s">
        <v>1330</v>
      </c>
      <c r="B14" s="975" t="s">
        <v>2484</v>
      </c>
      <c r="C14" s="24">
        <f ca="1">ROUND(D14*E14*F11/10000,0)</f>
        <v>10</v>
      </c>
      <c r="D14" s="1036">
        <f ca="1">IF(C1="",'数据-汇总表'!E3,INDIRECT("'数据-取费表'!K"&amp;$K$1)+INDIRECT("'数据-取费表'!S"&amp;$K$1))</f>
        <v>47804</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1331</v>
      </c>
      <c r="B15" s="975" t="s">
        <v>2486</v>
      </c>
      <c r="C15" s="986">
        <f ca="1">ROUND(C11*F15,0)</f>
        <v>6</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468</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47804</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1332</v>
      </c>
      <c r="B18" s="975" t="s">
        <v>2491</v>
      </c>
      <c r="C18" s="24">
        <f ca="1">C19+C20-IF(C1="",'数据-取费表'!B29,IF(G18="已全部缴纳",C19+C20,H18))</f>
        <v>526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110</v>
      </c>
      <c r="F19" s="979"/>
      <c r="G19" s="15"/>
      <c r="H19" s="1582"/>
      <c r="I19" s="984"/>
      <c r="J19" s="984"/>
      <c r="K19" s="985"/>
    </row>
    <row r="20" spans="1:33" s="978" customFormat="1" ht="13.5" customHeight="1">
      <c r="A20" s="974" t="s">
        <v>806</v>
      </c>
      <c r="B20" s="975" t="s">
        <v>2494</v>
      </c>
      <c r="C20" s="24">
        <f ca="1">ROUND(D20*E20/10000,0)</f>
        <v>526</v>
      </c>
      <c r="D20" s="1036">
        <f ca="1">IF(C1="",'数据-汇总表'!E6,IF(INDIRECT("'数据-取费表'!c"&amp;$K$1)="住宅",INDIRECT("'数据-取费表'!s"&amp;$K$1),INDIRECT("'数据-取费表'!k"&amp;$K$1)+INDIRECT("'数据-取费表'!s"&amp;$K$1)))</f>
        <v>47804</v>
      </c>
      <c r="E20" s="24">
        <f>'数据-取费表'!B28</f>
        <v>110</v>
      </c>
      <c r="F20" s="979"/>
      <c r="G20" s="15"/>
      <c r="H20" s="984"/>
      <c r="I20" s="984"/>
      <c r="J20" s="984"/>
      <c r="K20" s="985"/>
    </row>
    <row r="21" spans="1:33" s="978" customFormat="1" ht="13.5" customHeight="1">
      <c r="A21" s="964" t="s">
        <v>802</v>
      </c>
      <c r="B21" s="988" t="s">
        <v>2495</v>
      </c>
      <c r="C21" s="989">
        <f ca="1">C16+C17+C18</f>
        <v>994</v>
      </c>
      <c r="D21" s="990"/>
      <c r="E21" s="325"/>
      <c r="F21" s="325"/>
      <c r="G21" s="140" t="s">
        <v>2496</v>
      </c>
      <c r="H21" s="982"/>
      <c r="I21" s="982"/>
      <c r="J21" s="982"/>
      <c r="K21" s="983"/>
    </row>
    <row r="22" spans="1:33" s="978" customFormat="1" ht="13.5" customHeight="1">
      <c r="A22" s="964" t="s">
        <v>2468</v>
      </c>
      <c r="B22" s="988" t="s">
        <v>2497</v>
      </c>
      <c r="C22" s="989">
        <f ca="1">ROUND(C21*F22,0)</f>
        <v>20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57</v>
      </c>
      <c r="D23" s="325"/>
      <c r="E23" s="325"/>
      <c r="F23" s="991">
        <f>'数据-取费表'!B38</f>
        <v>0.05</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2</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4.7999999999999996E-3</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2</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268</v>
      </c>
      <c r="D28" s="324">
        <f ca="1">C29</f>
        <v>1.03E-2</v>
      </c>
      <c r="E28" s="326" t="s">
        <v>15</v>
      </c>
      <c r="F28" s="332">
        <f ca="1">IF(C1="",'数据-取费表'!Q16,INDIRECT("'数据-取费表'!q"&amp;$K$1))</f>
        <v>0.25</v>
      </c>
      <c r="G28" s="992"/>
      <c r="H28" s="993"/>
      <c r="I28" s="993"/>
      <c r="J28" s="993"/>
      <c r="K28" s="994"/>
    </row>
    <row r="29" spans="1:33" s="335" customFormat="1" ht="13.5" customHeight="1">
      <c r="A29" s="974" t="s">
        <v>803</v>
      </c>
      <c r="B29" s="997" t="s">
        <v>2510</v>
      </c>
      <c r="C29" s="328">
        <f ca="1">ROUND((1+C24)*F28*'数据-取费表'!B24/'数据-取费表'!B20,4)</f>
        <v>1.03E-2</v>
      </c>
      <c r="D29" s="328"/>
      <c r="E29" s="329"/>
      <c r="F29" s="334"/>
      <c r="G29" s="140" t="s">
        <v>2511</v>
      </c>
      <c r="H29" s="982"/>
      <c r="I29" s="982"/>
      <c r="J29" s="982"/>
      <c r="K29" s="983"/>
    </row>
    <row r="30" spans="1:33" s="335" customFormat="1" ht="13.5" customHeight="1">
      <c r="A30" s="974" t="s">
        <v>804</v>
      </c>
      <c r="B30" s="997" t="s">
        <v>2512</v>
      </c>
      <c r="C30" s="336">
        <f ca="1">ROUND((C21+C22+C23)*F28,0)</f>
        <v>268</v>
      </c>
      <c r="D30" s="328"/>
      <c r="E30" s="329"/>
      <c r="F30" s="334"/>
      <c r="G30" s="140"/>
      <c r="H30" s="982"/>
      <c r="I30" s="982"/>
      <c r="J30" s="982"/>
      <c r="K30" s="983"/>
    </row>
    <row r="31" spans="1:33" s="978" customFormat="1" ht="13.5" customHeight="1" thickBot="1">
      <c r="A31" s="2565" t="s">
        <v>2513</v>
      </c>
      <c r="B31" s="1008" t="s">
        <v>2514</v>
      </c>
      <c r="C31" s="1009">
        <f ca="1">ROUND(C4*F31/(1+'数据-取费表'!C42),0)</f>
        <v>6018</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102987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Normal="100" zoomScaleSheetLayoutView="90" workbookViewId="0">
      <selection activeCell="D26" sqref="D2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1582</v>
      </c>
      <c r="B1" s="782"/>
      <c r="C1" s="1840" t="s">
        <v>3057</v>
      </c>
      <c r="D1" s="1823" t="s">
        <v>3068</v>
      </c>
      <c r="E1" s="1824" t="s">
        <v>1380</v>
      </c>
      <c r="F1" s="1286">
        <f ca="1">J53</f>
        <v>33.54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1508</v>
      </c>
      <c r="B2" s="1847">
        <f ca="1">C40+J29+L46</f>
        <v>114889</v>
      </c>
      <c r="C2" s="1848" t="s">
        <v>1509</v>
      </c>
      <c r="D2" s="1848"/>
      <c r="E2" s="1849"/>
      <c r="F2" s="1850"/>
      <c r="G2" s="1851"/>
      <c r="H2" s="1843"/>
      <c r="I2" s="1843"/>
      <c r="J2" s="1843"/>
      <c r="K2" s="1844"/>
      <c r="L2" s="1843"/>
      <c r="M2" s="1843"/>
    </row>
    <row r="3" spans="1:37" ht="18" customHeight="1" thickBot="1">
      <c r="A3" s="1852" t="s">
        <v>1510</v>
      </c>
      <c r="B3" s="1853">
        <f ca="1">IF(ISERROR(B2*10000/F43),0,ROUND(B2*10000/F43,0))</f>
        <v>24033</v>
      </c>
      <c r="C3" s="1848" t="s">
        <v>1511</v>
      </c>
      <c r="D3" s="1848"/>
      <c r="E3" s="1849"/>
      <c r="F3" s="1850"/>
      <c r="G3" s="1851"/>
      <c r="H3" s="744" t="s">
        <v>1581</v>
      </c>
      <c r="I3" s="1843"/>
      <c r="J3" s="1843"/>
      <c r="K3" s="1844"/>
      <c r="L3" s="1843"/>
      <c r="M3" s="1843"/>
    </row>
    <row r="4" spans="1:37" ht="18" customHeight="1">
      <c r="A4" s="340" t="s">
        <v>1389</v>
      </c>
      <c r="B4" s="341" t="s">
        <v>1390</v>
      </c>
      <c r="C4" s="341" t="s">
        <v>1391</v>
      </c>
      <c r="D4" s="341" t="s">
        <v>1392</v>
      </c>
      <c r="E4" s="342" t="s">
        <v>1393</v>
      </c>
      <c r="F4" s="343"/>
      <c r="G4" s="1854"/>
      <c r="H4" s="340" t="s">
        <v>1389</v>
      </c>
      <c r="I4" s="341" t="s">
        <v>1390</v>
      </c>
      <c r="J4" s="341" t="s">
        <v>1391</v>
      </c>
      <c r="K4" s="341" t="s">
        <v>1392</v>
      </c>
      <c r="L4" s="342" t="s">
        <v>1393</v>
      </c>
      <c r="M4" s="343"/>
    </row>
    <row r="5" spans="1:37" ht="18" customHeight="1">
      <c r="A5" s="344">
        <v>1</v>
      </c>
      <c r="B5" s="345" t="s">
        <v>1394</v>
      </c>
      <c r="C5" s="1295">
        <f ca="1">C6+C10+C12</f>
        <v>6383</v>
      </c>
      <c r="D5" s="1825" t="s">
        <v>1395</v>
      </c>
      <c r="E5" s="1296"/>
      <c r="F5" s="1297"/>
      <c r="G5" s="1854"/>
      <c r="H5" s="344">
        <v>1</v>
      </c>
      <c r="I5" s="345" t="s">
        <v>1394</v>
      </c>
      <c r="J5" s="1295">
        <f ca="1">J6+J10+J12</f>
        <v>0</v>
      </c>
      <c r="K5" s="1825" t="s">
        <v>1395</v>
      </c>
      <c r="L5" s="1296"/>
      <c r="M5" s="1297"/>
    </row>
    <row r="6" spans="1:37" ht="18" customHeight="1">
      <c r="A6" s="1294" t="s">
        <v>1035</v>
      </c>
      <c r="B6" s="3150" t="s">
        <v>1396</v>
      </c>
      <c r="C6" s="1299">
        <f ca="1">ROUND(F6*F8*F7*(1-F9)/10000,0)</f>
        <v>6383</v>
      </c>
      <c r="D6" s="164" t="s">
        <v>3033</v>
      </c>
      <c r="E6" s="347" t="s">
        <v>1398</v>
      </c>
      <c r="F6" s="348">
        <f ca="1">INDIRECT("'数据-取费表'!u"&amp;$G$1)</f>
        <v>3.6582025003925849</v>
      </c>
      <c r="G6" s="1854"/>
      <c r="H6" s="1294" t="s">
        <v>1035</v>
      </c>
      <c r="I6" s="3150" t="s">
        <v>1396</v>
      </c>
      <c r="J6" s="346">
        <f ca="1">ROUND(M6*M8*M7*(1-M9)/10000,0)</f>
        <v>0</v>
      </c>
      <c r="K6" s="164" t="s">
        <v>3032</v>
      </c>
      <c r="L6" s="347" t="s">
        <v>1398</v>
      </c>
      <c r="M6" s="348">
        <f ca="1">INDIRECT("'数据-取费表'!z"&amp;$G$1)</f>
        <v>0</v>
      </c>
    </row>
    <row r="7" spans="1:37" ht="18" customHeight="1">
      <c r="A7" s="1298"/>
      <c r="B7" s="3151"/>
      <c r="C7" s="1300"/>
      <c r="D7" s="352"/>
      <c r="E7" s="1301" t="s">
        <v>1399</v>
      </c>
      <c r="F7" s="348">
        <f ca="1">IF(INDIRECT("'数据-取费表'!ah"&amp;$G$1)="",INDIRECT("'数据-取费表'!k"&amp;$G$1),INDIRECT("'数据-取费表'!ah"&amp;$G$1))</f>
        <v>47804</v>
      </c>
      <c r="G7" s="1854"/>
      <c r="H7" s="349"/>
      <c r="I7" s="3151"/>
      <c r="J7" s="351"/>
      <c r="K7" s="352"/>
      <c r="L7" s="347" t="s">
        <v>1399</v>
      </c>
      <c r="M7" s="348">
        <f ca="1">F7</f>
        <v>47804</v>
      </c>
    </row>
    <row r="8" spans="1:37" ht="18" customHeight="1">
      <c r="A8" s="349"/>
      <c r="B8" s="3151"/>
      <c r="C8" s="351"/>
      <c r="D8" s="352"/>
      <c r="E8" s="347" t="s">
        <v>1400</v>
      </c>
      <c r="F8" s="348">
        <f ca="1">INDIRECT("'数据-取费表'!ai"&amp;$G$1)</f>
        <v>365</v>
      </c>
      <c r="G8" s="1854"/>
      <c r="H8" s="349"/>
      <c r="I8" s="3151"/>
      <c r="J8" s="351"/>
      <c r="K8" s="352"/>
      <c r="L8" s="347" t="s">
        <v>1400</v>
      </c>
      <c r="M8" s="348">
        <f ca="1">INDIRECT("'数据-取费表'!ai"&amp;$G$1)</f>
        <v>365</v>
      </c>
    </row>
    <row r="9" spans="1:37" ht="18" customHeight="1">
      <c r="A9" s="349"/>
      <c r="B9" s="3152"/>
      <c r="C9" s="351"/>
      <c r="D9" s="352"/>
      <c r="E9" s="347" t="s">
        <v>1401</v>
      </c>
      <c r="F9" s="357">
        <f ca="1">INDIRECT("'数据-取费表'!w"&amp;$G$1)</f>
        <v>0</v>
      </c>
      <c r="G9" s="1854"/>
      <c r="H9" s="349"/>
      <c r="I9" s="3152"/>
      <c r="J9" s="351"/>
      <c r="K9" s="352"/>
      <c r="L9" s="358" t="s">
        <v>1401</v>
      </c>
      <c r="M9" s="359">
        <f ca="1">INDIRECT("'数据-取费表'!ab"&amp;$G$1)</f>
        <v>0</v>
      </c>
    </row>
    <row r="10" spans="1:37" ht="18" customHeight="1">
      <c r="A10" s="1294" t="s">
        <v>1039</v>
      </c>
      <c r="B10" s="1826" t="s">
        <v>1402</v>
      </c>
      <c r="C10" s="361">
        <f ca="1">ROUND(IF(F10="押一",C6/12*F11,IF(F10="押二",C6/12*2*F11,IF(F10="押三",C6/12*3*F11,C11*F11))),0)</f>
        <v>0</v>
      </c>
      <c r="D10" s="1827" t="s">
        <v>3042</v>
      </c>
      <c r="E10" s="358" t="s">
        <v>1403</v>
      </c>
      <c r="F10" s="1369"/>
      <c r="G10" s="1854"/>
      <c r="H10" s="1294" t="s">
        <v>1039</v>
      </c>
      <c r="I10" s="1826" t="s">
        <v>1402</v>
      </c>
      <c r="J10" s="346">
        <f ca="1">ROUND(IF(M10="押一",J6/12*M11,IF(M10="押二",J6/12*2*M11,IF(M10="押三",J6/12*3*M11,J11*M11))),0)</f>
        <v>0</v>
      </c>
      <c r="K10" s="1827" t="s">
        <v>3041</v>
      </c>
      <c r="L10" s="358" t="s">
        <v>1403</v>
      </c>
      <c r="M10" s="1369" t="s">
        <v>1404</v>
      </c>
    </row>
    <row r="11" spans="1:37" ht="18" customHeight="1">
      <c r="A11" s="353"/>
      <c r="B11" s="1828" t="s">
        <v>1381</v>
      </c>
      <c r="C11" s="1181"/>
      <c r="D11" s="1829"/>
      <c r="E11" s="358" t="s">
        <v>1405</v>
      </c>
      <c r="F11" s="359">
        <f ca="1">'数据-取费表'!B39</f>
        <v>1.4999999999999999E-2</v>
      </c>
      <c r="G11" s="1854"/>
      <c r="H11" s="1302"/>
      <c r="I11" s="1828" t="s">
        <v>1381</v>
      </c>
      <c r="J11" s="1181"/>
      <c r="K11" s="748"/>
      <c r="L11" s="358" t="s">
        <v>1405</v>
      </c>
      <c r="M11" s="1059">
        <f ca="1">'数据-取费表'!B39</f>
        <v>1.4999999999999999E-2</v>
      </c>
    </row>
    <row r="12" spans="1:37" ht="18" customHeight="1" thickBot="1">
      <c r="A12" s="1336" t="s">
        <v>1075</v>
      </c>
      <c r="B12" s="1830" t="s">
        <v>1406</v>
      </c>
      <c r="C12" s="1337"/>
      <c r="D12" s="1338"/>
      <c r="E12" s="1343"/>
      <c r="F12" s="1339"/>
      <c r="G12" s="1854"/>
      <c r="H12" s="1336" t="s">
        <v>1075</v>
      </c>
      <c r="I12" s="1830" t="s">
        <v>1406</v>
      </c>
      <c r="J12" s="1337"/>
      <c r="K12" s="1351"/>
      <c r="L12" s="1343"/>
      <c r="M12" s="1352"/>
    </row>
    <row r="13" spans="1:37" ht="18" customHeight="1" thickTop="1">
      <c r="A13" s="1332">
        <v>2</v>
      </c>
      <c r="B13" s="1333" t="s">
        <v>1407</v>
      </c>
      <c r="C13" s="355">
        <f ca="1">ROUND(C29*F13,0)</f>
        <v>70842</v>
      </c>
      <c r="D13" s="1334" t="s">
        <v>1408</v>
      </c>
      <c r="E13" s="1334" t="s">
        <v>1409</v>
      </c>
      <c r="F13" s="1335">
        <f ca="1">INDIRECT("'数据-取费表'!y"&amp;$G$1)</f>
        <v>1</v>
      </c>
      <c r="G13" s="1854"/>
      <c r="H13" s="1332">
        <v>2</v>
      </c>
      <c r="I13" s="1333" t="s">
        <v>1407</v>
      </c>
      <c r="J13" s="1293">
        <f ca="1">ROUND(J14*J15,0)</f>
        <v>70842</v>
      </c>
      <c r="K13" s="1340" t="s">
        <v>1408</v>
      </c>
      <c r="L13" s="1855"/>
      <c r="M13" s="1856"/>
    </row>
    <row r="14" spans="1:37" ht="18" customHeight="1">
      <c r="A14" s="1204" t="s">
        <v>1034</v>
      </c>
      <c r="B14" s="347" t="s">
        <v>1410</v>
      </c>
      <c r="C14" s="363">
        <f ca="1">INDIRECT("'数据-取费表'!m"&amp;$G$1)+INDIRECT("'数据-取费表'!t"&amp;$G$1)</f>
        <v>43024</v>
      </c>
      <c r="D14" s="1803" t="s">
        <v>1411</v>
      </c>
      <c r="E14" s="1797"/>
      <c r="F14" s="364"/>
      <c r="G14" s="1854"/>
      <c r="H14" s="1204" t="s">
        <v>1035</v>
      </c>
      <c r="I14" s="347" t="s">
        <v>1412</v>
      </c>
      <c r="J14" s="24">
        <f ca="1">C29</f>
        <v>70842</v>
      </c>
      <c r="K14" s="15"/>
      <c r="L14" s="982"/>
      <c r="M14" s="983"/>
    </row>
    <row r="15" spans="1:37" s="1861" customFormat="1" ht="18" customHeight="1" thickBot="1">
      <c r="A15" s="1204" t="s">
        <v>1036</v>
      </c>
      <c r="B15" s="347" t="s">
        <v>1413</v>
      </c>
      <c r="C15" s="24">
        <f ca="1">ROUND(C14*F15,0)</f>
        <v>2151</v>
      </c>
      <c r="D15" s="365" t="s">
        <v>1414</v>
      </c>
      <c r="E15" s="365" t="s">
        <v>1415</v>
      </c>
      <c r="F15" s="366">
        <f>'数据-取费表'!B33</f>
        <v>0.05</v>
      </c>
      <c r="G15" s="1857"/>
      <c r="H15" s="1342" t="s">
        <v>1039</v>
      </c>
      <c r="I15" s="1343" t="s">
        <v>1409</v>
      </c>
      <c r="J15" s="1352">
        <f ca="1">INDIRECT("'数据-取费表'!ad"&amp;$G$1)</f>
        <v>1</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1382</v>
      </c>
      <c r="B16" s="347" t="s">
        <v>1416</v>
      </c>
      <c r="C16" s="24">
        <f ca="1">ROUND(INDIRECT("'数据-取费表'!m"&amp;$G$1)*F16,0)</f>
        <v>0</v>
      </c>
      <c r="D16" s="347" t="s">
        <v>1414</v>
      </c>
      <c r="E16" s="347" t="s">
        <v>1415</v>
      </c>
      <c r="F16" s="367">
        <f ca="1">IF(INDIRECT("'数据-取费表'!c"&amp;$G$1)="住宅",'数据-取费表'!B34,0)</f>
        <v>0</v>
      </c>
      <c r="G16" s="1854"/>
      <c r="H16" s="1332" t="s">
        <v>1030</v>
      </c>
      <c r="I16" s="1333" t="s">
        <v>1417</v>
      </c>
      <c r="J16" s="355">
        <f ca="1">ROUND(J17+J22+J23+J24,0)</f>
        <v>1374</v>
      </c>
      <c r="K16" s="1340" t="s">
        <v>1418</v>
      </c>
      <c r="L16" s="1341"/>
      <c r="M16" s="1297"/>
    </row>
    <row r="17" spans="1:37" s="1861" customFormat="1" ht="18" customHeight="1">
      <c r="A17" s="1204" t="s">
        <v>1383</v>
      </c>
      <c r="B17" s="347" t="s">
        <v>1419</v>
      </c>
      <c r="C17" s="24">
        <f ca="1">ROUND(F17*(F43+INDIRECT("'数据-取费表'!S"&amp;$G$1))/10000,0)</f>
        <v>956</v>
      </c>
      <c r="D17" s="347" t="s">
        <v>1420</v>
      </c>
      <c r="E17" s="347" t="s">
        <v>1421</v>
      </c>
      <c r="F17" s="26">
        <f>'数据-取费表'!B35</f>
        <v>200</v>
      </c>
      <c r="G17" s="1857"/>
      <c r="H17" s="1204" t="s">
        <v>1035</v>
      </c>
      <c r="I17" s="347" t="s">
        <v>1422</v>
      </c>
      <c r="J17" s="24">
        <f ca="1">ROUND(IF(项目基本情况!B11="自然人",J5*M17,J18+J19+J20),1)</f>
        <v>595.1</v>
      </c>
      <c r="K17" s="1803" t="s">
        <v>1423</v>
      </c>
      <c r="L17" s="1801" t="s">
        <v>1424</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1384</v>
      </c>
      <c r="B18" s="347" t="s">
        <v>1425</v>
      </c>
      <c r="C18" s="24">
        <f ca="1">ROUND(C14*F18,0)</f>
        <v>645</v>
      </c>
      <c r="D18" s="347" t="s">
        <v>1414</v>
      </c>
      <c r="E18" s="347" t="s">
        <v>1415</v>
      </c>
      <c r="F18" s="367">
        <f>'数据-取费表'!B36</f>
        <v>1.4999999999999999E-2</v>
      </c>
      <c r="G18" s="1857"/>
      <c r="H18" s="1204" t="s">
        <v>1034</v>
      </c>
      <c r="I18" s="347" t="s">
        <v>1426</v>
      </c>
      <c r="J18" s="24">
        <f ca="1">ROUND(J5*M18/(1+'数据-取费表'!C42),2)</f>
        <v>0</v>
      </c>
      <c r="K18" s="1801" t="s">
        <v>1427</v>
      </c>
      <c r="L18" s="347" t="s">
        <v>1415</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1428</v>
      </c>
      <c r="C19" s="24">
        <f ca="1">SUM(C14:C18)</f>
        <v>46776</v>
      </c>
      <c r="D19" s="140" t="s">
        <v>1429</v>
      </c>
      <c r="E19" s="1821"/>
      <c r="F19" s="26"/>
      <c r="G19" s="1854"/>
      <c r="H19" s="1204" t="s">
        <v>1036</v>
      </c>
      <c r="I19" s="347" t="s">
        <v>1430</v>
      </c>
      <c r="J19" s="24">
        <f ca="1">IF(K19="按租金收入计税",ROUND(J5*M19,2),ROUND(C29*M19*0.7,2))</f>
        <v>595.07000000000005</v>
      </c>
      <c r="K19" s="1831" t="s">
        <v>1431</v>
      </c>
      <c r="L19" s="347" t="s">
        <v>1415</v>
      </c>
      <c r="M19" s="367">
        <f>IF(K19="按租金收入计税",'数据-取费表'!B51,'数据-取费表'!B50)</f>
        <v>1.2E-2</v>
      </c>
    </row>
    <row r="20" spans="1:37" s="1861" customFormat="1" ht="18" customHeight="1">
      <c r="A20" s="1204" t="s">
        <v>1039</v>
      </c>
      <c r="B20" s="347" t="s">
        <v>1432</v>
      </c>
      <c r="C20" s="24">
        <f ca="1">ROUND(C19*F20,0)</f>
        <v>936</v>
      </c>
      <c r="D20" s="369" t="s">
        <v>1433</v>
      </c>
      <c r="E20" s="347" t="s">
        <v>1415</v>
      </c>
      <c r="F20" s="367">
        <f>'数据-取费表'!B37</f>
        <v>0.02</v>
      </c>
      <c r="G20" s="1857"/>
      <c r="H20" s="1204" t="s">
        <v>1382</v>
      </c>
      <c r="I20" s="164" t="s">
        <v>1434</v>
      </c>
      <c r="J20" s="25">
        <f ca="1">ROUND(M20*M21/10000,2)</f>
        <v>0</v>
      </c>
      <c r="K20" s="370" t="s">
        <v>1435</v>
      </c>
      <c r="L20" s="347" t="s">
        <v>1436</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1437</v>
      </c>
      <c r="C21" s="24" t="s">
        <v>18</v>
      </c>
      <c r="D21" s="369" t="s">
        <v>1438</v>
      </c>
      <c r="E21" s="347" t="s">
        <v>1439</v>
      </c>
      <c r="F21" s="367">
        <f>'数据-取费表'!B38</f>
        <v>0.05</v>
      </c>
      <c r="G21" s="1857"/>
      <c r="H21" s="372"/>
      <c r="I21" s="356"/>
      <c r="J21" s="29"/>
      <c r="K21" s="373"/>
      <c r="L21" s="347" t="s">
        <v>1440</v>
      </c>
      <c r="M21" s="348">
        <f ca="1">INDIRECT("'数据-取费表'!r"&amp;$G$1)</f>
        <v>11433.6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1385</v>
      </c>
      <c r="B22" s="347" t="s">
        <v>1441</v>
      </c>
      <c r="C22" s="24"/>
      <c r="D22" s="140" t="str">
        <f>IF(F23&lt;=1,"单利计息。","复利计息。")&amp;"建造成本、管理费用、销售费用产生的利息。"</f>
        <v>复利计息。建造成本、管理费用、销售费用产生的利息。</v>
      </c>
      <c r="E22" s="1821"/>
      <c r="F22" s="26"/>
      <c r="G22" s="1854"/>
      <c r="H22" s="1204" t="s">
        <v>1039</v>
      </c>
      <c r="I22" s="347" t="s">
        <v>1442</v>
      </c>
      <c r="J22" s="24">
        <f ca="1">ROUND(J14*M22,1)</f>
        <v>708.4</v>
      </c>
      <c r="K22" s="1801" t="s">
        <v>1443</v>
      </c>
      <c r="L22" s="347" t="s">
        <v>1415</v>
      </c>
      <c r="M22" s="374">
        <f ca="1">INDIRECT("'数据-取费表'!Ak"&amp;$G$1)</f>
        <v>0.01</v>
      </c>
    </row>
    <row r="23" spans="1:37" s="1861" customFormat="1" ht="18" customHeight="1">
      <c r="A23" s="1204" t="s">
        <v>1034</v>
      </c>
      <c r="B23" s="347" t="s">
        <v>1444</v>
      </c>
      <c r="C23" s="24">
        <f ca="1">IF('数据-取费表'!B22&lt;=1,ROUND(C19*F24*F23/2,0)+ROUND(C20*F24*F23/2,0),ROUND(C19*(POWER((1+F24),F23/2)-1),0)+ROUND(C20*(POWER((1+F24),F23/2)-1),0))</f>
        <v>2850</v>
      </c>
      <c r="D23" s="375" t="str">
        <f>IF(F23&lt;=1,"(建造成本+管理费用)×利率×(建设周期÷2)","(建造成本+管理费用)×((1+利率)^(建设周期÷2)-1)")</f>
        <v>(建造成本+管理费用)×((1+利率)^(建设周期÷2)-1)</v>
      </c>
      <c r="E23" s="347" t="s">
        <v>1445</v>
      </c>
      <c r="F23" s="371">
        <f>'数据-取费表'!B20</f>
        <v>2.5</v>
      </c>
      <c r="G23" s="1857"/>
      <c r="H23" s="1204" t="s">
        <v>1075</v>
      </c>
      <c r="I23" s="347" t="s">
        <v>1446</v>
      </c>
      <c r="J23" s="24">
        <f ca="1">ROUND(J13*M23,1)</f>
        <v>70.8</v>
      </c>
      <c r="K23" s="1801" t="s">
        <v>1447</v>
      </c>
      <c r="L23" s="347" t="s">
        <v>1448</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1449</v>
      </c>
      <c r="B24" s="347" t="s">
        <v>1450</v>
      </c>
      <c r="C24" s="24">
        <f ca="1">ROUND(IF('数据-取费表'!B22&lt;=1,F21*F24*F23/2,F21*(POWER((1+F24),F23/2)-1)),4)</f>
        <v>3.0000000000000001E-3</v>
      </c>
      <c r="D24" s="375" t="str">
        <f>IF(F23&lt;=1,"销售费用×利率×(建设周期÷2)","销售费用×((1+利率)^(建设周期÷2)-1)")</f>
        <v>销售费用×((1+利率)^(建设周期÷2)-1)</v>
      </c>
      <c r="E24" s="347" t="s">
        <v>1451</v>
      </c>
      <c r="F24" s="377">
        <f ca="1">'数据-取费表'!B40</f>
        <v>4.7500000000000001E-2</v>
      </c>
      <c r="G24" s="1857"/>
      <c r="H24" s="1342" t="s">
        <v>1386</v>
      </c>
      <c r="I24" s="1343" t="s">
        <v>1432</v>
      </c>
      <c r="J24" s="1344">
        <f ca="1">ROUND(J5*M24,1)</f>
        <v>0</v>
      </c>
      <c r="K24" s="1345" t="s">
        <v>1452</v>
      </c>
      <c r="L24" s="1343" t="s">
        <v>1448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1453</v>
      </c>
      <c r="B25" s="347" t="s">
        <v>1454</v>
      </c>
      <c r="C25" s="24"/>
      <c r="D25" s="140" t="s">
        <v>1455</v>
      </c>
      <c r="E25" s="1821"/>
      <c r="F25" s="26"/>
      <c r="G25" s="1854"/>
      <c r="H25" s="1332" t="s">
        <v>1031</v>
      </c>
      <c r="I25" s="1347" t="s">
        <v>1456</v>
      </c>
      <c r="J25" s="355">
        <f ca="1">J5-J16</f>
        <v>-1374</v>
      </c>
      <c r="K25" s="1348" t="s">
        <v>1457</v>
      </c>
      <c r="L25" s="1349"/>
      <c r="M25" s="1350"/>
    </row>
    <row r="26" spans="1:37">
      <c r="A26" s="1204" t="s">
        <v>1034</v>
      </c>
      <c r="B26" s="347" t="s">
        <v>1458</v>
      </c>
      <c r="C26" s="24">
        <f ca="1">ROUND((C19+C20)*F26,0)</f>
        <v>11928</v>
      </c>
      <c r="D26" s="369" t="s">
        <v>1459</v>
      </c>
      <c r="E26" s="358" t="s">
        <v>1460</v>
      </c>
      <c r="F26" s="357">
        <f ca="1">INDIRECT("'数据-取费表'!q"&amp;$G$1)</f>
        <v>0.25</v>
      </c>
      <c r="G26" s="1854"/>
      <c r="H26" s="344" t="s">
        <v>1032</v>
      </c>
      <c r="I26" s="345" t="s">
        <v>1461</v>
      </c>
      <c r="J26" s="346">
        <f ca="1">IF(J5&lt;&gt;0,ROUND(J25*(1-((1+M28)/(1+M26))^M27)/(M26-M28),0),0)</f>
        <v>0</v>
      </c>
      <c r="K26" s="370" t="s">
        <v>1462</v>
      </c>
      <c r="L26" s="347" t="s">
        <v>1463</v>
      </c>
      <c r="M26" s="357">
        <f ca="1">INDIRECT("'数据-取费表'!I"&amp;$G$1)</f>
        <v>0.05</v>
      </c>
    </row>
    <row r="27" spans="1:37" ht="18" customHeight="1">
      <c r="A27" s="1204" t="s">
        <v>1036</v>
      </c>
      <c r="B27" s="347" t="s">
        <v>1464</v>
      </c>
      <c r="C27" s="24">
        <f ca="1">ROUND(F21*F26,4)</f>
        <v>1.2500000000000001E-2</v>
      </c>
      <c r="D27" s="369" t="s">
        <v>1465</v>
      </c>
      <c r="E27" s="365"/>
      <c r="F27" s="366"/>
      <c r="G27" s="1854"/>
      <c r="H27" s="349"/>
      <c r="I27" s="350"/>
      <c r="J27" s="351"/>
      <c r="K27" s="378" t="s">
        <v>1466</v>
      </c>
      <c r="L27" s="347" t="s">
        <v>1467</v>
      </c>
      <c r="M27" s="379">
        <f ca="1">INDIRECT("'数据-取费表'!ag"&amp;$G$1)</f>
        <v>0</v>
      </c>
    </row>
    <row r="28" spans="1:37" s="1861" customFormat="1" ht="18" customHeight="1">
      <c r="A28" s="1204" t="s">
        <v>1037</v>
      </c>
      <c r="B28" s="347" t="s">
        <v>1468</v>
      </c>
      <c r="C28" s="24">
        <f>ROUND(F28/(1+'数据-取费表'!C42),4)</f>
        <v>5.2400000000000002E-2</v>
      </c>
      <c r="D28" s="369" t="s">
        <v>1469</v>
      </c>
      <c r="E28" s="347" t="s">
        <v>1415</v>
      </c>
      <c r="F28" s="367">
        <f>'数据-取费表'!B41</f>
        <v>5.5000000000000007E-2</v>
      </c>
      <c r="G28" s="1857"/>
      <c r="H28" s="353"/>
      <c r="I28" s="354"/>
      <c r="J28" s="355"/>
      <c r="K28" s="373"/>
      <c r="L28" s="347" t="s">
        <v>1470</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1471</v>
      </c>
      <c r="C29" s="1344">
        <f ca="1">ROUND((C19+C20+C23+C26)/(1-F21-C24-C27-C28),0)</f>
        <v>70842</v>
      </c>
      <c r="D29" s="1345"/>
      <c r="E29" s="1343"/>
      <c r="F29" s="1346"/>
      <c r="G29" s="1857"/>
      <c r="H29" s="380" t="s">
        <v>1033</v>
      </c>
      <c r="I29" s="381" t="s">
        <v>1472</v>
      </c>
      <c r="J29" s="382">
        <f ca="1">ROUND(J26/(1+F40)^F41,0)</f>
        <v>0</v>
      </c>
      <c r="K29" s="383" t="s">
        <v>1473</v>
      </c>
      <c r="L29" s="384"/>
      <c r="M29" s="385">
        <f ca="1">INDIRECT("'数据-取费表'!k"&amp;$G$1)</f>
        <v>47804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1417</v>
      </c>
      <c r="C30" s="355">
        <f ca="1">ROUND(C31+C36+C37+C38,0)</f>
        <v>1943</v>
      </c>
      <c r="D30" s="1340" t="s">
        <v>1418</v>
      </c>
      <c r="E30" s="1341"/>
      <c r="F30" s="1297"/>
      <c r="G30" s="1854"/>
      <c r="H30" s="745"/>
      <c r="I30" s="746"/>
      <c r="J30" s="747"/>
      <c r="K30" s="748"/>
      <c r="L30" s="749"/>
      <c r="M30" s="750"/>
    </row>
    <row r="31" spans="1:37" ht="18" customHeight="1">
      <c r="A31" s="1204" t="s">
        <v>1035</v>
      </c>
      <c r="B31" s="347" t="s">
        <v>1422</v>
      </c>
      <c r="C31" s="24">
        <f ca="1">ROUND(IF(项目基本情况!B11="自然人",C5*F31,C32+C33+C34),1)</f>
        <v>1100.3</v>
      </c>
      <c r="D31" s="1803" t="s">
        <v>1423</v>
      </c>
      <c r="E31" s="1801" t="s">
        <v>1474</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1426</v>
      </c>
      <c r="C32" s="24">
        <f ca="1">IF(项目基本情况!B11="自然人","——",ROUND(C5*F32/(1+'数据-取费表'!C42),2))</f>
        <v>334.35</v>
      </c>
      <c r="D32" s="1801" t="s">
        <v>1427</v>
      </c>
      <c r="E32" s="347" t="s">
        <v>1415</v>
      </c>
      <c r="F32" s="377">
        <f>'数据-取费表'!B41</f>
        <v>5.5000000000000007E-2</v>
      </c>
      <c r="G32" s="1854"/>
      <c r="H32" s="745"/>
      <c r="I32" s="746"/>
      <c r="J32" s="747"/>
      <c r="K32" s="748"/>
      <c r="L32" s="749"/>
      <c r="M32" s="750"/>
    </row>
    <row r="33" spans="1:18" ht="18" customHeight="1">
      <c r="A33" s="1204" t="s">
        <v>1036</v>
      </c>
      <c r="B33" s="347" t="s">
        <v>1430</v>
      </c>
      <c r="C33" s="24">
        <f ca="1">IF(项目基本情况!B11="自然人","——",IF(D33="按租金收入计税",ROUND(C5*F33,2),IF(D33="按房产原值计税",ROUND(C29*F33*0.7,2),INDIRECT("'数据-取费表'!Aj"&amp;$G$1))))</f>
        <v>765.96</v>
      </c>
      <c r="D33" s="1831" t="s">
        <v>3067</v>
      </c>
      <c r="E33" s="347" t="s">
        <v>1415</v>
      </c>
      <c r="F33" s="367">
        <f>IF(D33="按票据","——",IF(D33="按租金收入计税",'数据-取费表'!B51,'数据-取费表'!B50))</f>
        <v>0.12</v>
      </c>
      <c r="G33" s="1854"/>
      <c r="H33" s="1862"/>
      <c r="I33" s="1863"/>
      <c r="J33" s="1864"/>
      <c r="K33" s="1865"/>
      <c r="L33" s="1862"/>
      <c r="M33" s="1862"/>
    </row>
    <row r="34" spans="1:18" ht="18" customHeight="1">
      <c r="A34" s="1294" t="s">
        <v>1382</v>
      </c>
      <c r="B34" s="164" t="s">
        <v>1434</v>
      </c>
      <c r="C34" s="25">
        <f ca="1">IF(项目基本情况!B11="自然人","——",ROUND(F34*F35/10000,2))</f>
        <v>0</v>
      </c>
      <c r="D34" s="370" t="s">
        <v>1435</v>
      </c>
      <c r="E34" s="347" t="s">
        <v>1436</v>
      </c>
      <c r="F34" s="371">
        <f>'数据-取费表'!B52</f>
        <v>0</v>
      </c>
      <c r="G34" s="1854"/>
      <c r="H34" s="745"/>
      <c r="I34" s="1863"/>
      <c r="J34" s="1864"/>
      <c r="K34" s="1866"/>
      <c r="L34" s="1867"/>
      <c r="M34" s="1867"/>
    </row>
    <row r="35" spans="1:18" ht="18" customHeight="1">
      <c r="A35" s="1356"/>
      <c r="B35" s="1354"/>
      <c r="C35" s="29"/>
      <c r="D35" s="373"/>
      <c r="E35" s="347" t="s">
        <v>1440</v>
      </c>
      <c r="F35" s="348">
        <f ca="1">INDIRECT("'数据-取费表'!r"&amp;$G$1)</f>
        <v>11433.6</v>
      </c>
      <c r="G35" s="1854"/>
      <c r="H35" s="745"/>
      <c r="I35" s="1863"/>
      <c r="J35" s="1864"/>
      <c r="K35" s="1865"/>
      <c r="L35" s="1862"/>
      <c r="M35" s="1862"/>
    </row>
    <row r="36" spans="1:18" ht="18" customHeight="1">
      <c r="A36" s="1355" t="s">
        <v>1039</v>
      </c>
      <c r="B36" s="347" t="s">
        <v>1442</v>
      </c>
      <c r="C36" s="24">
        <f ca="1">ROUND(C29*F36,1)</f>
        <v>708.4</v>
      </c>
      <c r="D36" s="1801" t="s">
        <v>1475</v>
      </c>
      <c r="E36" s="347" t="s">
        <v>1415</v>
      </c>
      <c r="F36" s="374">
        <f ca="1">INDIRECT("'数据-取费表'!Ak"&amp;$G$1)</f>
        <v>0.01</v>
      </c>
      <c r="G36" s="1854"/>
      <c r="H36" s="1862"/>
      <c r="I36" s="1863"/>
      <c r="J36" s="1864"/>
      <c r="K36" s="751"/>
      <c r="L36" s="1862"/>
      <c r="M36" s="1862"/>
    </row>
    <row r="37" spans="1:18" ht="18" customHeight="1">
      <c r="A37" s="1204" t="s">
        <v>1075</v>
      </c>
      <c r="B37" s="347" t="s">
        <v>1446</v>
      </c>
      <c r="C37" s="24">
        <f ca="1">ROUND(C13*F37,1)</f>
        <v>70.8</v>
      </c>
      <c r="D37" s="1801" t="s">
        <v>1447</v>
      </c>
      <c r="E37" s="347" t="s">
        <v>1448</v>
      </c>
      <c r="F37" s="376">
        <f ca="1">INDIRECT("'数据-取费表'!Al"&amp;$G$1)</f>
        <v>1E-3</v>
      </c>
      <c r="G37" s="1854"/>
      <c r="H37" s="1862"/>
      <c r="I37" s="1863"/>
      <c r="J37" s="1864"/>
      <c r="K37" s="751"/>
      <c r="L37" s="1862"/>
      <c r="M37" s="1862"/>
    </row>
    <row r="38" spans="1:18" ht="18" customHeight="1" thickBot="1">
      <c r="A38" s="1342" t="s">
        <v>1386</v>
      </c>
      <c r="B38" s="1343" t="s">
        <v>1432</v>
      </c>
      <c r="C38" s="1344">
        <f ca="1">ROUND(C5*F38,1)</f>
        <v>63.8</v>
      </c>
      <c r="D38" s="1345" t="s">
        <v>1452</v>
      </c>
      <c r="E38" s="1343" t="s">
        <v>1448</v>
      </c>
      <c r="F38" s="1339">
        <f ca="1">INDIRECT("'数据-取费表'!Am"&amp;$G$1)</f>
        <v>0.01</v>
      </c>
      <c r="G38" s="1854"/>
      <c r="H38" s="1862"/>
      <c r="I38" s="1863"/>
      <c r="J38" s="1864"/>
      <c r="K38" s="1868"/>
      <c r="L38" s="1862"/>
      <c r="M38" s="1862"/>
    </row>
    <row r="39" spans="1:18" ht="24.6" customHeight="1" thickTop="1">
      <c r="A39" s="1332" t="s">
        <v>1031</v>
      </c>
      <c r="B39" s="1347" t="s">
        <v>1476</v>
      </c>
      <c r="C39" s="355">
        <f ca="1">C5-C30</f>
        <v>4440</v>
      </c>
      <c r="D39" s="1348" t="s">
        <v>1477</v>
      </c>
      <c r="E39" s="1349"/>
      <c r="F39" s="1350"/>
      <c r="G39" s="1854"/>
      <c r="H39" s="1862"/>
      <c r="I39" s="1863"/>
      <c r="J39" s="1864"/>
      <c r="K39" s="1868"/>
      <c r="L39" s="1862"/>
      <c r="M39" s="1862"/>
    </row>
    <row r="40" spans="1:18" ht="18" customHeight="1">
      <c r="A40" s="344" t="s">
        <v>1032</v>
      </c>
      <c r="B40" s="345" t="s">
        <v>1478</v>
      </c>
      <c r="C40" s="346">
        <f ca="1">ROUND(C39*(1-((1+F42)/(1+F40))^F41)/(F40-F42),0)</f>
        <v>113315</v>
      </c>
      <c r="D40" s="370" t="s">
        <v>1462</v>
      </c>
      <c r="E40" s="347" t="s">
        <v>1463</v>
      </c>
      <c r="F40" s="357">
        <f ca="1">INDIRECT("'数据-取费表'!I"&amp;$G$1)</f>
        <v>0.05</v>
      </c>
      <c r="G40" s="1854"/>
      <c r="H40" s="1842"/>
      <c r="I40" s="1863"/>
      <c r="J40" s="1864"/>
      <c r="K40" s="1868"/>
      <c r="L40" s="1842"/>
      <c r="M40" s="1842"/>
    </row>
    <row r="41" spans="1:18" ht="18" customHeight="1">
      <c r="A41" s="349"/>
      <c r="B41" s="350"/>
      <c r="C41" s="351"/>
      <c r="D41" s="378" t="s">
        <v>1479</v>
      </c>
      <c r="E41" s="347" t="s">
        <v>1467</v>
      </c>
      <c r="F41" s="379">
        <f ca="1">IF(INDIRECT("'数据-取费表'!af"&amp;$G$1)=0,INDIRECT("'数据-取费表'!ae"&amp;$G$1),INDIRECT("'数据-取费表'!af"&amp;$G$1))</f>
        <v>33.54</v>
      </c>
      <c r="G41" s="1854"/>
      <c r="H41" s="732"/>
      <c r="I41" s="1863"/>
      <c r="J41" s="1864"/>
      <c r="K41" s="751"/>
      <c r="L41" s="732"/>
      <c r="M41" s="732"/>
    </row>
    <row r="42" spans="1:18" ht="18" customHeight="1">
      <c r="A42" s="353"/>
      <c r="B42" s="354"/>
      <c r="C42" s="355"/>
      <c r="D42" s="373"/>
      <c r="E42" s="347" t="s">
        <v>1470</v>
      </c>
      <c r="F42" s="357">
        <f ca="1">INDIRECT("'数据-取费表'!v"&amp;$G$1)</f>
        <v>3.5000000000000003E-2</v>
      </c>
      <c r="G42" s="1854"/>
      <c r="H42" s="732"/>
      <c r="I42" s="1863"/>
      <c r="J42" s="1864"/>
      <c r="K42" s="751"/>
      <c r="L42" s="732"/>
      <c r="M42" s="732"/>
    </row>
    <row r="43" spans="1:18" ht="18" customHeight="1" thickBot="1">
      <c r="A43" s="380" t="s">
        <v>1033</v>
      </c>
      <c r="B43" s="381" t="s">
        <v>1480</v>
      </c>
      <c r="C43" s="382">
        <f ca="1">ROUND(C40*10000/F43,0)</f>
        <v>23704</v>
      </c>
      <c r="D43" s="383" t="s">
        <v>1481</v>
      </c>
      <c r="E43" s="384" t="s">
        <v>1482</v>
      </c>
      <c r="F43" s="385">
        <f ca="1">INDIRECT("'数据-取费表'!k"&amp;$G$1)</f>
        <v>47804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1512</v>
      </c>
      <c r="P45" s="1842"/>
      <c r="Q45" s="1842"/>
      <c r="R45" s="1842"/>
    </row>
    <row r="46" spans="1:18" s="1845" customFormat="1" ht="13.5" thickBot="1">
      <c r="A46" s="1873" t="s">
        <v>1513</v>
      </c>
      <c r="C46" s="1874">
        <f ca="1">C68-C40</f>
        <v>-221712</v>
      </c>
      <c r="D46" s="1875" t="str">
        <f>C2</f>
        <v>万元</v>
      </c>
      <c r="E46" s="1869"/>
      <c r="F46" s="1869"/>
      <c r="I46" s="1876" t="s">
        <v>1514</v>
      </c>
      <c r="J46" s="1877"/>
      <c r="K46" s="1878"/>
      <c r="L46" s="1879">
        <f ca="1">IF(M47="住宅",0,IF(L48&gt;J51,L60,J60))</f>
        <v>1574</v>
      </c>
      <c r="O46" s="1880" t="s">
        <v>1515</v>
      </c>
      <c r="P46" s="1881" t="s">
        <v>1516</v>
      </c>
      <c r="Q46" s="1882" t="s">
        <v>1517</v>
      </c>
      <c r="R46" s="1882" t="s">
        <v>1518</v>
      </c>
    </row>
    <row r="47" spans="1:18" s="1845" customFormat="1" ht="13.5" thickBot="1">
      <c r="A47" s="1168" t="s">
        <v>1389</v>
      </c>
      <c r="B47" s="1200" t="s">
        <v>1390</v>
      </c>
      <c r="C47" s="1370" t="s">
        <v>1391</v>
      </c>
      <c r="D47" s="1200" t="s">
        <v>1392</v>
      </c>
      <c r="E47" s="1282" t="s">
        <v>1393</v>
      </c>
      <c r="F47" s="1283"/>
      <c r="G47" s="792"/>
      <c r="I47" s="1883" t="s">
        <v>1519</v>
      </c>
      <c r="J47" s="1884" t="s">
        <v>3062</v>
      </c>
      <c r="K47" s="1885" t="s">
        <v>1520</v>
      </c>
      <c r="L47" s="1886">
        <f ca="1">INDIRECT("'数据-取费表'!d"&amp;$G$1)</f>
        <v>40</v>
      </c>
      <c r="M47" s="1841" t="str">
        <f>IF(ISNUMBER(FIND("住宅",C1)),"住宅","非住宅")</f>
        <v>非住宅</v>
      </c>
      <c r="O47" s="1887" t="s">
        <v>1040</v>
      </c>
      <c r="P47" s="1888" t="s">
        <v>1521</v>
      </c>
      <c r="Q47" s="1889">
        <f ca="1">C40+J29</f>
        <v>113315</v>
      </c>
      <c r="R47" s="1889" t="s">
        <v>1522</v>
      </c>
    </row>
    <row r="48" spans="1:18" s="1845" customFormat="1" ht="28.5" thickBot="1">
      <c r="A48" s="1363" t="s">
        <v>1128</v>
      </c>
      <c r="B48" s="345" t="s">
        <v>1394</v>
      </c>
      <c r="C48" s="1820">
        <f ca="1">C49+C53+C55</f>
        <v>0</v>
      </c>
      <c r="D48" s="1365"/>
      <c r="E48" s="1366"/>
      <c r="F48" s="1184"/>
      <c r="G48" s="792"/>
      <c r="H48" s="793"/>
      <c r="I48" s="1890" t="s">
        <v>1523</v>
      </c>
      <c r="J48" s="1891" t="s">
        <v>3063</v>
      </c>
      <c r="K48" s="1892" t="s">
        <v>1524</v>
      </c>
      <c r="L48" s="1893">
        <f ca="1">INDIRECT("'数据-取费表'!f"&amp;$G$1)</f>
        <v>33.64</v>
      </c>
      <c r="O48" s="1887" t="s">
        <v>1041</v>
      </c>
      <c r="P48" s="1888" t="s">
        <v>1525</v>
      </c>
      <c r="Q48" s="1889">
        <f ca="1">J60</f>
        <v>1574</v>
      </c>
      <c r="R48" s="1889" t="s">
        <v>1526</v>
      </c>
    </row>
    <row r="49" spans="1:18" s="1845" customFormat="1" ht="13.5" thickBot="1">
      <c r="A49" s="1197" t="s">
        <v>1129</v>
      </c>
      <c r="B49" s="1832" t="s">
        <v>1483</v>
      </c>
      <c r="C49" s="1367">
        <f ca="1">ROUND(F49*F51*F50*(1-F52)/10000,0)</f>
        <v>0</v>
      </c>
      <c r="D49" s="1279" t="s">
        <v>3034</v>
      </c>
      <c r="E49" s="1833" t="s">
        <v>1484</v>
      </c>
      <c r="F49" s="1284"/>
      <c r="G49" s="1894"/>
      <c r="H49" s="793"/>
      <c r="I49" s="1890" t="s">
        <v>1527</v>
      </c>
      <c r="J49" s="1895">
        <v>2018</v>
      </c>
      <c r="K49" s="1892" t="s">
        <v>1528</v>
      </c>
      <c r="L49" s="1896"/>
      <c r="O49" s="1897" t="s">
        <v>1042</v>
      </c>
      <c r="P49" s="1888" t="s">
        <v>1529</v>
      </c>
      <c r="Q49" s="1889">
        <f ca="1">C29</f>
        <v>70842</v>
      </c>
      <c r="R49" s="1889" t="s">
        <v>1522</v>
      </c>
    </row>
    <row r="50" spans="1:18" s="1845" customFormat="1" ht="13.5" thickBot="1">
      <c r="A50" s="1198"/>
      <c r="B50" s="1201"/>
      <c r="C50" s="1371"/>
      <c r="D50" s="1175"/>
      <c r="E50" s="1280" t="s">
        <v>1399</v>
      </c>
      <c r="F50" s="1281">
        <f ca="1">F7</f>
        <v>47804</v>
      </c>
      <c r="H50" s="793"/>
      <c r="I50" s="1890" t="s">
        <v>1530</v>
      </c>
      <c r="J50" s="1898">
        <f>SUMPRODUCT((I63:I65=J47)*(J62:L62=J48)*(J63:L65))</f>
        <v>50</v>
      </c>
      <c r="K50" s="1892" t="s">
        <v>1531</v>
      </c>
      <c r="L50" s="1896"/>
      <c r="M50" s="1899"/>
      <c r="O50" s="1897" t="s">
        <v>1043</v>
      </c>
      <c r="P50" s="1888" t="s">
        <v>1532</v>
      </c>
      <c r="Q50" s="1900">
        <f ca="1">J58</f>
        <v>0.4</v>
      </c>
      <c r="R50" s="1889"/>
    </row>
    <row r="51" spans="1:18" s="1845" customFormat="1" ht="13.5" thickBot="1">
      <c r="A51" s="1199"/>
      <c r="B51" s="1201"/>
      <c r="C51" s="1202"/>
      <c r="D51" s="1175"/>
      <c r="E51" s="1203" t="s">
        <v>1400</v>
      </c>
      <c r="F51" s="348">
        <f ca="1">F8</f>
        <v>365</v>
      </c>
      <c r="I51" s="1901" t="s">
        <v>1533</v>
      </c>
      <c r="J51" s="1902">
        <f>IF(J49="",J50,J49+J50-YEAR('数据-取费表'!B2))</f>
        <v>50</v>
      </c>
      <c r="K51" s="1903" t="s">
        <v>1534</v>
      </c>
      <c r="L51" s="1904">
        <f ca="1">ROUND(-PV(INDIRECT("'数据-取费表'!h"&amp;$G$1),L48,(C39-C13*C76),0),0)</f>
        <v>-21070</v>
      </c>
      <c r="M51" s="1905"/>
      <c r="O51" s="1897" t="s">
        <v>1044</v>
      </c>
      <c r="P51" s="1888" t="s">
        <v>1535</v>
      </c>
      <c r="Q51" s="1900">
        <f>J52</f>
        <v>0.09</v>
      </c>
      <c r="R51" s="1889"/>
    </row>
    <row r="52" spans="1:18" s="1845" customFormat="1" ht="13.5" thickBot="1">
      <c r="A52" s="1199"/>
      <c r="B52" s="1201"/>
      <c r="C52" s="1202"/>
      <c r="D52" s="1175"/>
      <c r="E52" s="1203" t="s">
        <v>1401</v>
      </c>
      <c r="F52" s="1278"/>
      <c r="I52" s="1906" t="s">
        <v>1536</v>
      </c>
      <c r="J52" s="1907">
        <v>0.09</v>
      </c>
      <c r="K52" s="1906" t="s">
        <v>1537</v>
      </c>
      <c r="L52" s="1907"/>
      <c r="O52" s="1897" t="s">
        <v>1045</v>
      </c>
      <c r="P52" s="1888" t="s">
        <v>1538</v>
      </c>
      <c r="Q52" s="1889">
        <f ca="1">J53</f>
        <v>33.54</v>
      </c>
      <c r="R52" s="1889" t="s">
        <v>1539</v>
      </c>
    </row>
    <row r="53" spans="1:18" s="1845" customFormat="1" ht="24.75" thickBot="1">
      <c r="A53" s="1408" t="s">
        <v>1130</v>
      </c>
      <c r="B53" s="1834" t="s">
        <v>1402</v>
      </c>
      <c r="C53" s="361">
        <f ca="1">ROUND(IF(F53="押一",C49/12*F11,IF(F53="押二",C49/12*2*F11,IF(F53="押三",C49/12*3*F11,C54*F11))),0)</f>
        <v>0</v>
      </c>
      <c r="D53" s="1827" t="s">
        <v>3041</v>
      </c>
      <c r="E53" s="358" t="s">
        <v>1403</v>
      </c>
      <c r="F53" s="1369"/>
      <c r="I53" s="1908" t="s">
        <v>1540</v>
      </c>
      <c r="J53" s="1909">
        <f ca="1">IF(M47="住宅",IF(D1="——",MAX(J51,L48),IF(D1="在建（套用方法）",MAX(J51,L48-'数据-取费表'!B24),MAX(J51,L48-'数据-取费表'!B20))),IF(D1="——",MIN(J51,L48),IF(D1="在建（套用方法）",MIN(J51,L48-'数据-取费表'!B24),IF(D1="土地（套用方法）",MIN(J51,L48-'数据-取费表'!B20)))))</f>
        <v>33.54</v>
      </c>
      <c r="K53" s="3148" t="s">
        <v>1541</v>
      </c>
      <c r="L53" s="3149"/>
      <c r="O53" s="1887" t="s">
        <v>1046</v>
      </c>
      <c r="P53" s="1888" t="s">
        <v>1542</v>
      </c>
      <c r="Q53" s="1889">
        <f ca="1">Q47+Q48</f>
        <v>114889</v>
      </c>
      <c r="R53" s="1889" t="s">
        <v>1047</v>
      </c>
    </row>
    <row r="54" spans="1:18" s="1845" customFormat="1" ht="13.5" thickBot="1">
      <c r="A54" s="1409"/>
      <c r="B54" s="1828" t="s">
        <v>1381</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1543</v>
      </c>
      <c r="P54" s="1842"/>
      <c r="Q54" s="1842"/>
      <c r="R54" s="1842"/>
    </row>
    <row r="55" spans="1:18" s="1845" customFormat="1" ht="13.5" thickBot="1">
      <c r="A55" s="1336" t="s">
        <v>1075</v>
      </c>
      <c r="B55" s="1830" t="s">
        <v>1406</v>
      </c>
      <c r="C55" s="1337"/>
      <c r="D55" s="1827"/>
      <c r="E55" s="1835"/>
      <c r="F55" s="1910"/>
      <c r="I55" s="1913" t="s">
        <v>1544</v>
      </c>
      <c r="J55" s="1914">
        <f ca="1">ROUND(IF(J47="钢混",J57/J50,1-(1-2%)*(J50-J57)/J50),3)</f>
        <v>0.32700000000000001</v>
      </c>
      <c r="K55" s="1915" t="s">
        <v>1545</v>
      </c>
      <c r="L55" s="1916" t="s">
        <v>1546</v>
      </c>
      <c r="O55" s="1880" t="s">
        <v>1515</v>
      </c>
      <c r="P55" s="1881" t="s">
        <v>1516</v>
      </c>
      <c r="Q55" s="1882" t="s">
        <v>1517</v>
      </c>
      <c r="R55" s="1882" t="s">
        <v>1518</v>
      </c>
    </row>
    <row r="56" spans="1:18" s="1845" customFormat="1" ht="25.5" thickTop="1" thickBot="1">
      <c r="A56" s="1179">
        <v>2</v>
      </c>
      <c r="B56" s="1180" t="s">
        <v>1407</v>
      </c>
      <c r="C56" s="276">
        <f ca="1">C13</f>
        <v>70842</v>
      </c>
      <c r="D56" s="1917"/>
      <c r="E56" s="1918"/>
      <c r="F56" s="1910"/>
      <c r="I56" s="1919" t="s">
        <v>1547</v>
      </c>
      <c r="J56" s="1920" t="s">
        <v>3064</v>
      </c>
      <c r="K56" s="1890" t="s">
        <v>1548</v>
      </c>
      <c r="L56" s="1893" t="str">
        <f ca="1">IF(L48&lt;J51,"——",L48-J53)</f>
        <v>——</v>
      </c>
      <c r="O56" s="1887" t="s">
        <v>1040</v>
      </c>
      <c r="P56" s="1888" t="s">
        <v>1521</v>
      </c>
      <c r="Q56" s="1889">
        <f ca="1">C40+J29</f>
        <v>113315</v>
      </c>
      <c r="R56" s="1889" t="s">
        <v>1522</v>
      </c>
    </row>
    <row r="57" spans="1:18" s="1845" customFormat="1" ht="24.75" thickBot="1">
      <c r="A57" s="1921"/>
      <c r="B57" s="1172" t="s">
        <v>1471</v>
      </c>
      <c r="C57" s="282">
        <f ca="1">C29</f>
        <v>70842</v>
      </c>
      <c r="D57" s="1922"/>
      <c r="E57" s="1923"/>
      <c r="F57" s="1924"/>
      <c r="I57" s="1925" t="s">
        <v>1549</v>
      </c>
      <c r="J57" s="1926">
        <f ca="1">IF(OR(M47="住宅",J51&lt;L48,J56="是"),"——",J51-L48)</f>
        <v>16.36</v>
      </c>
      <c r="K57" s="1890" t="s">
        <v>1550</v>
      </c>
      <c r="L57" s="1893" t="str">
        <f ca="1">IF(L48&lt;J51,"——",IF(L55="比较法",L49,IF(L55="基准地价",L50,L51)))</f>
        <v>——</v>
      </c>
      <c r="O57" s="1887" t="s">
        <v>1041</v>
      </c>
      <c r="P57" s="1888" t="s">
        <v>1551</v>
      </c>
      <c r="Q57" s="1889">
        <f ca="1">L60</f>
        <v>0</v>
      </c>
      <c r="R57" s="1889" t="s">
        <v>1552</v>
      </c>
    </row>
    <row r="58" spans="1:18" s="1845" customFormat="1" ht="24.75" thickBot="1">
      <c r="A58" s="360" t="s">
        <v>1030</v>
      </c>
      <c r="B58" s="1180" t="s">
        <v>1417</v>
      </c>
      <c r="C58" s="361">
        <f ca="1">ROUND(C59+C64+C65+C66,0)</f>
        <v>6730</v>
      </c>
      <c r="D58" s="1182" t="s">
        <v>1418</v>
      </c>
      <c r="E58" s="1183"/>
      <c r="F58" s="1184"/>
      <c r="I58" s="1925" t="s">
        <v>1553</v>
      </c>
      <c r="J58" s="1927">
        <f ca="1">IF(J55&lt;0.4,0.4,J55)</f>
        <v>0.4</v>
      </c>
      <c r="K58" s="1903" t="s">
        <v>1554</v>
      </c>
      <c r="L58" s="1893" t="e">
        <f ca="1">ROUND(POWER(1+L52,L47-L48)*(POWER(1+L52,L48)-1)/(POWER(1+L52,L47)-1),4)</f>
        <v>#DIV/0!</v>
      </c>
      <c r="O58" s="1897" t="s">
        <v>1042</v>
      </c>
      <c r="P58" s="1888" t="s">
        <v>1555</v>
      </c>
      <c r="Q58" s="1889">
        <f>IF(L55="比较法",L49,IF(L55="基准地价",L50,0))</f>
        <v>0</v>
      </c>
      <c r="R58" s="1889" t="s">
        <v>1522</v>
      </c>
    </row>
    <row r="59" spans="1:18" s="1845" customFormat="1" ht="24.75" thickBot="1">
      <c r="A59" s="1204" t="s">
        <v>1035</v>
      </c>
      <c r="B59" s="1172" t="s">
        <v>1422</v>
      </c>
      <c r="C59" s="24">
        <f ca="1">ROUND(IF(项目基本情况!B11="自然人",C48*F59,C60+C61+C62),1)</f>
        <v>5950.7</v>
      </c>
      <c r="D59" s="1185" t="s">
        <v>1423</v>
      </c>
      <c r="E59" s="1186" t="s">
        <v>1424</v>
      </c>
      <c r="F59" s="368">
        <f ca="1">IF(项目基本情况!B11="企业","",IF(INDIRECT("'数据-取费表'!c"&amp;$G$1)="住宅",5%,IF(F49*F50*F51/12/(1+'数据-取费表'!C42)&gt;20000,12%,7%)))</f>
        <v>7.0000000000000007E-2</v>
      </c>
      <c r="I59" s="1925" t="s">
        <v>1556</v>
      </c>
      <c r="J59" s="1926">
        <f ca="1">IF(OR(M47="住宅",J51&lt;L48,J56="是"),"——",ROUND(C29*J58,0))</f>
        <v>28337</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1557</v>
      </c>
      <c r="Q59" s="1900">
        <f>L52</f>
        <v>0</v>
      </c>
      <c r="R59" s="1889"/>
    </row>
    <row r="60" spans="1:18" s="1845" customFormat="1" ht="16.5" thickBot="1">
      <c r="A60" s="1204" t="s">
        <v>1034</v>
      </c>
      <c r="B60" s="1172" t="s">
        <v>1426</v>
      </c>
      <c r="C60" s="24">
        <f ca="1">IF(项目基本情况!B11="自然人","——",ROUND(C48*F60/(1+'数据-取费表'!C42),2))</f>
        <v>0</v>
      </c>
      <c r="D60" s="1186" t="s">
        <v>1427</v>
      </c>
      <c r="E60" s="1172" t="s">
        <v>1415</v>
      </c>
      <c r="F60" s="377">
        <f t="shared" ref="F60:F66" si="0">F32</f>
        <v>5.5000000000000007E-2</v>
      </c>
      <c r="I60" s="1928" t="s">
        <v>1558</v>
      </c>
      <c r="J60" s="1929">
        <f ca="1">IF(OR(M47="住宅",J51&lt;L48,J56="是"),"0",ROUND(J59/(1+J52)^J53,0))</f>
        <v>1574</v>
      </c>
      <c r="K60" s="1930" t="s">
        <v>1559</v>
      </c>
      <c r="L60" s="1929">
        <f ca="1">IF(OR(M47="住宅",L48&lt;J51),0,ROUND(L57*(L58/L59-1),0))</f>
        <v>0</v>
      </c>
      <c r="O60" s="1897" t="s">
        <v>1044</v>
      </c>
      <c r="P60" s="1888" t="s">
        <v>1560</v>
      </c>
      <c r="Q60" s="1889" t="e">
        <f ca="1">L58</f>
        <v>#DIV/0!</v>
      </c>
      <c r="R60" s="1889" t="s">
        <v>1561</v>
      </c>
    </row>
    <row r="61" spans="1:18" s="1845" customFormat="1" ht="13.5" thickBot="1">
      <c r="A61" s="1204" t="s">
        <v>1485</v>
      </c>
      <c r="B61" s="1172" t="s">
        <v>1486</v>
      </c>
      <c r="C61" s="24">
        <f ca="1">IF(项目基本情况!B11="自然人","——",IF(D61="按租金收入计税",ROUND(C48*F61,2),IF(D61="按房产原值计税",ROUND(C57*F61*0.7,2),INDIRECT("'数据-取费表'!Aj"&amp;$G$1))))</f>
        <v>5950.73</v>
      </c>
      <c r="D61" s="1831" t="s">
        <v>1431</v>
      </c>
      <c r="E61" s="1172" t="s">
        <v>1487</v>
      </c>
      <c r="F61" s="367">
        <f t="shared" si="0"/>
        <v>0.12</v>
      </c>
      <c r="I61" s="1931"/>
      <c r="J61" s="1931"/>
      <c r="K61" s="1931"/>
      <c r="L61" s="1931"/>
      <c r="O61" s="1897" t="s">
        <v>1045</v>
      </c>
      <c r="P61" s="1888" t="str">
        <f>K59</f>
        <v>续建工期及建筑物耐用年限下的土地年期修正系数Kn</v>
      </c>
      <c r="Q61" s="1889" t="e">
        <f ca="1">L59</f>
        <v>#DIV/0!</v>
      </c>
      <c r="R61" s="1889" t="s">
        <v>1562</v>
      </c>
    </row>
    <row r="62" spans="1:18" s="1845" customFormat="1" ht="13.5" thickBot="1">
      <c r="A62" s="1204" t="s">
        <v>1488</v>
      </c>
      <c r="B62" s="1171" t="s">
        <v>1489</v>
      </c>
      <c r="C62" s="25">
        <f ca="1">IF(项目基本情况!B11="自然人","——",ROUND(F62*F63/10000,2))</f>
        <v>0</v>
      </c>
      <c r="D62" s="1187" t="s">
        <v>1490</v>
      </c>
      <c r="E62" s="1172" t="s">
        <v>1491</v>
      </c>
      <c r="F62" s="371">
        <f t="shared" si="0"/>
        <v>0</v>
      </c>
      <c r="I62" s="1932" t="s">
        <v>1563</v>
      </c>
      <c r="J62" s="1933" t="s">
        <v>1564</v>
      </c>
      <c r="K62" s="1933" t="s">
        <v>1565</v>
      </c>
      <c r="L62" s="1933" t="s">
        <v>1566</v>
      </c>
      <c r="M62" s="1934" t="s">
        <v>1567</v>
      </c>
      <c r="O62" s="1887" t="s">
        <v>1046</v>
      </c>
      <c r="P62" s="1888" t="s">
        <v>1568</v>
      </c>
      <c r="Q62" s="1889">
        <f ca="1">Q56+Q57</f>
        <v>113315</v>
      </c>
      <c r="R62" s="1889" t="s">
        <v>1047</v>
      </c>
    </row>
    <row r="63" spans="1:18" s="1845" customFormat="1" ht="13.5" thickBot="1">
      <c r="A63" s="372"/>
      <c r="B63" s="1178"/>
      <c r="C63" s="29"/>
      <c r="D63" s="1188"/>
      <c r="E63" s="1172" t="s">
        <v>1492</v>
      </c>
      <c r="F63" s="348">
        <f t="shared" ca="1" si="0"/>
        <v>11433.6</v>
      </c>
      <c r="I63" s="1932" t="s">
        <v>1569</v>
      </c>
      <c r="J63" s="1933">
        <v>70</v>
      </c>
      <c r="K63" s="1933">
        <v>50</v>
      </c>
      <c r="L63" s="1933">
        <v>80</v>
      </c>
      <c r="M63" s="1935">
        <v>0.02</v>
      </c>
      <c r="O63" s="1872" t="s">
        <v>1570</v>
      </c>
      <c r="P63" s="1842"/>
      <c r="Q63" s="1842"/>
      <c r="R63" s="1842"/>
    </row>
    <row r="64" spans="1:18" s="1845" customFormat="1" ht="13.5" thickBot="1">
      <c r="A64" s="1204" t="s">
        <v>1493</v>
      </c>
      <c r="B64" s="1172" t="s">
        <v>1494</v>
      </c>
      <c r="C64" s="24">
        <f ca="1">ROUND(C57*F64,1)</f>
        <v>708.4</v>
      </c>
      <c r="D64" s="1186" t="s">
        <v>1495</v>
      </c>
      <c r="E64" s="1172" t="s">
        <v>1487</v>
      </c>
      <c r="F64" s="374">
        <f t="shared" ca="1" si="0"/>
        <v>0.01</v>
      </c>
      <c r="I64" s="1932" t="s">
        <v>1571</v>
      </c>
      <c r="J64" s="1933">
        <v>50</v>
      </c>
      <c r="K64" s="1933">
        <v>35</v>
      </c>
      <c r="L64" s="1933">
        <v>60</v>
      </c>
      <c r="M64" s="1934">
        <v>0</v>
      </c>
      <c r="O64" s="1880" t="s">
        <v>1515</v>
      </c>
      <c r="P64" s="1881" t="s">
        <v>1516</v>
      </c>
      <c r="Q64" s="1882" t="s">
        <v>1517</v>
      </c>
      <c r="R64" s="1882" t="s">
        <v>1518</v>
      </c>
    </row>
    <row r="65" spans="1:18" s="1845" customFormat="1" ht="13.5" thickBot="1">
      <c r="A65" s="1204" t="s">
        <v>1496</v>
      </c>
      <c r="B65" s="1172" t="s">
        <v>1446</v>
      </c>
      <c r="C65" s="24">
        <f ca="1">ROUND(C56*F65,1)</f>
        <v>70.8</v>
      </c>
      <c r="D65" s="1186" t="s">
        <v>1447</v>
      </c>
      <c r="E65" s="1172" t="s">
        <v>1448</v>
      </c>
      <c r="F65" s="376">
        <f t="shared" ca="1" si="0"/>
        <v>1E-3</v>
      </c>
      <c r="I65" s="1932" t="s">
        <v>1572</v>
      </c>
      <c r="J65" s="1933">
        <v>40</v>
      </c>
      <c r="K65" s="1933">
        <v>30</v>
      </c>
      <c r="L65" s="1933">
        <v>50</v>
      </c>
      <c r="M65" s="1935">
        <v>0.02</v>
      </c>
      <c r="O65" s="1887" t="s">
        <v>1040</v>
      </c>
      <c r="P65" s="1888" t="s">
        <v>1573</v>
      </c>
      <c r="Q65" s="1889">
        <f ca="1">C40+J29</f>
        <v>113315</v>
      </c>
      <c r="R65" s="1889" t="s">
        <v>1522</v>
      </c>
    </row>
    <row r="66" spans="1:18" s="1845" customFormat="1" ht="16.5" thickBot="1">
      <c r="A66" s="1204" t="s">
        <v>1497</v>
      </c>
      <c r="B66" s="1172" t="s">
        <v>1432</v>
      </c>
      <c r="C66" s="24">
        <f ca="1">ROUND(C48*F66,1)</f>
        <v>0</v>
      </c>
      <c r="D66" s="1186" t="s">
        <v>1498</v>
      </c>
      <c r="E66" s="1172" t="s">
        <v>1415</v>
      </c>
      <c r="F66" s="357">
        <f t="shared" ca="1" si="0"/>
        <v>0.01</v>
      </c>
      <c r="O66" s="1887" t="s">
        <v>1041</v>
      </c>
      <c r="P66" s="1888" t="s">
        <v>1551</v>
      </c>
      <c r="Q66" s="1889">
        <f ca="1">L60</f>
        <v>0</v>
      </c>
      <c r="R66" s="1889" t="s">
        <v>1574</v>
      </c>
    </row>
    <row r="67" spans="1:18" s="1845" customFormat="1" ht="16.5" thickBot="1">
      <c r="A67" s="1179" t="s">
        <v>1031</v>
      </c>
      <c r="B67" s="1189" t="s">
        <v>1456</v>
      </c>
      <c r="C67" s="361">
        <f ca="1">C48-C58</f>
        <v>-6730</v>
      </c>
      <c r="D67" s="1185" t="s">
        <v>1457</v>
      </c>
      <c r="E67" s="1190"/>
      <c r="F67" s="1191"/>
      <c r="O67" s="1897" t="s">
        <v>1042</v>
      </c>
      <c r="P67" s="1888" t="s">
        <v>1555</v>
      </c>
      <c r="Q67" s="1936">
        <f ca="1">L51</f>
        <v>-21070</v>
      </c>
      <c r="R67" s="1889" t="s">
        <v>1575</v>
      </c>
    </row>
    <row r="68" spans="1:18" s="1845" customFormat="1" ht="16.5" thickBot="1">
      <c r="A68" s="1169" t="s">
        <v>1032</v>
      </c>
      <c r="B68" s="1170" t="s">
        <v>1478</v>
      </c>
      <c r="C68" s="346">
        <f ca="1">ROUND(C67*(1-((1+F70)/(1+F68))^F69)/(F68-F70),0)</f>
        <v>-108397</v>
      </c>
      <c r="D68" s="1187" t="s">
        <v>1462</v>
      </c>
      <c r="E68" s="1172" t="s">
        <v>1463</v>
      </c>
      <c r="F68" s="357">
        <f ca="1">F40</f>
        <v>0.05</v>
      </c>
      <c r="O68" s="1897" t="s">
        <v>1043</v>
      </c>
      <c r="P68" s="1937" t="s">
        <v>1576</v>
      </c>
      <c r="Q68" s="1889">
        <f ca="1">ROUND(Q69-Q70*Q71,0)</f>
        <v>-1227</v>
      </c>
      <c r="R68" s="1889" t="s">
        <v>1051</v>
      </c>
    </row>
    <row r="69" spans="1:18" s="1845" customFormat="1" ht="13.5" thickBot="1">
      <c r="A69" s="1173"/>
      <c r="B69" s="1174"/>
      <c r="C69" s="351"/>
      <c r="D69" s="1192" t="s">
        <v>1466</v>
      </c>
      <c r="E69" s="1172" t="s">
        <v>1467</v>
      </c>
      <c r="F69" s="379">
        <f ca="1">F41</f>
        <v>33.54</v>
      </c>
      <c r="O69" s="1897" t="s">
        <v>1048</v>
      </c>
      <c r="P69" s="1937" t="s">
        <v>1577</v>
      </c>
      <c r="Q69" s="1889">
        <f ca="1">C39</f>
        <v>4440</v>
      </c>
      <c r="R69" s="1889" t="s">
        <v>1522</v>
      </c>
    </row>
    <row r="70" spans="1:18" s="1845" customFormat="1" ht="13.5" thickBot="1">
      <c r="A70" s="1176"/>
      <c r="B70" s="1177"/>
      <c r="C70" s="355"/>
      <c r="D70" s="1188"/>
      <c r="E70" s="1172" t="s">
        <v>1470</v>
      </c>
      <c r="F70" s="1278"/>
      <c r="O70" s="1897" t="s">
        <v>1049</v>
      </c>
      <c r="P70" s="1937" t="s">
        <v>1578</v>
      </c>
      <c r="Q70" s="1889">
        <f ca="1">C13</f>
        <v>70842</v>
      </c>
      <c r="R70" s="1889" t="s">
        <v>1522</v>
      </c>
    </row>
    <row r="71" spans="1:18" s="1845" customFormat="1" ht="13.5" thickBot="1">
      <c r="A71" s="1193" t="s">
        <v>1033</v>
      </c>
      <c r="B71" s="1194" t="s">
        <v>1480</v>
      </c>
      <c r="C71" s="382">
        <f ca="1">ROUND(C68*10000/F71,0)</f>
        <v>-22675</v>
      </c>
      <c r="D71" s="1195" t="s">
        <v>1481</v>
      </c>
      <c r="E71" s="1196" t="s">
        <v>1482</v>
      </c>
      <c r="F71" s="385">
        <f ca="1">F43</f>
        <v>47804</v>
      </c>
      <c r="O71" s="1897" t="s">
        <v>1050</v>
      </c>
      <c r="P71" s="1937" t="s">
        <v>1579</v>
      </c>
      <c r="Q71" s="1900">
        <f ca="1">C76</f>
        <v>0.08</v>
      </c>
      <c r="R71" s="1889"/>
    </row>
    <row r="72" spans="1:18" s="1845" customFormat="1" ht="13.5" thickBot="1">
      <c r="B72" s="796"/>
      <c r="C72" s="796"/>
      <c r="O72" s="1897" t="s">
        <v>1044</v>
      </c>
      <c r="P72" s="1888" t="s">
        <v>1557</v>
      </c>
      <c r="Q72" s="1900">
        <f>L52</f>
        <v>0</v>
      </c>
      <c r="R72" s="1889"/>
    </row>
    <row r="73" spans="1:18" ht="16.5" thickBot="1">
      <c r="A73" s="1845"/>
      <c r="B73" s="796"/>
      <c r="C73" s="796"/>
      <c r="D73" s="1845"/>
      <c r="E73" s="1845"/>
      <c r="F73" s="1845"/>
      <c r="O73" s="1897" t="s">
        <v>1045</v>
      </c>
      <c r="P73" s="1888" t="s">
        <v>1560</v>
      </c>
      <c r="Q73" s="1889" t="e">
        <f ca="1">L58</f>
        <v>#DIV/0!</v>
      </c>
      <c r="R73" s="1889" t="s">
        <v>1561</v>
      </c>
    </row>
    <row r="74" spans="1:18" ht="13.5" thickBot="1">
      <c r="A74" s="1845"/>
      <c r="B74" s="317" t="s">
        <v>1580</v>
      </c>
      <c r="C74" s="1939"/>
      <c r="D74" s="1845"/>
      <c r="E74" s="1845"/>
      <c r="F74" s="1845"/>
      <c r="O74" s="1897" t="s">
        <v>1052</v>
      </c>
      <c r="P74" s="1888" t="str">
        <f>K59</f>
        <v>续建工期及建筑物耐用年限下的土地年期修正系数Kn</v>
      </c>
      <c r="Q74" s="1889" t="e">
        <f ca="1">L59</f>
        <v>#DIV/0!</v>
      </c>
      <c r="R74" s="1889" t="s">
        <v>1562</v>
      </c>
    </row>
    <row r="75" spans="1:18" ht="13.5" thickBot="1">
      <c r="A75" s="1845"/>
      <c r="B75" s="386" t="s">
        <v>1499</v>
      </c>
      <c r="C75" s="387">
        <f ca="1">ROUND(C13*C76,0)</f>
        <v>5667</v>
      </c>
      <c r="D75" s="1845"/>
      <c r="E75" s="1845"/>
      <c r="F75" s="1845"/>
      <c r="K75" s="1871"/>
      <c r="L75" s="1845"/>
      <c r="O75" s="1887" t="s">
        <v>1046</v>
      </c>
      <c r="P75" s="1888" t="s">
        <v>1542</v>
      </c>
      <c r="Q75" s="1889">
        <f ca="1">Q65+Q66</f>
        <v>113315</v>
      </c>
      <c r="R75" s="1889" t="s">
        <v>1047</v>
      </c>
    </row>
    <row r="76" spans="1:18">
      <c r="B76" s="388" t="s">
        <v>1500</v>
      </c>
      <c r="C76" s="389">
        <f ca="1">INDIRECT("'数据-取费表'!j"&amp;$G$1)</f>
        <v>0.08</v>
      </c>
      <c r="I76" s="1845"/>
      <c r="J76" s="1845"/>
      <c r="K76" s="1871"/>
      <c r="L76" s="1845"/>
    </row>
    <row r="77" spans="1:18">
      <c r="B77" s="390" t="s">
        <v>1501</v>
      </c>
      <c r="C77" s="391"/>
      <c r="I77" s="1845"/>
      <c r="J77" s="1845"/>
      <c r="K77" s="1871"/>
      <c r="L77" s="1845"/>
    </row>
    <row r="78" spans="1:18">
      <c r="B78" s="314" t="s">
        <v>1502</v>
      </c>
      <c r="C78" s="392"/>
    </row>
    <row r="79" spans="1:18">
      <c r="B79" s="386" t="s">
        <v>1503</v>
      </c>
      <c r="C79" s="318">
        <f ca="1">1-C80</f>
        <v>-0.27600000000000002</v>
      </c>
    </row>
    <row r="80" spans="1:18">
      <c r="B80" s="386" t="s">
        <v>1504</v>
      </c>
      <c r="C80" s="318">
        <f ca="1">ROUND(C75/C39,3)</f>
        <v>1.276</v>
      </c>
    </row>
    <row r="81" spans="2:3">
      <c r="B81" s="314" t="s">
        <v>1505</v>
      </c>
      <c r="C81" s="282"/>
    </row>
    <row r="82" spans="2:3">
      <c r="B82" s="317" t="s">
        <v>1506</v>
      </c>
      <c r="C82" s="319">
        <f ca="1">1-C83</f>
        <v>0.375</v>
      </c>
    </row>
    <row r="83" spans="2:3">
      <c r="B83" s="317" t="s">
        <v>1507</v>
      </c>
      <c r="C83" s="318">
        <f ca="1">ROUND(C13/C40,3)</f>
        <v>0.625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1582</v>
      </c>
      <c r="B1" s="782"/>
      <c r="C1" s="1840"/>
      <c r="D1" s="1823"/>
      <c r="E1" s="1824" t="s">
        <v>1380</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1583</v>
      </c>
      <c r="B2" s="1847" t="e">
        <f ca="1">ROUND(D2/10000,0)</f>
        <v>#DIV/0!</v>
      </c>
      <c r="C2" s="1848" t="s">
        <v>1584</v>
      </c>
      <c r="D2" s="1941" t="e">
        <f ca="1">C40+J29+L46</f>
        <v>#DIV/0!</v>
      </c>
      <c r="E2" s="1849" t="s">
        <v>1585</v>
      </c>
      <c r="F2" s="1850"/>
      <c r="G2" s="1851"/>
      <c r="H2" s="1843"/>
      <c r="I2" s="1843"/>
      <c r="J2" s="1843"/>
      <c r="K2" s="1844"/>
      <c r="L2" s="1843"/>
      <c r="M2" s="1843"/>
    </row>
    <row r="3" spans="1:37" ht="18" customHeight="1" thickBot="1">
      <c r="A3" s="1852" t="s">
        <v>1586</v>
      </c>
      <c r="B3" s="1853">
        <f ca="1">IF(ISERROR(D2/F43),0,ROUND(D2/F43,0))</f>
        <v>0</v>
      </c>
      <c r="C3" s="1848" t="s">
        <v>1587</v>
      </c>
      <c r="D3" s="1848"/>
      <c r="E3" s="1849"/>
      <c r="F3" s="1850"/>
      <c r="G3" s="1851"/>
      <c r="H3" s="744" t="s">
        <v>1581</v>
      </c>
      <c r="I3" s="1843"/>
      <c r="J3" s="1843"/>
      <c r="K3" s="1844"/>
      <c r="L3" s="1843"/>
      <c r="M3" s="1843"/>
    </row>
    <row r="4" spans="1:37" ht="18" customHeight="1">
      <c r="A4" s="340" t="s">
        <v>1588</v>
      </c>
      <c r="B4" s="341" t="s">
        <v>1589</v>
      </c>
      <c r="C4" s="341" t="s">
        <v>1590</v>
      </c>
      <c r="D4" s="341" t="s">
        <v>1591</v>
      </c>
      <c r="E4" s="342" t="s">
        <v>1592</v>
      </c>
      <c r="F4" s="343"/>
      <c r="G4" s="1854"/>
      <c r="H4" s="340" t="s">
        <v>1588</v>
      </c>
      <c r="I4" s="341" t="s">
        <v>1589</v>
      </c>
      <c r="J4" s="341" t="s">
        <v>1590</v>
      </c>
      <c r="K4" s="341" t="s">
        <v>1591</v>
      </c>
      <c r="L4" s="342" t="s">
        <v>1592</v>
      </c>
      <c r="M4" s="343"/>
    </row>
    <row r="5" spans="1:37" ht="18" customHeight="1">
      <c r="A5" s="344">
        <v>1</v>
      </c>
      <c r="B5" s="345" t="s">
        <v>1593</v>
      </c>
      <c r="C5" s="1295">
        <f ca="1">C6+C10+C12</f>
        <v>0</v>
      </c>
      <c r="D5" s="1825" t="s">
        <v>1594</v>
      </c>
      <c r="E5" s="1296"/>
      <c r="F5" s="1297"/>
      <c r="G5" s="1854"/>
      <c r="H5" s="344">
        <v>1</v>
      </c>
      <c r="I5" s="345" t="s">
        <v>1593</v>
      </c>
      <c r="J5" s="1295">
        <f ca="1">J6+J10+J12</f>
        <v>0</v>
      </c>
      <c r="K5" s="1825" t="s">
        <v>1594</v>
      </c>
      <c r="L5" s="1296"/>
      <c r="M5" s="1297"/>
    </row>
    <row r="6" spans="1:37" ht="18" customHeight="1">
      <c r="A6" s="1294" t="s">
        <v>1035</v>
      </c>
      <c r="B6" s="3150" t="s">
        <v>1396</v>
      </c>
      <c r="C6" s="1299">
        <f ca="1">ROUND(F6*F8*F7*(1-F9),0)</f>
        <v>0</v>
      </c>
      <c r="D6" s="164" t="s">
        <v>3030</v>
      </c>
      <c r="E6" s="347" t="s">
        <v>1398</v>
      </c>
      <c r="F6" s="348">
        <f ca="1">INDIRECT("'数据-取费表'!u"&amp;$G$1)</f>
        <v>0</v>
      </c>
      <c r="G6" s="1854"/>
      <c r="H6" s="1294" t="s">
        <v>1035</v>
      </c>
      <c r="I6" s="3150" t="s">
        <v>1396</v>
      </c>
      <c r="J6" s="346">
        <f ca="1">ROUND(M6*M8*M7*(1-M9),0)</f>
        <v>0</v>
      </c>
      <c r="K6" s="1837" t="s">
        <v>3031</v>
      </c>
      <c r="L6" s="347" t="s">
        <v>1398</v>
      </c>
      <c r="M6" s="348">
        <f ca="1">INDIRECT("'数据-取费表'!z"&amp;$G$1)</f>
        <v>0</v>
      </c>
    </row>
    <row r="7" spans="1:37" ht="18" customHeight="1">
      <c r="A7" s="1298"/>
      <c r="B7" s="3151"/>
      <c r="C7" s="1300"/>
      <c r="D7" s="352"/>
      <c r="E7" s="1301" t="s">
        <v>1399</v>
      </c>
      <c r="F7" s="348">
        <f ca="1">IF(INDIRECT("'数据-取费表'!ah"&amp;$G$1)="",INDIRECT("'数据-取费表'!k"&amp;$G$1),INDIRECT("'数据-取费表'!ah"&amp;$G$1))</f>
        <v>0</v>
      </c>
      <c r="G7" s="1854"/>
      <c r="H7" s="349"/>
      <c r="I7" s="3151"/>
      <c r="J7" s="351"/>
      <c r="K7" s="352"/>
      <c r="L7" s="347" t="s">
        <v>1399</v>
      </c>
      <c r="M7" s="348">
        <f ca="1">F7</f>
        <v>0</v>
      </c>
    </row>
    <row r="8" spans="1:37" ht="18" customHeight="1">
      <c r="A8" s="349"/>
      <c r="B8" s="3151"/>
      <c r="C8" s="351"/>
      <c r="D8" s="352"/>
      <c r="E8" s="347" t="s">
        <v>1400</v>
      </c>
      <c r="F8" s="348">
        <f ca="1">INDIRECT("'数据-取费表'!ai"&amp;$G$1)</f>
        <v>0</v>
      </c>
      <c r="G8" s="1854"/>
      <c r="H8" s="349"/>
      <c r="I8" s="3151"/>
      <c r="J8" s="351"/>
      <c r="K8" s="352"/>
      <c r="L8" s="347" t="s">
        <v>1400</v>
      </c>
      <c r="M8" s="348">
        <f ca="1">INDIRECT("'数据-取费表'!ai"&amp;$G$1)</f>
        <v>0</v>
      </c>
    </row>
    <row r="9" spans="1:37" ht="18" customHeight="1">
      <c r="A9" s="349"/>
      <c r="B9" s="3152"/>
      <c r="C9" s="351"/>
      <c r="D9" s="352"/>
      <c r="E9" s="347" t="s">
        <v>1401</v>
      </c>
      <c r="F9" s="357">
        <f ca="1">INDIRECT("'数据-取费表'!w"&amp;$G$1)</f>
        <v>0</v>
      </c>
      <c r="G9" s="1854"/>
      <c r="H9" s="349"/>
      <c r="I9" s="3152"/>
      <c r="J9" s="351"/>
      <c r="K9" s="352"/>
      <c r="L9" s="358" t="s">
        <v>1401</v>
      </c>
      <c r="M9" s="359">
        <f ca="1">INDIRECT("'数据-取费表'!ab"&amp;$G$1)</f>
        <v>0</v>
      </c>
    </row>
    <row r="10" spans="1:37" ht="18" customHeight="1">
      <c r="A10" s="1294" t="s">
        <v>1039</v>
      </c>
      <c r="B10" s="1826" t="s">
        <v>1402</v>
      </c>
      <c r="C10" s="361">
        <f ca="1">ROUND(IF(F10="押一",C6/12*F11,IF(F10="押二",C6/12*2*F11,IF(F10="押三",C6/12*3*F11,C11*F11))),0)</f>
        <v>0</v>
      </c>
      <c r="D10" s="1827" t="s">
        <v>3041</v>
      </c>
      <c r="E10" s="358" t="s">
        <v>1403</v>
      </c>
      <c r="F10" s="1369"/>
      <c r="G10" s="1854"/>
      <c r="H10" s="1294" t="s">
        <v>1039</v>
      </c>
      <c r="I10" s="1826" t="s">
        <v>1402</v>
      </c>
      <c r="J10" s="346">
        <f ca="1">ROUND(IF(M10="押一",J6/12*M11,IF(M10="押二",J6/12*2*M11,IF(M10="押三",J6/12*3*M11,J11*M11))),0)</f>
        <v>0</v>
      </c>
      <c r="K10" s="1838" t="s">
        <v>3043</v>
      </c>
      <c r="L10" s="358" t="s">
        <v>1403</v>
      </c>
      <c r="M10" s="1369"/>
    </row>
    <row r="11" spans="1:37" ht="18" customHeight="1">
      <c r="A11" s="353"/>
      <c r="B11" s="1828" t="s">
        <v>1595</v>
      </c>
      <c r="C11" s="1181"/>
      <c r="D11" s="352"/>
      <c r="E11" s="358" t="s">
        <v>1405</v>
      </c>
      <c r="F11" s="359">
        <f ca="1">'数据-取费表'!B39</f>
        <v>1.4999999999999999E-2</v>
      </c>
      <c r="G11" s="1854"/>
      <c r="H11" s="1302"/>
      <c r="I11" s="1828" t="s">
        <v>1596</v>
      </c>
      <c r="J11" s="1181"/>
      <c r="K11" s="748"/>
      <c r="L11" s="358" t="s">
        <v>1405</v>
      </c>
      <c r="M11" s="1059">
        <f ca="1">'数据-取费表'!B39</f>
        <v>1.4999999999999999E-2</v>
      </c>
    </row>
    <row r="12" spans="1:37" ht="18" customHeight="1" thickBot="1">
      <c r="A12" s="1336" t="s">
        <v>1075</v>
      </c>
      <c r="B12" s="1830" t="s">
        <v>1406</v>
      </c>
      <c r="C12" s="1337"/>
      <c r="D12" s="1338"/>
      <c r="E12" s="1343"/>
      <c r="F12" s="1339"/>
      <c r="G12" s="1854"/>
      <c r="H12" s="1336" t="s">
        <v>1075</v>
      </c>
      <c r="I12" s="1830" t="s">
        <v>1406</v>
      </c>
      <c r="J12" s="1337"/>
      <c r="K12" s="1351"/>
      <c r="L12" s="1343"/>
      <c r="M12" s="1352"/>
    </row>
    <row r="13" spans="1:37" ht="18" customHeight="1" thickTop="1">
      <c r="A13" s="1332">
        <v>2</v>
      </c>
      <c r="B13" s="1333" t="s">
        <v>1407</v>
      </c>
      <c r="C13" s="355">
        <f ca="1">ROUND(C29*F13,0)</f>
        <v>0</v>
      </c>
      <c r="D13" s="1334" t="s">
        <v>1408</v>
      </c>
      <c r="E13" s="1334" t="s">
        <v>1409</v>
      </c>
      <c r="F13" s="1335">
        <f ca="1">INDIRECT("'数据-取费表'!y"&amp;$G$1)</f>
        <v>0</v>
      </c>
      <c r="G13" s="1854"/>
      <c r="H13" s="1332">
        <v>2</v>
      </c>
      <c r="I13" s="1333" t="s">
        <v>1407</v>
      </c>
      <c r="J13" s="1293">
        <f ca="1">ROUND(J14*J15,0)</f>
        <v>0</v>
      </c>
      <c r="K13" s="1340" t="s">
        <v>1408</v>
      </c>
      <c r="L13" s="1855"/>
      <c r="M13" s="1856"/>
    </row>
    <row r="14" spans="1:37" ht="18" customHeight="1">
      <c r="A14" s="1204" t="s">
        <v>1034</v>
      </c>
      <c r="B14" s="347" t="s">
        <v>1410</v>
      </c>
      <c r="C14" s="363">
        <f ca="1">ROUND(INDIRECT("'数据-取费表'!l"&amp;$G$1)*F43+'数据-取费表'!L14*INDIRECT("'数据-取费表'!S"&amp;$G$1),0)</f>
        <v>0</v>
      </c>
      <c r="D14" s="1803" t="s">
        <v>1411</v>
      </c>
      <c r="E14" s="1797"/>
      <c r="F14" s="364"/>
      <c r="G14" s="1854"/>
      <c r="H14" s="1204" t="s">
        <v>1035</v>
      </c>
      <c r="I14" s="347" t="s">
        <v>1412</v>
      </c>
      <c r="J14" s="24">
        <f ca="1">C29</f>
        <v>0</v>
      </c>
      <c r="K14" s="15"/>
      <c r="L14" s="982"/>
      <c r="M14" s="983"/>
    </row>
    <row r="15" spans="1:37" s="1861" customFormat="1" ht="18" customHeight="1" thickBot="1">
      <c r="A15" s="1204" t="s">
        <v>1036</v>
      </c>
      <c r="B15" s="347" t="s">
        <v>1413</v>
      </c>
      <c r="C15" s="24">
        <f ca="1">ROUND(C14*F15,0)</f>
        <v>0</v>
      </c>
      <c r="D15" s="365" t="s">
        <v>1414</v>
      </c>
      <c r="E15" s="365" t="s">
        <v>1415</v>
      </c>
      <c r="F15" s="366">
        <f>'数据-取费表'!B33</f>
        <v>0.05</v>
      </c>
      <c r="G15" s="1857"/>
      <c r="H15" s="1342" t="s">
        <v>1039</v>
      </c>
      <c r="I15" s="1343" t="s">
        <v>1409</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1382</v>
      </c>
      <c r="B16" s="347" t="s">
        <v>1416</v>
      </c>
      <c r="C16" s="24">
        <f ca="1">ROUND(INDIRECT("'数据-取费表'!l"&amp;$G$1)*F43*F16,0)</f>
        <v>0</v>
      </c>
      <c r="D16" s="347" t="s">
        <v>1414</v>
      </c>
      <c r="E16" s="347" t="s">
        <v>1415</v>
      </c>
      <c r="F16" s="367">
        <f ca="1">IF(INDIRECT("'数据-取费表'!c"&amp;$G$1)="住宅",'数据-取费表'!B34,0)</f>
        <v>0</v>
      </c>
      <c r="G16" s="1854"/>
      <c r="H16" s="1332" t="s">
        <v>1030</v>
      </c>
      <c r="I16" s="1333" t="s">
        <v>1417</v>
      </c>
      <c r="J16" s="355">
        <f ca="1">ROUND(J17+J22+J23+J24,0)</f>
        <v>0</v>
      </c>
      <c r="K16" s="1340" t="s">
        <v>1418</v>
      </c>
      <c r="L16" s="1341"/>
      <c r="M16" s="1297"/>
    </row>
    <row r="17" spans="1:37" s="1861" customFormat="1" ht="18" customHeight="1">
      <c r="A17" s="1204" t="s">
        <v>1383</v>
      </c>
      <c r="B17" s="347" t="s">
        <v>1419</v>
      </c>
      <c r="C17" s="24">
        <f ca="1">ROUND(F17*(F43+INDIRECT("'数据-取费表'!S"&amp;$G$1)),0)</f>
        <v>0</v>
      </c>
      <c r="D17" s="347" t="s">
        <v>1420</v>
      </c>
      <c r="E17" s="347" t="s">
        <v>1421</v>
      </c>
      <c r="F17" s="26">
        <f>'数据-取费表'!B35</f>
        <v>200</v>
      </c>
      <c r="G17" s="1857"/>
      <c r="H17" s="1204" t="s">
        <v>1035</v>
      </c>
      <c r="I17" s="347" t="s">
        <v>1422</v>
      </c>
      <c r="J17" s="24">
        <f ca="1">ROUND(IF(项目基本情况!B11="自然人",J5*M17,J18+J19+J20),0)</f>
        <v>0</v>
      </c>
      <c r="K17" s="1803" t="s">
        <v>1423</v>
      </c>
      <c r="L17" s="1801" t="s">
        <v>1424</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1384</v>
      </c>
      <c r="B18" s="347" t="s">
        <v>1425</v>
      </c>
      <c r="C18" s="24">
        <f ca="1">ROUND(C14*F18,0)</f>
        <v>0</v>
      </c>
      <c r="D18" s="347" t="s">
        <v>1414</v>
      </c>
      <c r="E18" s="347" t="s">
        <v>1415</v>
      </c>
      <c r="F18" s="367">
        <f>'数据-取费表'!B36</f>
        <v>1.4999999999999999E-2</v>
      </c>
      <c r="G18" s="1857"/>
      <c r="H18" s="1204" t="s">
        <v>1034</v>
      </c>
      <c r="I18" s="347" t="s">
        <v>1426</v>
      </c>
      <c r="J18" s="24">
        <f ca="1">ROUND(J5*M18/(1+'数据-取费表'!C42),0)</f>
        <v>0</v>
      </c>
      <c r="K18" s="1801" t="s">
        <v>1427</v>
      </c>
      <c r="L18" s="347" t="s">
        <v>1415</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1428</v>
      </c>
      <c r="C19" s="24">
        <f ca="1">SUM(C14:C18)</f>
        <v>0</v>
      </c>
      <c r="D19" s="140" t="s">
        <v>1429</v>
      </c>
      <c r="E19" s="1821"/>
      <c r="F19" s="26"/>
      <c r="G19" s="1854"/>
      <c r="H19" s="1204" t="s">
        <v>1036</v>
      </c>
      <c r="I19" s="347" t="s">
        <v>1430</v>
      </c>
      <c r="J19" s="24">
        <f ca="1">IF(K19="按租金收入计税",ROUND(J5*M19,0),ROUND(C29*M19*0.7,0))</f>
        <v>0</v>
      </c>
      <c r="K19" s="1831" t="s">
        <v>1431</v>
      </c>
      <c r="L19" s="347" t="s">
        <v>1415</v>
      </c>
      <c r="M19" s="367">
        <f>IF(K19="按租金收入计税",'数据-取费表'!B51,'数据-取费表'!B50)</f>
        <v>1.2E-2</v>
      </c>
    </row>
    <row r="20" spans="1:37" s="1861" customFormat="1" ht="18" customHeight="1">
      <c r="A20" s="1204" t="s">
        <v>1039</v>
      </c>
      <c r="B20" s="347" t="s">
        <v>1432</v>
      </c>
      <c r="C20" s="24">
        <f ca="1">ROUND(C19*F20,0)</f>
        <v>0</v>
      </c>
      <c r="D20" s="369" t="s">
        <v>1433</v>
      </c>
      <c r="E20" s="347" t="s">
        <v>1415</v>
      </c>
      <c r="F20" s="367">
        <f>'数据-取费表'!B37</f>
        <v>0.02</v>
      </c>
      <c r="G20" s="1857"/>
      <c r="H20" s="1204" t="s">
        <v>1382</v>
      </c>
      <c r="I20" s="164" t="s">
        <v>1434</v>
      </c>
      <c r="J20" s="25">
        <f ca="1">ROUND(M20*M21,0)</f>
        <v>0</v>
      </c>
      <c r="K20" s="370" t="s">
        <v>1435</v>
      </c>
      <c r="L20" s="347" t="s">
        <v>1436</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1437</v>
      </c>
      <c r="C21" s="24" t="s">
        <v>1</v>
      </c>
      <c r="D21" s="369" t="s">
        <v>1438</v>
      </c>
      <c r="E21" s="347" t="s">
        <v>1439</v>
      </c>
      <c r="F21" s="367">
        <f>'数据-取费表'!B38</f>
        <v>0.05</v>
      </c>
      <c r="G21" s="1857"/>
      <c r="H21" s="372"/>
      <c r="I21" s="356"/>
      <c r="J21" s="29"/>
      <c r="K21" s="373"/>
      <c r="L21" s="347" t="s">
        <v>1440</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1385</v>
      </c>
      <c r="B22" s="347" t="s">
        <v>1441</v>
      </c>
      <c r="C22" s="24"/>
      <c r="D22" s="140" t="str">
        <f>IF(F23&lt;=1,"单利计息。","复利计息。")&amp;"建造成本、管理费用、销售费用产生的利息。"</f>
        <v>复利计息。建造成本、管理费用、销售费用产生的利息。</v>
      </c>
      <c r="E22" s="1821"/>
      <c r="F22" s="26"/>
      <c r="G22" s="1854"/>
      <c r="H22" s="1204" t="s">
        <v>1039</v>
      </c>
      <c r="I22" s="347" t="s">
        <v>1442</v>
      </c>
      <c r="J22" s="24">
        <f ca="1">ROUND(J14*M22,0)</f>
        <v>0</v>
      </c>
      <c r="K22" s="1801" t="s">
        <v>1443</v>
      </c>
      <c r="L22" s="347" t="s">
        <v>1415</v>
      </c>
      <c r="M22" s="374">
        <f ca="1">INDIRECT("'数据-取费表'!Ak"&amp;$G$1)</f>
        <v>0</v>
      </c>
    </row>
    <row r="23" spans="1:37" s="1861" customFormat="1" ht="18" customHeight="1">
      <c r="A23" s="1204" t="s">
        <v>1034</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2.5</v>
      </c>
      <c r="G23" s="1857"/>
      <c r="H23" s="1204" t="s">
        <v>1075</v>
      </c>
      <c r="I23" s="347" t="s">
        <v>1446</v>
      </c>
      <c r="J23" s="24">
        <f ca="1">ROUND(J13*M23,0)</f>
        <v>0</v>
      </c>
      <c r="K23" s="1801" t="s">
        <v>1447</v>
      </c>
      <c r="L23" s="347" t="s">
        <v>1448</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1449</v>
      </c>
      <c r="B24" s="347" t="s">
        <v>1450</v>
      </c>
      <c r="C24" s="24">
        <f ca="1">ROUND(IF('数据-取费表'!B22&lt;=1,F21*F24*F23/2,F21*(POWER((1+F24),F23/2)-1)),4)</f>
        <v>3.0000000000000001E-3</v>
      </c>
      <c r="D24" s="375" t="str">
        <f>IF(F23&lt;=1,"销售费用×利率×(建设周期÷2)","销售费用×((1+利率)^(建设周期÷2)-1)")</f>
        <v>销售费用×((1+利率)^(建设周期÷2)-1)</v>
      </c>
      <c r="E24" s="347" t="s">
        <v>1451</v>
      </c>
      <c r="F24" s="377">
        <f ca="1">'数据-取费表'!B40</f>
        <v>4.7500000000000001E-2</v>
      </c>
      <c r="G24" s="1857"/>
      <c r="H24" s="1342" t="s">
        <v>1386</v>
      </c>
      <c r="I24" s="1343" t="s">
        <v>1432</v>
      </c>
      <c r="J24" s="1344">
        <f ca="1">ROUND(J5*M24,0)</f>
        <v>0</v>
      </c>
      <c r="K24" s="1345" t="s">
        <v>1452</v>
      </c>
      <c r="L24" s="1343" t="s">
        <v>1448</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1453</v>
      </c>
      <c r="B25" s="347" t="s">
        <v>1454</v>
      </c>
      <c r="C25" s="24"/>
      <c r="D25" s="140" t="s">
        <v>1455</v>
      </c>
      <c r="E25" s="1821"/>
      <c r="F25" s="26"/>
      <c r="G25" s="1854"/>
      <c r="H25" s="1332" t="s">
        <v>1031</v>
      </c>
      <c r="I25" s="1347" t="s">
        <v>1456</v>
      </c>
      <c r="J25" s="355">
        <f ca="1">J5-J16</f>
        <v>0</v>
      </c>
      <c r="K25" s="1348" t="s">
        <v>1457</v>
      </c>
      <c r="L25" s="1349"/>
      <c r="M25" s="1350"/>
    </row>
    <row r="26" spans="1:37" ht="18" customHeight="1">
      <c r="A26" s="1204" t="s">
        <v>1034</v>
      </c>
      <c r="B26" s="347" t="s">
        <v>1458</v>
      </c>
      <c r="C26" s="24">
        <f ca="1">ROUND((C19+C20)*F26,0)</f>
        <v>0</v>
      </c>
      <c r="D26" s="369" t="s">
        <v>1459</v>
      </c>
      <c r="E26" s="358" t="s">
        <v>1460</v>
      </c>
      <c r="F26" s="357">
        <f ca="1">INDIRECT("'数据-取费表'!q"&amp;$G$1)</f>
        <v>0</v>
      </c>
      <c r="G26" s="1854"/>
      <c r="H26" s="344" t="s">
        <v>1032</v>
      </c>
      <c r="I26" s="345" t="s">
        <v>1461</v>
      </c>
      <c r="J26" s="346">
        <f ca="1">IF(J5&lt;&gt;0,ROUND(J25*(1-((1+M28)/(1+M26))^M27)/(M26-M28),0),0)</f>
        <v>0</v>
      </c>
      <c r="K26" s="370" t="s">
        <v>1462</v>
      </c>
      <c r="L26" s="347" t="s">
        <v>1463</v>
      </c>
      <c r="M26" s="357">
        <f ca="1">INDIRECT("'数据-取费表'!I"&amp;$G$1)</f>
        <v>0</v>
      </c>
    </row>
    <row r="27" spans="1:37" ht="18" customHeight="1">
      <c r="A27" s="1204" t="s">
        <v>1036</v>
      </c>
      <c r="B27" s="347" t="s">
        <v>1464</v>
      </c>
      <c r="C27" s="24">
        <f ca="1">ROUND(F21*F26,4)</f>
        <v>0</v>
      </c>
      <c r="D27" s="369" t="s">
        <v>1465</v>
      </c>
      <c r="E27" s="365"/>
      <c r="F27" s="366"/>
      <c r="G27" s="1854"/>
      <c r="H27" s="349"/>
      <c r="I27" s="350"/>
      <c r="J27" s="351"/>
      <c r="K27" s="378" t="s">
        <v>1466</v>
      </c>
      <c r="L27" s="347" t="s">
        <v>1467</v>
      </c>
      <c r="M27" s="379">
        <f ca="1">INDIRECT("'数据-取费表'!ag"&amp;$G$1)</f>
        <v>0</v>
      </c>
    </row>
    <row r="28" spans="1:37" s="1861" customFormat="1" ht="18" customHeight="1">
      <c r="A28" s="1204" t="s">
        <v>1037</v>
      </c>
      <c r="B28" s="347" t="s">
        <v>1468</v>
      </c>
      <c r="C28" s="24">
        <f>ROUND(F28/(1+'数据-取费表'!C42),4)</f>
        <v>5.2400000000000002E-2</v>
      </c>
      <c r="D28" s="369" t="s">
        <v>1469</v>
      </c>
      <c r="E28" s="347" t="s">
        <v>1415</v>
      </c>
      <c r="F28" s="367">
        <f>'数据-取费表'!B41</f>
        <v>5.5000000000000007E-2</v>
      </c>
      <c r="G28" s="1857"/>
      <c r="H28" s="353"/>
      <c r="I28" s="354"/>
      <c r="J28" s="355"/>
      <c r="K28" s="373"/>
      <c r="L28" s="347" t="s">
        <v>1470</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1471</v>
      </c>
      <c r="C29" s="1344">
        <f ca="1">ROUND((C19+C20+C23+C26)/(1-F21-C24-C27-C28),0)</f>
        <v>0</v>
      </c>
      <c r="D29" s="1345"/>
      <c r="E29" s="1343"/>
      <c r="F29" s="1346"/>
      <c r="G29" s="1857"/>
      <c r="H29" s="380" t="s">
        <v>1033</v>
      </c>
      <c r="I29" s="381" t="s">
        <v>1472</v>
      </c>
      <c r="J29" s="382">
        <f ca="1">ROUND(J26/(1+F40)^F41,0)</f>
        <v>0</v>
      </c>
      <c r="K29" s="383" t="s">
        <v>1473</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1417</v>
      </c>
      <c r="C30" s="355">
        <f ca="1">ROUND(C31+C36+C37+C38,0)</f>
        <v>0</v>
      </c>
      <c r="D30" s="1340" t="s">
        <v>1418</v>
      </c>
      <c r="E30" s="1341"/>
      <c r="F30" s="1297"/>
      <c r="G30" s="1854"/>
      <c r="H30" s="745"/>
      <c r="I30" s="746"/>
      <c r="J30" s="747"/>
      <c r="K30" s="748"/>
      <c r="L30" s="749"/>
      <c r="M30" s="750"/>
    </row>
    <row r="31" spans="1:37" ht="18" customHeight="1">
      <c r="A31" s="1204" t="s">
        <v>1035</v>
      </c>
      <c r="B31" s="347" t="s">
        <v>1422</v>
      </c>
      <c r="C31" s="24">
        <f ca="1">ROUND(IF(项目基本情况!B11="自然人",C5*F31,C32+C33+C34),0)</f>
        <v>0</v>
      </c>
      <c r="D31" s="1803" t="s">
        <v>1423</v>
      </c>
      <c r="E31" s="1801" t="s">
        <v>1474</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1426</v>
      </c>
      <c r="C32" s="24">
        <f ca="1">IF(项目基本情况!B11="自然人","——",ROUND(C5*F32/(1+'数据-取费表'!C42),0))</f>
        <v>0</v>
      </c>
      <c r="D32" s="1801" t="s">
        <v>1427</v>
      </c>
      <c r="E32" s="347" t="s">
        <v>1415</v>
      </c>
      <c r="F32" s="377">
        <f>'数据-取费表'!B41</f>
        <v>5.5000000000000007E-2</v>
      </c>
      <c r="G32" s="1854"/>
      <c r="H32" s="745"/>
      <c r="I32" s="746"/>
      <c r="J32" s="747"/>
      <c r="K32" s="748"/>
      <c r="L32" s="749"/>
      <c r="M32" s="750"/>
    </row>
    <row r="33" spans="1:18" ht="18" customHeight="1">
      <c r="A33" s="1204" t="s">
        <v>1036</v>
      </c>
      <c r="B33" s="347" t="s">
        <v>1430</v>
      </c>
      <c r="C33" s="24">
        <f ca="1">IF(项目基本情况!B11="自然人","——",IF(D33="按租金收入计税",ROUND(C5*F33,0),IF(D33="按房产原值计税",ROUND(C29*F33*0.7,0),INDIRECT("'数据-取费表'!Aj"&amp;$G$1))))</f>
        <v>0</v>
      </c>
      <c r="D33" s="1831" t="s">
        <v>1431</v>
      </c>
      <c r="E33" s="347" t="s">
        <v>1415</v>
      </c>
      <c r="F33" s="367">
        <f>IF(D33="按票据","——",IF(D33="按租金收入计税",'数据-取费表'!B51,'数据-取费表'!B50))</f>
        <v>1.2E-2</v>
      </c>
      <c r="G33" s="1854"/>
      <c r="H33" s="1862"/>
      <c r="I33" s="1863"/>
      <c r="J33" s="1864"/>
      <c r="K33" s="1865"/>
      <c r="L33" s="1862"/>
      <c r="M33" s="1862"/>
    </row>
    <row r="34" spans="1:18" ht="18" customHeight="1">
      <c r="A34" s="1294" t="s">
        <v>1382</v>
      </c>
      <c r="B34" s="164" t="s">
        <v>1434</v>
      </c>
      <c r="C34" s="25">
        <f ca="1">IF(项目基本情况!B11="自然人","——",ROUND(F34*F35,))</f>
        <v>0</v>
      </c>
      <c r="D34" s="370" t="s">
        <v>1435</v>
      </c>
      <c r="E34" s="347" t="s">
        <v>1436</v>
      </c>
      <c r="F34" s="371">
        <f>'数据-取费表'!B52</f>
        <v>0</v>
      </c>
      <c r="G34" s="1854"/>
      <c r="H34" s="745"/>
      <c r="I34" s="1863"/>
      <c r="J34" s="1864"/>
      <c r="K34" s="1866"/>
      <c r="L34" s="1867"/>
      <c r="M34" s="1867"/>
    </row>
    <row r="35" spans="1:18" ht="18" customHeight="1">
      <c r="A35" s="1356"/>
      <c r="B35" s="1354"/>
      <c r="C35" s="29"/>
      <c r="D35" s="373"/>
      <c r="E35" s="347" t="s">
        <v>1440</v>
      </c>
      <c r="F35" s="348">
        <f ca="1">INDIRECT("'数据-取费表'!r"&amp;$G$1)</f>
        <v>0</v>
      </c>
      <c r="G35" s="1854"/>
      <c r="H35" s="745"/>
      <c r="I35" s="1863"/>
      <c r="J35" s="1864"/>
      <c r="K35" s="1865"/>
      <c r="L35" s="1862"/>
      <c r="M35" s="1862"/>
    </row>
    <row r="36" spans="1:18" ht="18" customHeight="1">
      <c r="A36" s="1355" t="s">
        <v>1039</v>
      </c>
      <c r="B36" s="347" t="s">
        <v>1442</v>
      </c>
      <c r="C36" s="24">
        <f ca="1">ROUND(C29*F36,0)</f>
        <v>0</v>
      </c>
      <c r="D36" s="1801" t="s">
        <v>1475</v>
      </c>
      <c r="E36" s="347" t="s">
        <v>1415</v>
      </c>
      <c r="F36" s="374">
        <f ca="1">INDIRECT("'数据-取费表'!Ak"&amp;$G$1)</f>
        <v>0</v>
      </c>
      <c r="G36" s="1854"/>
      <c r="H36" s="1862"/>
      <c r="I36" s="1863"/>
      <c r="J36" s="1864"/>
      <c r="K36" s="751"/>
      <c r="L36" s="1862"/>
      <c r="M36" s="1862"/>
    </row>
    <row r="37" spans="1:18" ht="18" customHeight="1">
      <c r="A37" s="1204" t="s">
        <v>1075</v>
      </c>
      <c r="B37" s="347" t="s">
        <v>1446</v>
      </c>
      <c r="C37" s="24">
        <f ca="1">ROUND(C13*F37,0)</f>
        <v>0</v>
      </c>
      <c r="D37" s="1801" t="s">
        <v>1447</v>
      </c>
      <c r="E37" s="347" t="s">
        <v>1448</v>
      </c>
      <c r="F37" s="376">
        <f ca="1">INDIRECT("'数据-取费表'!Al"&amp;$G$1)</f>
        <v>0</v>
      </c>
      <c r="G37" s="1854"/>
      <c r="H37" s="1862"/>
      <c r="I37" s="1863"/>
      <c r="J37" s="1864"/>
      <c r="K37" s="751"/>
      <c r="L37" s="1862"/>
      <c r="M37" s="1862"/>
    </row>
    <row r="38" spans="1:18" ht="18" customHeight="1" thickBot="1">
      <c r="A38" s="1342" t="s">
        <v>1386</v>
      </c>
      <c r="B38" s="1343" t="s">
        <v>1432</v>
      </c>
      <c r="C38" s="1344">
        <f ca="1">ROUND(C5*F38,1)</f>
        <v>0</v>
      </c>
      <c r="D38" s="1345" t="s">
        <v>1452</v>
      </c>
      <c r="E38" s="1343" t="s">
        <v>1448</v>
      </c>
      <c r="F38" s="1339">
        <f ca="1">INDIRECT("'数据-取费表'!Am"&amp;$G$1)</f>
        <v>0</v>
      </c>
      <c r="G38" s="1854"/>
      <c r="H38" s="1862"/>
      <c r="I38" s="1863"/>
      <c r="J38" s="1864"/>
      <c r="K38" s="1868"/>
      <c r="L38" s="1862"/>
      <c r="M38" s="1862"/>
    </row>
    <row r="39" spans="1:18" ht="24.6" customHeight="1" thickTop="1">
      <c r="A39" s="1332" t="s">
        <v>1031</v>
      </c>
      <c r="B39" s="1347" t="s">
        <v>1476</v>
      </c>
      <c r="C39" s="355">
        <f ca="1">C5-C30</f>
        <v>0</v>
      </c>
      <c r="D39" s="1348" t="s">
        <v>1477</v>
      </c>
      <c r="E39" s="1349"/>
      <c r="F39" s="1350"/>
      <c r="G39" s="1854"/>
      <c r="H39" s="1862"/>
      <c r="I39" s="1863"/>
      <c r="J39" s="1864"/>
      <c r="K39" s="1868"/>
      <c r="L39" s="1862"/>
      <c r="M39" s="1862"/>
    </row>
    <row r="40" spans="1:18" ht="18" customHeight="1">
      <c r="A40" s="344" t="s">
        <v>1032</v>
      </c>
      <c r="B40" s="345" t="s">
        <v>1478</v>
      </c>
      <c r="C40" s="346" t="e">
        <f ca="1">ROUND(C39*(1-((1+F42)/(1+F40))^F41)/(F40-F42),0)</f>
        <v>#DIV/0!</v>
      </c>
      <c r="D40" s="370" t="s">
        <v>1462</v>
      </c>
      <c r="E40" s="347" t="s">
        <v>1463</v>
      </c>
      <c r="F40" s="357">
        <f ca="1">INDIRECT("'数据-取费表'!I"&amp;$G$1)</f>
        <v>0</v>
      </c>
      <c r="G40" s="1854"/>
      <c r="H40" s="1842"/>
      <c r="I40" s="1863"/>
      <c r="J40" s="1864"/>
      <c r="K40" s="1868"/>
      <c r="L40" s="1842"/>
      <c r="M40" s="1842"/>
    </row>
    <row r="41" spans="1:18" ht="18" customHeight="1">
      <c r="A41" s="349"/>
      <c r="B41" s="350"/>
      <c r="C41" s="351"/>
      <c r="D41" s="378" t="s">
        <v>1479</v>
      </c>
      <c r="E41" s="347" t="s">
        <v>1467</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1470</v>
      </c>
      <c r="F42" s="357">
        <f ca="1">INDIRECT("'数据-取费表'!v"&amp;$G$1)</f>
        <v>0</v>
      </c>
      <c r="G42" s="1854"/>
      <c r="H42" s="732"/>
      <c r="I42" s="1863"/>
      <c r="J42" s="1864"/>
      <c r="K42" s="751"/>
      <c r="L42" s="732"/>
      <c r="M42" s="732"/>
    </row>
    <row r="43" spans="1:18" ht="18" customHeight="1" thickBot="1">
      <c r="A43" s="380" t="s">
        <v>1033</v>
      </c>
      <c r="B43" s="381" t="s">
        <v>1480</v>
      </c>
      <c r="C43" s="382" t="e">
        <f ca="1">ROUND(C40/F43,0)</f>
        <v>#DIV/0!</v>
      </c>
      <c r="D43" s="383" t="s">
        <v>1481</v>
      </c>
      <c r="E43" s="384" t="s">
        <v>1482</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1597</v>
      </c>
      <c r="E45" s="1869"/>
      <c r="F45" s="1869"/>
      <c r="O45" s="1872" t="s">
        <v>1512</v>
      </c>
      <c r="P45" s="1842"/>
      <c r="Q45" s="1842"/>
      <c r="R45" s="1842"/>
    </row>
    <row r="46" spans="1:18" s="1845" customFormat="1" ht="13.5" thickBot="1">
      <c r="A46" s="1873" t="s">
        <v>1513</v>
      </c>
      <c r="C46" s="1874" t="e">
        <f ca="1">ROUND(C45/10000,0)</f>
        <v>#DIV/0!</v>
      </c>
      <c r="D46" s="1875" t="str">
        <f>C2</f>
        <v>万元</v>
      </c>
      <c r="I46" s="1876" t="s">
        <v>1514</v>
      </c>
      <c r="J46" s="1877"/>
      <c r="K46" s="1878"/>
      <c r="L46" s="1879" t="e">
        <f ca="1">IF(M47="住宅",0,IF(L48&gt;J51,L60,J60))</f>
        <v>#DIV/0!</v>
      </c>
      <c r="O46" s="1880" t="s">
        <v>1515</v>
      </c>
      <c r="P46" s="1881" t="s">
        <v>1516</v>
      </c>
      <c r="Q46" s="1882" t="s">
        <v>1517</v>
      </c>
      <c r="R46" s="1882" t="s">
        <v>1518</v>
      </c>
    </row>
    <row r="47" spans="1:18" s="1845" customFormat="1" ht="13.5" thickBot="1">
      <c r="A47" s="1168" t="s">
        <v>1389</v>
      </c>
      <c r="B47" s="1200" t="s">
        <v>1390</v>
      </c>
      <c r="C47" s="1200" t="s">
        <v>1391</v>
      </c>
      <c r="D47" s="1200" t="s">
        <v>1392</v>
      </c>
      <c r="E47" s="1282" t="s">
        <v>1393</v>
      </c>
      <c r="F47" s="1283"/>
      <c r="G47" s="792"/>
      <c r="I47" s="1883" t="s">
        <v>1519</v>
      </c>
      <c r="J47" s="1884"/>
      <c r="K47" s="1885" t="s">
        <v>1520</v>
      </c>
      <c r="L47" s="1886">
        <f ca="1">INDIRECT("'数据-取费表'!d"&amp;$G$1)</f>
        <v>0</v>
      </c>
      <c r="M47" s="1841" t="str">
        <f>IF(ISNUMBER(FIND("住宅",C1)),"住宅","非住宅")</f>
        <v>非住宅</v>
      </c>
      <c r="O47" s="1887" t="s">
        <v>1040</v>
      </c>
      <c r="P47" s="1888" t="s">
        <v>1521</v>
      </c>
      <c r="Q47" s="1889" t="e">
        <f ca="1">C40+J29</f>
        <v>#DIV/0!</v>
      </c>
      <c r="R47" s="1889" t="s">
        <v>1522</v>
      </c>
    </row>
    <row r="48" spans="1:18" s="1845" customFormat="1" ht="28.5" thickBot="1">
      <c r="A48" s="1363" t="s">
        <v>1128</v>
      </c>
      <c r="B48" s="345" t="s">
        <v>1394</v>
      </c>
      <c r="C48" s="1820">
        <f ca="1">C49+C53+C55</f>
        <v>0</v>
      </c>
      <c r="D48" s="1365"/>
      <c r="E48" s="1366"/>
      <c r="F48" s="1184"/>
      <c r="G48" s="792"/>
      <c r="H48" s="793"/>
      <c r="I48" s="1890" t="s">
        <v>1523</v>
      </c>
      <c r="J48" s="1891"/>
      <c r="K48" s="1892" t="s">
        <v>1524</v>
      </c>
      <c r="L48" s="1893">
        <f ca="1">INDIRECT("'数据-取费表'!f"&amp;$G$1)</f>
        <v>0</v>
      </c>
      <c r="O48" s="1887" t="s">
        <v>1041</v>
      </c>
      <c r="P48" s="1888" t="s">
        <v>1525</v>
      </c>
      <c r="Q48" s="1889" t="e">
        <f ca="1">J60</f>
        <v>#DIV/0!</v>
      </c>
      <c r="R48" s="1889" t="s">
        <v>1526</v>
      </c>
    </row>
    <row r="49" spans="1:18" s="1845" customFormat="1" ht="13.5" thickBot="1">
      <c r="A49" s="1197" t="s">
        <v>1129</v>
      </c>
      <c r="B49" s="1832" t="s">
        <v>1483</v>
      </c>
      <c r="C49" s="1367">
        <f ca="1">ROUND(F49*F51*F50*(1-F52),0)</f>
        <v>0</v>
      </c>
      <c r="D49" s="1279" t="s">
        <v>1397</v>
      </c>
      <c r="E49" s="1833" t="s">
        <v>1484</v>
      </c>
      <c r="F49" s="1284"/>
      <c r="G49" s="1894"/>
      <c r="H49" s="793"/>
      <c r="I49" s="1890" t="s">
        <v>1527</v>
      </c>
      <c r="J49" s="1895"/>
      <c r="K49" s="1892" t="s">
        <v>1528</v>
      </c>
      <c r="L49" s="1896"/>
      <c r="O49" s="1897" t="s">
        <v>1042</v>
      </c>
      <c r="P49" s="1888" t="s">
        <v>1529</v>
      </c>
      <c r="Q49" s="1889">
        <f ca="1">C29</f>
        <v>0</v>
      </c>
      <c r="R49" s="1889" t="s">
        <v>1522</v>
      </c>
    </row>
    <row r="50" spans="1:18" s="1845" customFormat="1" ht="13.5" thickBot="1">
      <c r="A50" s="1198"/>
      <c r="B50" s="1201"/>
      <c r="C50" s="1202"/>
      <c r="D50" s="1175"/>
      <c r="E50" s="1280" t="s">
        <v>1399</v>
      </c>
      <c r="F50" s="1281">
        <f ca="1">F7</f>
        <v>0</v>
      </c>
      <c r="H50" s="793"/>
      <c r="I50" s="1890" t="s">
        <v>1530</v>
      </c>
      <c r="J50" s="1898">
        <f>SUMPRODUCT((I63:I65=J47)*(J62:L62=J48)*(J63:L65))</f>
        <v>0</v>
      </c>
      <c r="K50" s="1892" t="s">
        <v>1531</v>
      </c>
      <c r="L50" s="1896"/>
      <c r="M50" s="1899"/>
      <c r="O50" s="1897" t="s">
        <v>1043</v>
      </c>
      <c r="P50" s="1888" t="s">
        <v>1532</v>
      </c>
      <c r="Q50" s="1900" t="e">
        <f ca="1">J58</f>
        <v>#DIV/0!</v>
      </c>
      <c r="R50" s="1889"/>
    </row>
    <row r="51" spans="1:18" s="1845" customFormat="1" ht="13.5" thickBot="1">
      <c r="A51" s="1199"/>
      <c r="B51" s="1201"/>
      <c r="C51" s="1202"/>
      <c r="D51" s="1175"/>
      <c r="E51" s="1203" t="s">
        <v>1400</v>
      </c>
      <c r="F51" s="348">
        <f ca="1">F8</f>
        <v>0</v>
      </c>
      <c r="I51" s="1901" t="s">
        <v>1533</v>
      </c>
      <c r="J51" s="1902">
        <f>IF(J49="",J50,J49+J50-YEAR('数据-取费表'!B2))</f>
        <v>0</v>
      </c>
      <c r="K51" s="1903" t="s">
        <v>1534</v>
      </c>
      <c r="L51" s="1904">
        <f ca="1">ROUND(-PV(INDIRECT("'数据-取费表'!h"&amp;$G$1),L48,(C39-C13*C76),0),0)</f>
        <v>0</v>
      </c>
      <c r="M51" s="1905"/>
      <c r="O51" s="1897" t="s">
        <v>1044</v>
      </c>
      <c r="P51" s="1888" t="s">
        <v>1535</v>
      </c>
      <c r="Q51" s="1900">
        <f>J52</f>
        <v>0</v>
      </c>
      <c r="R51" s="1889"/>
    </row>
    <row r="52" spans="1:18" s="1845" customFormat="1" ht="13.5" thickBot="1">
      <c r="A52" s="1199"/>
      <c r="B52" s="1201"/>
      <c r="C52" s="1202"/>
      <c r="D52" s="1175"/>
      <c r="E52" s="1203" t="s">
        <v>1401</v>
      </c>
      <c r="F52" s="1278"/>
      <c r="I52" s="1906" t="s">
        <v>1536</v>
      </c>
      <c r="J52" s="1907"/>
      <c r="K52" s="1906" t="s">
        <v>1537</v>
      </c>
      <c r="L52" s="1907"/>
      <c r="O52" s="1897" t="s">
        <v>1045</v>
      </c>
      <c r="P52" s="1888" t="s">
        <v>1538</v>
      </c>
      <c r="Q52" s="1889" t="b">
        <f>J53</f>
        <v>0</v>
      </c>
      <c r="R52" s="1889" t="s">
        <v>1539</v>
      </c>
    </row>
    <row r="53" spans="1:18" s="1845" customFormat="1" ht="30.75" customHeight="1" thickBot="1">
      <c r="A53" s="1364" t="s">
        <v>1130</v>
      </c>
      <c r="B53" s="369" t="s">
        <v>1402</v>
      </c>
      <c r="C53" s="361">
        <f ca="1">ROUND(IF(F53="押一",C49/12*F11,IF(F53="押二",C49/12*2*F11,IF(F53="押三",C49/12*3*F11,C54*F11))),0)</f>
        <v>0</v>
      </c>
      <c r="D53" s="1827" t="s">
        <v>3044</v>
      </c>
      <c r="E53" s="358" t="s">
        <v>1403</v>
      </c>
      <c r="F53" s="1369"/>
      <c r="I53" s="1908" t="s">
        <v>1540</v>
      </c>
      <c r="J53" s="1909" t="b">
        <f>IF(M47="住宅",IF(D1="——",MAX(J51,L48),IF(D1="在建（套用方法）",MAX(J51,L48-'数据-取费表'!B24),MAX(J51,L48-'数据-取费表'!B20))),IF(D1="——",MIN(J51,L48),IF(D1="在建（套用方法）",MIN(J51,L48-'数据-取费表'!B24),IF(D1="土地（套用方法）",MIN(J51,L48-'数据-取费表'!B20)))))</f>
        <v>0</v>
      </c>
      <c r="K53" s="3148" t="s">
        <v>1541</v>
      </c>
      <c r="L53" s="3149"/>
      <c r="O53" s="1887" t="s">
        <v>1046</v>
      </c>
      <c r="P53" s="1888" t="s">
        <v>1542</v>
      </c>
      <c r="Q53" s="1889" t="e">
        <f ca="1">Q47+Q48</f>
        <v>#DIV/0!</v>
      </c>
      <c r="R53" s="1889" t="s">
        <v>1047</v>
      </c>
    </row>
    <row r="54" spans="1:18" s="1845" customFormat="1" ht="13.5" thickBot="1">
      <c r="A54" s="1197"/>
      <c r="B54" s="1944" t="s">
        <v>1596</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1543</v>
      </c>
      <c r="P54" s="1842"/>
      <c r="Q54" s="1842"/>
      <c r="R54" s="1842"/>
    </row>
    <row r="55" spans="1:18" s="1845" customFormat="1" ht="13.5" thickBot="1">
      <c r="A55" s="1336" t="s">
        <v>1075</v>
      </c>
      <c r="B55" s="1830" t="s">
        <v>1406</v>
      </c>
      <c r="C55" s="1337"/>
      <c r="D55" s="1827"/>
      <c r="E55" s="1835"/>
      <c r="F55" s="1910"/>
      <c r="I55" s="1913" t="s">
        <v>1544</v>
      </c>
      <c r="J55" s="1914" t="e">
        <f ca="1">ROUND(IF(J47="钢混",J57/J50,1-(1-2%)*(J50-J57)/J50),3)</f>
        <v>#DIV/0!</v>
      </c>
      <c r="K55" s="1915" t="s">
        <v>1545</v>
      </c>
      <c r="L55" s="1916"/>
      <c r="O55" s="1880" t="s">
        <v>1515</v>
      </c>
      <c r="P55" s="1881" t="s">
        <v>1516</v>
      </c>
      <c r="Q55" s="1882" t="s">
        <v>1517</v>
      </c>
      <c r="R55" s="1882" t="s">
        <v>1518</v>
      </c>
    </row>
    <row r="56" spans="1:18" s="1845" customFormat="1" ht="36" customHeight="1" thickTop="1" thickBot="1">
      <c r="A56" s="1179">
        <v>2</v>
      </c>
      <c r="B56" s="1180" t="s">
        <v>1407</v>
      </c>
      <c r="C56" s="276">
        <f ca="1">C13</f>
        <v>0</v>
      </c>
      <c r="D56" s="1917"/>
      <c r="E56" s="1918"/>
      <c r="F56" s="1910"/>
      <c r="I56" s="1919" t="s">
        <v>1547</v>
      </c>
      <c r="J56" s="1920"/>
      <c r="K56" s="1890" t="s">
        <v>1548</v>
      </c>
      <c r="L56" s="1893">
        <f ca="1">IF(L48&lt;J51,"——",L48-J51)</f>
        <v>0</v>
      </c>
      <c r="O56" s="1887" t="s">
        <v>1040</v>
      </c>
      <c r="P56" s="1888" t="s">
        <v>1521</v>
      </c>
      <c r="Q56" s="1889" t="e">
        <f ca="1">C40+J29</f>
        <v>#DIV/0!</v>
      </c>
      <c r="R56" s="1889" t="s">
        <v>1522</v>
      </c>
    </row>
    <row r="57" spans="1:18" s="1845" customFormat="1" ht="24.75" thickBot="1">
      <c r="A57" s="1921"/>
      <c r="B57" s="1172" t="s">
        <v>1471</v>
      </c>
      <c r="C57" s="282">
        <f ca="1">C29</f>
        <v>0</v>
      </c>
      <c r="D57" s="1922"/>
      <c r="E57" s="1923"/>
      <c r="F57" s="1924"/>
      <c r="I57" s="1925" t="s">
        <v>1549</v>
      </c>
      <c r="J57" s="1926">
        <f ca="1">IF(OR(M47="住宅",J51&lt;L48,J56="是"),"——",J51-L48)</f>
        <v>0</v>
      </c>
      <c r="K57" s="1890" t="s">
        <v>1598</v>
      </c>
      <c r="L57" s="1893">
        <f ca="1">IF(L48&lt;J51,"——",IF(L55="比较法",L49,IF(L55="基准地价",L50,L51)))</f>
        <v>0</v>
      </c>
      <c r="O57" s="1887" t="s">
        <v>1041</v>
      </c>
      <c r="P57" s="1888" t="s">
        <v>1599</v>
      </c>
      <c r="Q57" s="1889" t="e">
        <f ca="1">L60</f>
        <v>#DIV/0!</v>
      </c>
      <c r="R57" s="1889" t="s">
        <v>1600</v>
      </c>
    </row>
    <row r="58" spans="1:18" s="1845" customFormat="1" ht="24.75" thickBot="1">
      <c r="A58" s="360" t="s">
        <v>1030</v>
      </c>
      <c r="B58" s="1180" t="s">
        <v>1417</v>
      </c>
      <c r="C58" s="361">
        <f ca="1">ROUND(C59+C64+C65+C66,0)</f>
        <v>0</v>
      </c>
      <c r="D58" s="1182" t="s">
        <v>1418</v>
      </c>
      <c r="E58" s="1183"/>
      <c r="F58" s="1184"/>
      <c r="I58" s="1925" t="s">
        <v>1553</v>
      </c>
      <c r="J58" s="1927" t="e">
        <f ca="1">IF(J55&lt;0.4,0.4,J55)</f>
        <v>#DIV/0!</v>
      </c>
      <c r="K58" s="1903" t="s">
        <v>1601</v>
      </c>
      <c r="L58" s="1893" t="e">
        <f ca="1">ROUND(POWER(1+L52,L47-L48)*(POWER(1+L52,L48)-1)/(POWER(1+L52,L47)-1),4)</f>
        <v>#DIV/0!</v>
      </c>
      <c r="O58" s="1897" t="s">
        <v>1042</v>
      </c>
      <c r="P58" s="1888" t="s">
        <v>1555</v>
      </c>
      <c r="Q58" s="1889">
        <f>IF(L55="比较法",L49,IF(L55="基准地价",L50,0))</f>
        <v>0</v>
      </c>
      <c r="R58" s="1889" t="s">
        <v>1522</v>
      </c>
    </row>
    <row r="59" spans="1:18" s="1845" customFormat="1" ht="24.75" thickBot="1">
      <c r="A59" s="1204" t="s">
        <v>1035</v>
      </c>
      <c r="B59" s="1172" t="s">
        <v>1422</v>
      </c>
      <c r="C59" s="24">
        <f ca="1">ROUND(IF(项目基本情况!B11="自然人",C48*F59,C60+C61+C62),0)</f>
        <v>0</v>
      </c>
      <c r="D59" s="1185" t="s">
        <v>1423</v>
      </c>
      <c r="E59" s="1186" t="s">
        <v>1424</v>
      </c>
      <c r="F59" s="368">
        <f ca="1">IF(项目基本情况!B11="企业","",IF(INDIRECT("'数据-取费表'!c"&amp;$G$1)="住宅",5%,IF(F49*F50*F51/12/(1+'数据-取费表'!C42)&gt;20000,12%,7%)))</f>
        <v>7.0000000000000007E-2</v>
      </c>
      <c r="I59" s="1925" t="s">
        <v>1556</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1557</v>
      </c>
      <c r="Q59" s="1900">
        <f>L52</f>
        <v>0</v>
      </c>
      <c r="R59" s="1889"/>
    </row>
    <row r="60" spans="1:18" s="1845" customFormat="1" ht="16.5" thickBot="1">
      <c r="A60" s="1204" t="s">
        <v>1034</v>
      </c>
      <c r="B60" s="1172" t="s">
        <v>1426</v>
      </c>
      <c r="C60" s="24">
        <f ca="1">IF(项目基本情况!B11="自然人","——",ROUND(C48*F60/(1+'数据-取费表'!C42),0))</f>
        <v>0</v>
      </c>
      <c r="D60" s="1186" t="s">
        <v>1427</v>
      </c>
      <c r="E60" s="1172" t="s">
        <v>1415</v>
      </c>
      <c r="F60" s="377">
        <f t="shared" ref="F60:F66" si="0">F32</f>
        <v>5.5000000000000007E-2</v>
      </c>
      <c r="I60" s="1928" t="s">
        <v>1558</v>
      </c>
      <c r="J60" s="1929" t="e">
        <f ca="1">IF(OR(M47="住宅",J51&lt;L48,J56="是"),"0",ROUND(J59/(1+J52)^J53,0))</f>
        <v>#DIV/0!</v>
      </c>
      <c r="K60" s="1930" t="s">
        <v>1559</v>
      </c>
      <c r="L60" s="1929" t="e">
        <f ca="1">IF(OR(M47="住宅",L48&lt;J51),0,ROUND(L57*(L58/L59-1),0))</f>
        <v>#DIV/0!</v>
      </c>
      <c r="O60" s="1897" t="s">
        <v>1044</v>
      </c>
      <c r="P60" s="1888" t="s">
        <v>1560</v>
      </c>
      <c r="Q60" s="1889" t="e">
        <f ca="1">L58</f>
        <v>#DIV/0!</v>
      </c>
      <c r="R60" s="1889" t="s">
        <v>1561</v>
      </c>
    </row>
    <row r="61" spans="1:18" s="1845" customFormat="1" ht="13.5" thickBot="1">
      <c r="A61" s="1204" t="s">
        <v>1485</v>
      </c>
      <c r="B61" s="1172" t="s">
        <v>1486</v>
      </c>
      <c r="C61" s="24">
        <f ca="1">IF(项目基本情况!B11="自然人","——",IF(D61="按租金收入计税",ROUND(C48*F61,0),IF(D61="按房产原值计税",ROUND(C57*F61*0.7,0),INDIRECT("'数据-取费表'!Aj"&amp;$G$1))))</f>
        <v>0</v>
      </c>
      <c r="D61" s="1831" t="s">
        <v>1431</v>
      </c>
      <c r="E61" s="1172" t="s">
        <v>1487</v>
      </c>
      <c r="F61" s="367">
        <f t="shared" si="0"/>
        <v>1.2E-2</v>
      </c>
      <c r="I61" s="1931"/>
      <c r="J61" s="1931"/>
      <c r="K61" s="1931"/>
      <c r="L61" s="1931"/>
      <c r="O61" s="1897" t="s">
        <v>1045</v>
      </c>
      <c r="P61" s="1888" t="str">
        <f>K59</f>
        <v>建设期及建筑物耐用年限下的土地年期修正系数Kn</v>
      </c>
      <c r="Q61" s="1889" t="e">
        <f ca="1">L59</f>
        <v>#DIV/0!</v>
      </c>
      <c r="R61" s="1889" t="s">
        <v>1562</v>
      </c>
    </row>
    <row r="62" spans="1:18" s="1845" customFormat="1" ht="13.5" thickBot="1">
      <c r="A62" s="1204" t="s">
        <v>1488</v>
      </c>
      <c r="B62" s="1171" t="s">
        <v>1489</v>
      </c>
      <c r="C62" s="25">
        <f ca="1">IF(项目基本情况!B11="自然人","——",ROUND(F62*F63,0))</f>
        <v>0</v>
      </c>
      <c r="D62" s="1187" t="s">
        <v>1490</v>
      </c>
      <c r="E62" s="1172" t="s">
        <v>1491</v>
      </c>
      <c r="F62" s="371">
        <f t="shared" si="0"/>
        <v>0</v>
      </c>
      <c r="I62" s="1932" t="s">
        <v>1563</v>
      </c>
      <c r="J62" s="1933" t="s">
        <v>1564</v>
      </c>
      <c r="K62" s="1933" t="s">
        <v>1565</v>
      </c>
      <c r="L62" s="1933" t="s">
        <v>1566</v>
      </c>
      <c r="M62" s="1934" t="s">
        <v>1567</v>
      </c>
      <c r="O62" s="1887" t="s">
        <v>1046</v>
      </c>
      <c r="P62" s="1888" t="s">
        <v>1568</v>
      </c>
      <c r="Q62" s="1889" t="e">
        <f ca="1">Q56+Q57</f>
        <v>#DIV/0!</v>
      </c>
      <c r="R62" s="1889" t="s">
        <v>1047</v>
      </c>
    </row>
    <row r="63" spans="1:18" s="1845" customFormat="1" ht="13.5" thickBot="1">
      <c r="A63" s="372"/>
      <c r="B63" s="1178"/>
      <c r="C63" s="29"/>
      <c r="D63" s="1188"/>
      <c r="E63" s="1172" t="s">
        <v>1492</v>
      </c>
      <c r="F63" s="348">
        <f t="shared" ca="1" si="0"/>
        <v>0</v>
      </c>
      <c r="I63" s="1932" t="s">
        <v>1569</v>
      </c>
      <c r="J63" s="1933">
        <v>70</v>
      </c>
      <c r="K63" s="1933">
        <v>50</v>
      </c>
      <c r="L63" s="1933">
        <v>80</v>
      </c>
      <c r="M63" s="1935">
        <v>0.02</v>
      </c>
      <c r="O63" s="1872" t="s">
        <v>1570</v>
      </c>
      <c r="P63" s="1842"/>
      <c r="Q63" s="1842"/>
      <c r="R63" s="1842"/>
    </row>
    <row r="64" spans="1:18" s="1845" customFormat="1" ht="13.5" thickBot="1">
      <c r="A64" s="1204" t="s">
        <v>1493</v>
      </c>
      <c r="B64" s="1172" t="s">
        <v>1494</v>
      </c>
      <c r="C64" s="24">
        <f ca="1">ROUND(C57*F64,0)</f>
        <v>0</v>
      </c>
      <c r="D64" s="1186" t="s">
        <v>1495</v>
      </c>
      <c r="E64" s="1172" t="s">
        <v>1487</v>
      </c>
      <c r="F64" s="374">
        <f t="shared" ca="1" si="0"/>
        <v>0</v>
      </c>
      <c r="I64" s="1932" t="s">
        <v>1571</v>
      </c>
      <c r="J64" s="1933">
        <v>50</v>
      </c>
      <c r="K64" s="1933">
        <v>35</v>
      </c>
      <c r="L64" s="1933">
        <v>60</v>
      </c>
      <c r="M64" s="1934">
        <v>0</v>
      </c>
      <c r="O64" s="1880" t="s">
        <v>1515</v>
      </c>
      <c r="P64" s="1881" t="s">
        <v>1516</v>
      </c>
      <c r="Q64" s="1882" t="s">
        <v>1517</v>
      </c>
      <c r="R64" s="1882" t="s">
        <v>1518</v>
      </c>
    </row>
    <row r="65" spans="1:18" s="1845" customFormat="1" ht="13.5" thickBot="1">
      <c r="A65" s="1204" t="s">
        <v>1496</v>
      </c>
      <c r="B65" s="1172" t="s">
        <v>1446</v>
      </c>
      <c r="C65" s="24">
        <f ca="1">ROUND(C56*F65,0)</f>
        <v>0</v>
      </c>
      <c r="D65" s="1186" t="s">
        <v>1447</v>
      </c>
      <c r="E65" s="1172" t="s">
        <v>1448</v>
      </c>
      <c r="F65" s="376">
        <f t="shared" ca="1" si="0"/>
        <v>0</v>
      </c>
      <c r="I65" s="1932" t="s">
        <v>1572</v>
      </c>
      <c r="J65" s="1933">
        <v>40</v>
      </c>
      <c r="K65" s="1933">
        <v>30</v>
      </c>
      <c r="L65" s="1933">
        <v>50</v>
      </c>
      <c r="M65" s="1935">
        <v>0.02</v>
      </c>
      <c r="O65" s="1887" t="s">
        <v>1040</v>
      </c>
      <c r="P65" s="1888" t="s">
        <v>1573</v>
      </c>
      <c r="Q65" s="1889" t="e">
        <f ca="1">C40+J29</f>
        <v>#DIV/0!</v>
      </c>
      <c r="R65" s="1889" t="s">
        <v>1522</v>
      </c>
    </row>
    <row r="66" spans="1:18" s="1845" customFormat="1" ht="16.5" thickBot="1">
      <c r="A66" s="1204" t="s">
        <v>1497</v>
      </c>
      <c r="B66" s="1172" t="s">
        <v>1432</v>
      </c>
      <c r="C66" s="24">
        <f ca="1">ROUND(C48*F66,0)</f>
        <v>0</v>
      </c>
      <c r="D66" s="1186" t="s">
        <v>1498</v>
      </c>
      <c r="E66" s="1172" t="s">
        <v>1415</v>
      </c>
      <c r="F66" s="357">
        <f t="shared" ca="1" si="0"/>
        <v>0</v>
      </c>
      <c r="O66" s="1887" t="s">
        <v>1041</v>
      </c>
      <c r="P66" s="1888" t="s">
        <v>1551</v>
      </c>
      <c r="Q66" s="1889" t="e">
        <f ca="1">L60</f>
        <v>#DIV/0!</v>
      </c>
      <c r="R66" s="1889" t="s">
        <v>1574</v>
      </c>
    </row>
    <row r="67" spans="1:18" s="1845" customFormat="1" ht="16.5" thickBot="1">
      <c r="A67" s="1179" t="s">
        <v>1031</v>
      </c>
      <c r="B67" s="1189" t="s">
        <v>1456</v>
      </c>
      <c r="C67" s="361">
        <f ca="1">C48-C58</f>
        <v>0</v>
      </c>
      <c r="D67" s="1185" t="s">
        <v>1457</v>
      </c>
      <c r="E67" s="1190"/>
      <c r="F67" s="1191"/>
      <c r="O67" s="1897" t="s">
        <v>1042</v>
      </c>
      <c r="P67" s="1888" t="s">
        <v>1555</v>
      </c>
      <c r="Q67" s="1936">
        <f ca="1">L51</f>
        <v>0</v>
      </c>
      <c r="R67" s="1889" t="s">
        <v>1575</v>
      </c>
    </row>
    <row r="68" spans="1:18" s="1845" customFormat="1" ht="16.5" thickBot="1">
      <c r="A68" s="1169" t="s">
        <v>1032</v>
      </c>
      <c r="B68" s="1170" t="s">
        <v>1478</v>
      </c>
      <c r="C68" s="346" t="e">
        <f ca="1">ROUND(C67*(1-((1+F70)/(1+F68))^F69)/(F68-F70),0)</f>
        <v>#DIV/0!</v>
      </c>
      <c r="D68" s="1187" t="s">
        <v>1462</v>
      </c>
      <c r="E68" s="1172" t="s">
        <v>1463</v>
      </c>
      <c r="F68" s="357">
        <f ca="1">F40</f>
        <v>0</v>
      </c>
      <c r="O68" s="1897" t="s">
        <v>1043</v>
      </c>
      <c r="P68" s="1937" t="s">
        <v>1576</v>
      </c>
      <c r="Q68" s="1889">
        <f ca="1">ROUND(Q69-Q70*Q71,0)</f>
        <v>0</v>
      </c>
      <c r="R68" s="1889" t="s">
        <v>1051</v>
      </c>
    </row>
    <row r="69" spans="1:18" s="1845" customFormat="1" ht="13.5" thickBot="1">
      <c r="A69" s="1173"/>
      <c r="B69" s="1174"/>
      <c r="C69" s="351"/>
      <c r="D69" s="1192" t="s">
        <v>1466</v>
      </c>
      <c r="E69" s="1172" t="s">
        <v>1467</v>
      </c>
      <c r="F69" s="379">
        <f ca="1">F41</f>
        <v>0</v>
      </c>
      <c r="O69" s="1897" t="s">
        <v>1048</v>
      </c>
      <c r="P69" s="1937" t="s">
        <v>1577</v>
      </c>
      <c r="Q69" s="1889">
        <f ca="1">C39</f>
        <v>0</v>
      </c>
      <c r="R69" s="1889" t="s">
        <v>1522</v>
      </c>
    </row>
    <row r="70" spans="1:18" s="1845" customFormat="1" ht="13.5" thickBot="1">
      <c r="A70" s="1176"/>
      <c r="B70" s="1177"/>
      <c r="C70" s="355"/>
      <c r="D70" s="1188"/>
      <c r="E70" s="1172" t="s">
        <v>1470</v>
      </c>
      <c r="F70" s="1278">
        <f ca="1">F42</f>
        <v>0</v>
      </c>
      <c r="O70" s="1897" t="s">
        <v>1049</v>
      </c>
      <c r="P70" s="1937" t="s">
        <v>1578</v>
      </c>
      <c r="Q70" s="1889">
        <f ca="1">C13</f>
        <v>0</v>
      </c>
      <c r="R70" s="1889" t="s">
        <v>1522</v>
      </c>
    </row>
    <row r="71" spans="1:18" s="1845" customFormat="1" ht="13.5" thickBot="1">
      <c r="A71" s="1193" t="s">
        <v>1033</v>
      </c>
      <c r="B71" s="1194" t="s">
        <v>1480</v>
      </c>
      <c r="C71" s="382" t="e">
        <f ca="1">ROUND(C68/F71,0)</f>
        <v>#DIV/0!</v>
      </c>
      <c r="D71" s="1195" t="s">
        <v>1481</v>
      </c>
      <c r="E71" s="1196" t="s">
        <v>1482</v>
      </c>
      <c r="F71" s="385">
        <f ca="1">F43</f>
        <v>0</v>
      </c>
      <c r="O71" s="1897" t="s">
        <v>1050</v>
      </c>
      <c r="P71" s="1937" t="s">
        <v>1579</v>
      </c>
      <c r="Q71" s="1900">
        <f ca="1">C76</f>
        <v>0</v>
      </c>
      <c r="R71" s="1889"/>
    </row>
    <row r="72" spans="1:18" s="1845" customFormat="1" ht="13.5" thickBot="1">
      <c r="B72" s="796"/>
      <c r="C72" s="796"/>
      <c r="O72" s="1897" t="s">
        <v>1044</v>
      </c>
      <c r="P72" s="1888" t="s">
        <v>1557</v>
      </c>
      <c r="Q72" s="1900">
        <f>L52</f>
        <v>0</v>
      </c>
      <c r="R72" s="1889"/>
    </row>
    <row r="73" spans="1:18" ht="16.5" thickBot="1">
      <c r="A73" s="1845"/>
      <c r="B73" s="796"/>
      <c r="C73" s="796"/>
      <c r="D73" s="1845"/>
      <c r="E73" s="1845"/>
      <c r="F73" s="1845"/>
      <c r="O73" s="1897" t="s">
        <v>1045</v>
      </c>
      <c r="P73" s="1888" t="s">
        <v>1560</v>
      </c>
      <c r="Q73" s="1889" t="e">
        <f ca="1">L58</f>
        <v>#DIV/0!</v>
      </c>
      <c r="R73" s="1889" t="s">
        <v>1561</v>
      </c>
    </row>
    <row r="74" spans="1:18" ht="13.5" thickBot="1">
      <c r="A74" s="1845"/>
      <c r="B74" s="317" t="s">
        <v>1580</v>
      </c>
      <c r="C74" s="1939"/>
      <c r="D74" s="1845"/>
      <c r="E74" s="1845"/>
      <c r="F74" s="1845"/>
      <c r="O74" s="1897" t="s">
        <v>1052</v>
      </c>
      <c r="P74" s="1888" t="str">
        <f>K59</f>
        <v>建设期及建筑物耐用年限下的土地年期修正系数Kn</v>
      </c>
      <c r="Q74" s="1889" t="e">
        <f ca="1">L59</f>
        <v>#DIV/0!</v>
      </c>
      <c r="R74" s="1889" t="s">
        <v>1562</v>
      </c>
    </row>
    <row r="75" spans="1:18" ht="13.5" thickBot="1">
      <c r="A75" s="1845"/>
      <c r="B75" s="386" t="s">
        <v>1499</v>
      </c>
      <c r="C75" s="387">
        <f ca="1">ROUND(C13*C76,0)</f>
        <v>0</v>
      </c>
      <c r="D75" s="1845"/>
      <c r="E75" s="1845"/>
      <c r="F75" s="1845"/>
      <c r="K75" s="1871"/>
      <c r="L75" s="1845"/>
      <c r="O75" s="1887" t="s">
        <v>1046</v>
      </c>
      <c r="P75" s="1888" t="s">
        <v>1542</v>
      </c>
      <c r="Q75" s="1889" t="e">
        <f ca="1">Q65+Q66</f>
        <v>#DIV/0!</v>
      </c>
      <c r="R75" s="1889" t="s">
        <v>1047</v>
      </c>
    </row>
    <row r="76" spans="1:18">
      <c r="B76" s="388" t="s">
        <v>1500</v>
      </c>
      <c r="C76" s="389">
        <f ca="1">INDIRECT("'数据-取费表'!j"&amp;$G$1)</f>
        <v>0</v>
      </c>
      <c r="I76" s="1845"/>
      <c r="J76" s="1845"/>
      <c r="K76" s="1871"/>
      <c r="L76" s="1845"/>
    </row>
    <row r="77" spans="1:18">
      <c r="B77" s="390" t="s">
        <v>1501</v>
      </c>
      <c r="C77" s="391"/>
      <c r="I77" s="1845"/>
      <c r="J77" s="1845"/>
      <c r="K77" s="1871"/>
      <c r="L77" s="1845"/>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2327</v>
      </c>
      <c r="B2" s="2570">
        <f ca="1">SUMIF(B6:B13,"&lt;&gt;#ref!",B6:B13)</f>
        <v>114889</v>
      </c>
      <c r="C2" s="2571" t="s">
        <v>2518</v>
      </c>
      <c r="D2" s="2572" t="s">
        <v>2519</v>
      </c>
      <c r="E2" s="2573">
        <f>SUM(E6:E13)</f>
        <v>47804</v>
      </c>
    </row>
    <row r="3" spans="1:6" ht="15.75">
      <c r="A3" s="2569" t="s">
        <v>1388</v>
      </c>
      <c r="B3" s="2570">
        <f ca="1">ROUND(B2*10000/E2,0)</f>
        <v>24033</v>
      </c>
      <c r="C3" s="2571" t="s">
        <v>2526</v>
      </c>
      <c r="D3" s="2574"/>
      <c r="E3" s="2575"/>
    </row>
    <row r="4" spans="1:6" ht="15.75">
      <c r="A4" s="2576"/>
      <c r="B4" s="2574"/>
      <c r="C4" s="2574"/>
      <c r="D4" s="2574"/>
      <c r="E4" s="2575"/>
    </row>
    <row r="5" spans="1:6" ht="15">
      <c r="A5" s="2577" t="s">
        <v>2520</v>
      </c>
      <c r="B5" s="3153" t="s">
        <v>2521</v>
      </c>
      <c r="C5" s="3153"/>
      <c r="D5" s="2578"/>
      <c r="E5" s="2579" t="s">
        <v>2522</v>
      </c>
      <c r="F5" s="2580" t="s">
        <v>2523</v>
      </c>
    </row>
    <row r="6" spans="1:6">
      <c r="A6" s="2581" t="str">
        <f>'数据-取费表'!AN6</f>
        <v>收益法</v>
      </c>
      <c r="B6" s="2580">
        <f ca="1">IF(F6="是",'数据-取费表'!AO6,0)</f>
        <v>114889</v>
      </c>
      <c r="C6" s="2571" t="s">
        <v>2518</v>
      </c>
      <c r="D6" s="2574"/>
      <c r="E6" s="2582">
        <f>IF(OR(A6=0,F6="否"),0,'数据-取费表'!K6+'数据-取费表'!S6)</f>
        <v>47804</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H21" sqref="H21"/>
    </sheetView>
  </sheetViews>
  <sheetFormatPr defaultRowHeight="13.5"/>
  <cols>
    <col min="1" max="1" width="10.5" customWidth="1"/>
    <col min="2" max="2" width="12.875" customWidth="1"/>
    <col min="3" max="3" width="8.75" customWidth="1"/>
    <col min="10" max="10" width="15" bestFit="1" customWidth="1"/>
  </cols>
  <sheetData>
    <row r="1" spans="1:10" ht="14.25">
      <c r="A1" s="3154" t="s">
        <v>1076</v>
      </c>
      <c r="B1" s="3155"/>
      <c r="C1" s="3156"/>
      <c r="D1" s="3157">
        <f>SUM(I10,I15,I20,I21,I23)</f>
        <v>9820</v>
      </c>
      <c r="E1" s="3157"/>
      <c r="F1" s="3157"/>
      <c r="G1" s="3157"/>
      <c r="H1" s="3157"/>
      <c r="I1" s="3158"/>
    </row>
    <row r="2" spans="1:10">
      <c r="A2" s="3159" t="s">
        <v>1077</v>
      </c>
      <c r="B2" s="3160" t="s">
        <v>1078</v>
      </c>
      <c r="C2" s="3160"/>
      <c r="D2" s="1304" t="s">
        <v>1079</v>
      </c>
      <c r="E2" s="1304" t="s">
        <v>1080</v>
      </c>
      <c r="F2" s="1304" t="s">
        <v>1081</v>
      </c>
      <c r="G2" s="1304" t="s">
        <v>1082</v>
      </c>
      <c r="H2" s="1304" t="s">
        <v>1083</v>
      </c>
      <c r="I2" s="1305" t="s">
        <v>1084</v>
      </c>
    </row>
    <row r="3" spans="1:10">
      <c r="A3" s="3159"/>
      <c r="B3" s="3160" t="s">
        <v>1085</v>
      </c>
      <c r="C3" s="3160"/>
      <c r="D3" s="1306"/>
      <c r="E3" s="1304"/>
      <c r="F3" s="1307"/>
      <c r="G3" s="1307"/>
      <c r="H3" s="1308"/>
      <c r="I3" s="1309">
        <f>ROUND(D3*E3*F3*G3*H3/10000,0)</f>
        <v>0</v>
      </c>
    </row>
    <row r="4" spans="1:10">
      <c r="A4" s="3159"/>
      <c r="B4" s="3160" t="s">
        <v>1086</v>
      </c>
      <c r="C4" s="3160"/>
      <c r="D4" s="1306"/>
      <c r="E4" s="1304"/>
      <c r="F4" s="1307"/>
      <c r="G4" s="1307"/>
      <c r="H4" s="1308"/>
      <c r="I4" s="1309">
        <f t="shared" ref="I4:I9" si="0">ROUND(D4*E4*F4*G4*H4/10000,0)</f>
        <v>0</v>
      </c>
    </row>
    <row r="5" spans="1:10" s="3293" customFormat="1">
      <c r="A5" s="3159"/>
      <c r="B5" s="3287" t="s">
        <v>3180</v>
      </c>
      <c r="C5" s="3287"/>
      <c r="D5" s="3288">
        <v>5</v>
      </c>
      <c r="E5" s="3289">
        <v>3000</v>
      </c>
      <c r="F5" s="3290">
        <v>0.75</v>
      </c>
      <c r="G5" s="3290">
        <v>0.7</v>
      </c>
      <c r="H5" s="3291">
        <v>365</v>
      </c>
      <c r="I5" s="3292">
        <f>ROUND(D5*E5*F5*G5*H5/10000,0)</f>
        <v>287</v>
      </c>
    </row>
    <row r="6" spans="1:10" s="3303" customFormat="1">
      <c r="A6" s="3159"/>
      <c r="B6" s="3297" t="s">
        <v>3181</v>
      </c>
      <c r="C6" s="3297"/>
      <c r="D6" s="3298">
        <v>260</v>
      </c>
      <c r="E6" s="3306">
        <v>800</v>
      </c>
      <c r="F6" s="3299">
        <v>0.75</v>
      </c>
      <c r="G6" s="3299">
        <v>0.7</v>
      </c>
      <c r="H6" s="3300">
        <v>365</v>
      </c>
      <c r="I6" s="3307">
        <f>ROUND(D6*E6*F6*G6*H6/10000,0)</f>
        <v>3986</v>
      </c>
    </row>
    <row r="7" spans="1:10">
      <c r="A7" s="3159"/>
      <c r="B7" s="3160" t="s">
        <v>1087</v>
      </c>
      <c r="C7" s="3160"/>
      <c r="D7" s="1306"/>
      <c r="E7" s="1304"/>
      <c r="F7" s="1307"/>
      <c r="G7" s="1307"/>
      <c r="H7" s="1308"/>
      <c r="I7" s="1309">
        <f t="shared" si="0"/>
        <v>0</v>
      </c>
    </row>
    <row r="8" spans="1:10">
      <c r="A8" s="3159"/>
      <c r="B8" s="3160" t="s">
        <v>1088</v>
      </c>
      <c r="C8" s="3160"/>
      <c r="D8" s="1306"/>
      <c r="E8" s="1304"/>
      <c r="F8" s="1307"/>
      <c r="G8" s="1307"/>
      <c r="H8" s="1308"/>
      <c r="I8" s="1309">
        <f t="shared" si="0"/>
        <v>0</v>
      </c>
    </row>
    <row r="9" spans="1:10" s="3293" customFormat="1">
      <c r="A9" s="3159"/>
      <c r="B9" s="3287" t="s">
        <v>3179</v>
      </c>
      <c r="C9" s="3287"/>
      <c r="D9" s="3288">
        <v>10</v>
      </c>
      <c r="E9" s="3289">
        <v>1450</v>
      </c>
      <c r="F9" s="3290">
        <v>0.4</v>
      </c>
      <c r="G9" s="3290">
        <v>0.8</v>
      </c>
      <c r="H9" s="3291">
        <v>365</v>
      </c>
      <c r="I9" s="3292">
        <f t="shared" si="0"/>
        <v>169</v>
      </c>
    </row>
    <row r="10" spans="1:10">
      <c r="A10" s="3159"/>
      <c r="B10" s="3161" t="s">
        <v>1089</v>
      </c>
      <c r="C10" s="3161"/>
      <c r="D10" s="1310"/>
      <c r="E10" s="1310" t="e">
        <f>ROUND(D1*10000/D10/H9,0)</f>
        <v>#DIV/0!</v>
      </c>
      <c r="F10" s="1311"/>
      <c r="G10" s="1311"/>
      <c r="H10" s="1312"/>
      <c r="I10" s="1313">
        <f>SUM(I3:I9)</f>
        <v>4442</v>
      </c>
    </row>
    <row r="11" spans="1:10" ht="14.25">
      <c r="A11" s="3159" t="s">
        <v>1090</v>
      </c>
      <c r="B11" s="3160" t="s">
        <v>1091</v>
      </c>
      <c r="C11" s="3160"/>
      <c r="D11" s="1306" t="s">
        <v>1092</v>
      </c>
      <c r="E11" s="1306" t="s">
        <v>1093</v>
      </c>
      <c r="F11" s="1307" t="s">
        <v>1094</v>
      </c>
      <c r="G11" s="1307" t="s">
        <v>1083</v>
      </c>
      <c r="H11" s="1314" t="s">
        <v>1095</v>
      </c>
      <c r="I11" s="1305" t="s">
        <v>1084</v>
      </c>
    </row>
    <row r="12" spans="1:10" s="3293" customFormat="1">
      <c r="A12" s="3159"/>
      <c r="B12" s="3287" t="s">
        <v>3177</v>
      </c>
      <c r="C12" s="3287"/>
      <c r="D12" s="3288">
        <v>80</v>
      </c>
      <c r="E12" s="3288">
        <v>150</v>
      </c>
      <c r="F12" s="3290">
        <v>0.5</v>
      </c>
      <c r="G12" s="3291">
        <v>365</v>
      </c>
      <c r="H12" s="3294"/>
      <c r="I12" s="3295">
        <f>ROUND(D12*E12*F12*G12/1000,0)</f>
        <v>2190</v>
      </c>
    </row>
    <row r="13" spans="1:10" s="3303" customFormat="1">
      <c r="A13" s="3159"/>
      <c r="B13" s="3297" t="s">
        <v>3178</v>
      </c>
      <c r="C13" s="3297"/>
      <c r="D13" s="3298">
        <v>80</v>
      </c>
      <c r="E13" s="3298">
        <v>350</v>
      </c>
      <c r="F13" s="3299">
        <v>0.5</v>
      </c>
      <c r="G13" s="3300">
        <v>365</v>
      </c>
      <c r="H13" s="3304"/>
      <c r="I13" s="3305">
        <f>ROUND(D13*E13*F13*G13/10000,0)</f>
        <v>511</v>
      </c>
    </row>
    <row r="14" spans="1:10" s="3293" customFormat="1">
      <c r="A14" s="3159"/>
      <c r="B14" s="3287" t="s">
        <v>3183</v>
      </c>
      <c r="C14" s="3287"/>
      <c r="D14" s="3288">
        <v>200</v>
      </c>
      <c r="E14" s="3288">
        <v>280</v>
      </c>
      <c r="F14" s="3290">
        <v>0.6</v>
      </c>
      <c r="G14" s="3291">
        <v>365</v>
      </c>
      <c r="H14" s="3294"/>
      <c r="I14" s="3295">
        <f>ROUND(D14*E14*F14*G14/10000,0)</f>
        <v>1226</v>
      </c>
      <c r="J14" s="3296"/>
    </row>
    <row r="15" spans="1:10">
      <c r="A15" s="3159"/>
      <c r="B15" s="3161" t="s">
        <v>1089</v>
      </c>
      <c r="C15" s="3161"/>
      <c r="D15" s="1310"/>
      <c r="E15" s="1310">
        <f>SUM(E12:E14)</f>
        <v>780</v>
      </c>
      <c r="F15" s="1311"/>
      <c r="G15" s="1308"/>
      <c r="H15" s="1315"/>
      <c r="I15" s="1316">
        <f>SUM(I12:I14)</f>
        <v>3927</v>
      </c>
    </row>
    <row r="16" spans="1:10" ht="24">
      <c r="A16" s="3159" t="s">
        <v>1096</v>
      </c>
      <c r="B16" s="3160" t="s">
        <v>1097</v>
      </c>
      <c r="C16" s="3160"/>
      <c r="D16" s="1306" t="s">
        <v>1079</v>
      </c>
      <c r="E16" s="1317" t="s">
        <v>1098</v>
      </c>
      <c r="F16" s="1307" t="s">
        <v>1099</v>
      </c>
      <c r="G16" s="1308" t="s">
        <v>1083</v>
      </c>
      <c r="H16" s="1314" t="s">
        <v>1095</v>
      </c>
      <c r="I16" s="1305" t="s">
        <v>1084</v>
      </c>
    </row>
    <row r="17" spans="1:9" s="3303" customFormat="1" ht="14.25">
      <c r="A17" s="3159"/>
      <c r="B17" s="3297" t="s">
        <v>3182</v>
      </c>
      <c r="C17" s="3297"/>
      <c r="D17" s="3298">
        <v>9</v>
      </c>
      <c r="E17" s="3298">
        <v>1200</v>
      </c>
      <c r="F17" s="3299">
        <v>0.3</v>
      </c>
      <c r="G17" s="3300">
        <v>365</v>
      </c>
      <c r="H17" s="3301"/>
      <c r="I17" s="3302">
        <f>ROUND(D17*E17*F17*G17/10000,0)</f>
        <v>118</v>
      </c>
    </row>
    <row r="18" spans="1:9" ht="14.25">
      <c r="A18" s="3159"/>
      <c r="B18" s="3160" t="s">
        <v>1100</v>
      </c>
      <c r="C18" s="3160"/>
      <c r="D18" s="1306"/>
      <c r="E18" s="1306"/>
      <c r="F18" s="1307"/>
      <c r="G18" s="1308"/>
      <c r="H18" s="1318"/>
      <c r="I18" s="1319">
        <f>ROUND(D18*E18*F18*G18/10000,0)</f>
        <v>0</v>
      </c>
    </row>
    <row r="19" spans="1:9" ht="14.25">
      <c r="A19" s="3159"/>
      <c r="B19" s="3160" t="s">
        <v>1101</v>
      </c>
      <c r="C19" s="3160"/>
      <c r="D19" s="1306"/>
      <c r="E19" s="1306"/>
      <c r="F19" s="1307"/>
      <c r="G19" s="1308"/>
      <c r="H19" s="1318"/>
      <c r="I19" s="1319">
        <f>ROUND(D19*E19*F19*G19/10000,0)</f>
        <v>0</v>
      </c>
    </row>
    <row r="20" spans="1:9">
      <c r="A20" s="3159"/>
      <c r="B20" s="3161" t="s">
        <v>1089</v>
      </c>
      <c r="C20" s="3161"/>
      <c r="D20" s="1310">
        <f>SUM(D17:D19)</f>
        <v>9</v>
      </c>
      <c r="E20" s="1310"/>
      <c r="F20" s="1311"/>
      <c r="G20" s="1308"/>
      <c r="H20" s="1315"/>
      <c r="I20" s="1316">
        <f>SUM(I17:I19)</f>
        <v>118</v>
      </c>
    </row>
    <row r="21" spans="1:9">
      <c r="A21" s="3159" t="s">
        <v>1102</v>
      </c>
      <c r="B21" s="3163"/>
      <c r="C21" s="3163"/>
      <c r="D21" s="3163"/>
      <c r="E21" s="3163"/>
      <c r="F21" s="3163"/>
      <c r="G21" s="3163"/>
      <c r="H21" s="1768">
        <v>0.3</v>
      </c>
      <c r="I21" s="1313">
        <f>ROUND(I10*H21,0)</f>
        <v>1333</v>
      </c>
    </row>
    <row r="22" spans="1:9" ht="14.25">
      <c r="A22" s="3164" t="s">
        <v>1103</v>
      </c>
      <c r="B22" s="3165"/>
      <c r="C22" s="3166"/>
      <c r="D22" s="1320" t="s">
        <v>1104</v>
      </c>
      <c r="E22" s="1320" t="s">
        <v>1105</v>
      </c>
      <c r="F22" s="1321" t="s">
        <v>1106</v>
      </c>
      <c r="G22" s="1321" t="s">
        <v>1107</v>
      </c>
      <c r="H22" s="1314" t="s">
        <v>1108</v>
      </c>
      <c r="I22" s="1305" t="s">
        <v>1109</v>
      </c>
    </row>
    <row r="23" spans="1:9" ht="14.25" thickBot="1">
      <c r="A23" s="3167"/>
      <c r="B23" s="3168"/>
      <c r="C23" s="3169"/>
      <c r="D23" s="1322"/>
      <c r="E23" s="1322"/>
      <c r="F23" s="1322"/>
      <c r="G23" s="1323"/>
      <c r="H23" s="1324"/>
      <c r="I23" s="1325">
        <f>ROUND(E23*D23*F23*(1-G23)/10000,0)</f>
        <v>0</v>
      </c>
    </row>
    <row r="26" spans="1:9">
      <c r="A26" s="1326" t="s">
        <v>1110</v>
      </c>
      <c r="B26" s="1326"/>
      <c r="C26" s="1326"/>
      <c r="D26" s="1326"/>
      <c r="E26" s="3170">
        <f>C27-C30-C31-C32</f>
        <v>6383</v>
      </c>
      <c r="F26" s="3170"/>
      <c r="G26" s="3170"/>
      <c r="H26" s="1740" t="s">
        <v>1333</v>
      </c>
    </row>
    <row r="27" spans="1:9">
      <c r="A27" s="1327">
        <v>1</v>
      </c>
      <c r="B27" s="1328" t="s">
        <v>1111</v>
      </c>
      <c r="C27" s="1328">
        <f>SUM(C28:C29)</f>
        <v>9820</v>
      </c>
      <c r="D27" s="1328"/>
      <c r="E27" s="3171"/>
      <c r="F27" s="3171"/>
      <c r="G27" s="3171"/>
    </row>
    <row r="28" spans="1:9">
      <c r="A28" s="1329" t="s">
        <v>1112</v>
      </c>
      <c r="B28" s="1328" t="s">
        <v>1113</v>
      </c>
      <c r="C28" s="1328">
        <f>I10</f>
        <v>4442</v>
      </c>
      <c r="D28" s="1328"/>
      <c r="E28" s="3171"/>
      <c r="F28" s="3171"/>
      <c r="G28" s="3171"/>
    </row>
    <row r="29" spans="1:9">
      <c r="A29" s="1329" t="s">
        <v>1114</v>
      </c>
      <c r="B29" s="1328" t="s">
        <v>1115</v>
      </c>
      <c r="C29" s="1328">
        <f>I15+I20+I21</f>
        <v>5378</v>
      </c>
      <c r="D29" s="1328"/>
      <c r="E29" s="1328" t="s">
        <v>1116</v>
      </c>
      <c r="F29" s="1328"/>
      <c r="G29" s="1328"/>
    </row>
    <row r="30" spans="1:9">
      <c r="A30" s="1327">
        <v>2</v>
      </c>
      <c r="B30" s="1328" t="s">
        <v>1117</v>
      </c>
      <c r="C30" s="1328">
        <f>C27*D30</f>
        <v>1964</v>
      </c>
      <c r="D30" s="1330">
        <v>0.2</v>
      </c>
      <c r="E30" s="1328" t="s">
        <v>1118</v>
      </c>
      <c r="F30" s="1328"/>
      <c r="G30" s="1328"/>
    </row>
    <row r="31" spans="1:9">
      <c r="A31" s="1327">
        <v>3</v>
      </c>
      <c r="B31" s="1328" t="s">
        <v>1119</v>
      </c>
      <c r="C31" s="1328">
        <f>C27*D31</f>
        <v>982</v>
      </c>
      <c r="D31" s="1330">
        <v>0.1</v>
      </c>
      <c r="E31" s="1328" t="s">
        <v>1120</v>
      </c>
      <c r="F31" s="1328"/>
      <c r="G31" s="1328"/>
    </row>
    <row r="32" spans="1:9">
      <c r="A32" s="1327">
        <v>4</v>
      </c>
      <c r="B32" s="1328" t="s">
        <v>1121</v>
      </c>
      <c r="C32" s="1328">
        <f>C27*D32</f>
        <v>491</v>
      </c>
      <c r="D32" s="1330">
        <v>0.05</v>
      </c>
      <c r="E32" s="3162"/>
      <c r="F32" s="3162"/>
      <c r="G32" s="3162"/>
    </row>
    <row r="33" spans="1:7" hidden="1">
      <c r="A33" s="3172" t="s">
        <v>1122</v>
      </c>
      <c r="B33" s="3173"/>
      <c r="C33" s="3173"/>
      <c r="D33" s="3174"/>
      <c r="E33" s="3170"/>
      <c r="F33" s="3170"/>
      <c r="G33" s="3170"/>
    </row>
    <row r="34" spans="1:7" hidden="1">
      <c r="A34" s="1331">
        <v>1</v>
      </c>
      <c r="B34" s="1328" t="s">
        <v>1123</v>
      </c>
      <c r="C34" s="1328"/>
      <c r="D34" s="1328"/>
      <c r="E34" s="3171"/>
      <c r="F34" s="3171"/>
      <c r="G34" s="3171"/>
    </row>
    <row r="35" spans="1:7" hidden="1">
      <c r="A35" s="1331">
        <v>2</v>
      </c>
      <c r="B35" s="1328" t="s">
        <v>1124</v>
      </c>
      <c r="C35" s="1328"/>
      <c r="D35" s="1328"/>
      <c r="E35" s="3171"/>
      <c r="F35" s="3171"/>
      <c r="G35" s="3171"/>
    </row>
    <row r="36" spans="1:7" hidden="1">
      <c r="A36" s="1331">
        <v>3</v>
      </c>
      <c r="B36" s="1328" t="s">
        <v>1125</v>
      </c>
      <c r="C36" s="1328"/>
      <c r="D36" s="1328"/>
      <c r="E36" s="3171"/>
      <c r="F36" s="3171"/>
      <c r="G36" s="3171"/>
    </row>
    <row r="37" spans="1:7" hidden="1">
      <c r="A37" s="1331">
        <v>4</v>
      </c>
      <c r="B37" s="1328" t="s">
        <v>1126</v>
      </c>
      <c r="C37" s="1328"/>
      <c r="D37" s="1328"/>
      <c r="E37" s="3171"/>
      <c r="F37" s="3171"/>
      <c r="G37" s="3171"/>
    </row>
    <row r="38" spans="1:7" hidden="1">
      <c r="A38" s="3172" t="s">
        <v>1127</v>
      </c>
      <c r="B38" s="3173"/>
      <c r="C38" s="3173"/>
      <c r="D38" s="3174"/>
      <c r="E38" s="3170"/>
      <c r="F38" s="3170"/>
      <c r="G38" s="31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7" sqref="G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1387</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1388</v>
      </c>
      <c r="B3" s="399" t="e">
        <f ca="1">IF(C2="——",C49,ROUND(B2*10000/D3,0))</f>
        <v>#DIV/0!</v>
      </c>
      <c r="C3" s="400" t="s">
        <v>2533</v>
      </c>
      <c r="D3" s="399">
        <f>IF(D1="",'数据-汇总表'!E3,SUMIF('数据-汇总表'!$C19:$C33,D1,'数据-汇总表'!$E19:$E33))</f>
        <v>47804</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193" t="s">
        <v>2535</v>
      </c>
      <c r="D4" s="3194"/>
      <c r="E4" s="3195" t="s">
        <v>2536</v>
      </c>
      <c r="F4" s="3196"/>
      <c r="G4" s="3193" t="s">
        <v>2537</v>
      </c>
      <c r="H4" s="3194"/>
      <c r="I4" s="3193" t="s">
        <v>2538</v>
      </c>
      <c r="J4" s="3194"/>
      <c r="K4" s="2601" t="s">
        <v>2539</v>
      </c>
      <c r="L4" s="1133"/>
      <c r="M4" s="1134"/>
      <c r="N4" s="1134"/>
      <c r="O4" s="1134"/>
      <c r="P4" s="3197" t="s">
        <v>2540</v>
      </c>
      <c r="Q4" s="3198"/>
      <c r="R4" s="3180" t="s">
        <v>2536</v>
      </c>
      <c r="S4" s="3181"/>
      <c r="T4" s="3180" t="s">
        <v>2537</v>
      </c>
      <c r="U4" s="3181"/>
      <c r="V4" s="3205" t="s">
        <v>2538</v>
      </c>
      <c r="W4" s="3205"/>
      <c r="X4" s="1816"/>
      <c r="Y4" s="3180" t="s">
        <v>2540</v>
      </c>
      <c r="Z4" s="3181"/>
      <c r="AA4" s="3175" t="s">
        <v>2536</v>
      </c>
      <c r="AB4" s="3175" t="s">
        <v>2537</v>
      </c>
      <c r="AC4" s="3175" t="s">
        <v>2538</v>
      </c>
    </row>
    <row r="5" spans="1:29" ht="15">
      <c r="A5" s="404"/>
      <c r="B5" s="405"/>
      <c r="C5" s="3186" t="s">
        <v>2541</v>
      </c>
      <c r="D5" s="3187"/>
      <c r="E5" s="3184" t="s">
        <v>3152</v>
      </c>
      <c r="F5" s="3185"/>
      <c r="G5" s="3186" t="s">
        <v>2543</v>
      </c>
      <c r="H5" s="3187"/>
      <c r="I5" s="3186" t="s">
        <v>2544</v>
      </c>
      <c r="J5" s="3187"/>
      <c r="K5" s="2602"/>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2545</v>
      </c>
      <c r="D6" s="3189"/>
      <c r="E6" s="3190" t="s">
        <v>2545</v>
      </c>
      <c r="F6" s="3191"/>
      <c r="G6" s="3188" t="s">
        <v>2545</v>
      </c>
      <c r="H6" s="3189"/>
      <c r="I6" s="3188" t="s">
        <v>2545</v>
      </c>
      <c r="J6" s="3189"/>
      <c r="K6" s="2602" t="s">
        <v>2546</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2547</v>
      </c>
      <c r="B7" s="409"/>
      <c r="C7" s="410">
        <f>'数据-取费表'!B2</f>
        <v>43343</v>
      </c>
      <c r="D7" s="411">
        <v>100</v>
      </c>
      <c r="E7" s="412">
        <v>43217</v>
      </c>
      <c r="F7" s="413">
        <f>SUMIF(58:58,YEAR(E7)&amp;"-"&amp;MONTH(E7),59:59)</f>
        <v>0</v>
      </c>
      <c r="G7" s="412"/>
      <c r="H7" s="411">
        <f>SUMIF(58:58,YEAR(G7)&amp;"-"&amp;MONTH(G7),59:59)</f>
        <v>0</v>
      </c>
      <c r="I7" s="412"/>
      <c r="J7" s="411">
        <f>SUMIF(58:58,YEAR(I7)&amp;"-"&amp;MONTH(I7),59:59)</f>
        <v>0</v>
      </c>
      <c r="K7" s="2603"/>
      <c r="L7" s="1135"/>
      <c r="M7" s="1136"/>
      <c r="N7" s="1136"/>
      <c r="O7" s="1136"/>
      <c r="P7" s="3178" t="s">
        <v>2548</v>
      </c>
      <c r="Q7" s="3206"/>
      <c r="R7" s="770" t="s">
        <v>23</v>
      </c>
      <c r="S7" s="771">
        <f t="shared" ref="S7:S15" si="0">F7</f>
        <v>0</v>
      </c>
      <c r="T7" s="770" t="s">
        <v>23</v>
      </c>
      <c r="U7" s="771">
        <f t="shared" ref="U7:U15" si="1">H7</f>
        <v>0</v>
      </c>
      <c r="V7" s="770" t="s">
        <v>23</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78" t="s">
        <v>2551</v>
      </c>
      <c r="Q8" s="3179"/>
      <c r="R8" s="770" t="s">
        <v>23</v>
      </c>
      <c r="S8" s="771">
        <f t="shared" si="0"/>
        <v>0</v>
      </c>
      <c r="T8" s="770" t="s">
        <v>23</v>
      </c>
      <c r="U8" s="771">
        <f t="shared" si="1"/>
        <v>0</v>
      </c>
      <c r="V8" s="770" t="s">
        <v>23</v>
      </c>
      <c r="W8" s="771">
        <f t="shared" si="2"/>
        <v>0</v>
      </c>
      <c r="X8" s="772"/>
      <c r="Y8" s="3178" t="s">
        <v>2551</v>
      </c>
      <c r="Z8" s="3179"/>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92" t="s">
        <v>2554</v>
      </c>
      <c r="Q9" s="1798"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2"/>
      <c r="Q11" s="1798"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92"/>
      <c r="Q12" s="1798">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92"/>
      <c r="Q13" s="1798">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92"/>
      <c r="Q14" s="1798">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99.75">
      <c r="A15" s="440" t="s">
        <v>2558</v>
      </c>
      <c r="B15" s="69" t="s">
        <v>2083</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9" t="s">
        <v>2559</v>
      </c>
      <c r="Q15" s="1813" t="str">
        <f t="shared" si="6"/>
        <v>居住社区成熟度</v>
      </c>
      <c r="R15" s="774" t="s">
        <v>21</v>
      </c>
      <c r="S15" s="775">
        <f t="shared" si="0"/>
        <v>100</v>
      </c>
      <c r="T15" s="774" t="s">
        <v>21</v>
      </c>
      <c r="U15" s="775">
        <f t="shared" si="1"/>
        <v>100</v>
      </c>
      <c r="V15" s="774" t="s">
        <v>21</v>
      </c>
      <c r="W15" s="775">
        <f t="shared" si="2"/>
        <v>100</v>
      </c>
      <c r="X15" s="1816"/>
      <c r="Y15" s="3212"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20"/>
      <c r="Q16" s="1813"/>
      <c r="R16" s="774"/>
      <c r="S16" s="775"/>
      <c r="T16" s="774"/>
      <c r="U16" s="775"/>
      <c r="V16" s="774"/>
      <c r="W16" s="775"/>
      <c r="X16" s="1816"/>
      <c r="Y16" s="3213"/>
      <c r="Z16" s="1817"/>
      <c r="AA16" s="1814">
        <v>1</v>
      </c>
      <c r="AB16" s="1814">
        <v>1</v>
      </c>
      <c r="AC16" s="1814">
        <v>1</v>
      </c>
    </row>
    <row r="17" spans="1:29" ht="85.5">
      <c r="A17" s="428"/>
      <c r="B17" s="451" t="s">
        <v>2095</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0"/>
      <c r="Q17" s="1813" t="str">
        <f>B17</f>
        <v>交通便捷度</v>
      </c>
      <c r="R17" s="774" t="s">
        <v>21</v>
      </c>
      <c r="S17" s="775">
        <f>F17</f>
        <v>100</v>
      </c>
      <c r="T17" s="774" t="s">
        <v>21</v>
      </c>
      <c r="U17" s="775">
        <f>H17</f>
        <v>100</v>
      </c>
      <c r="V17" s="774" t="s">
        <v>21</v>
      </c>
      <c r="W17" s="775">
        <f>J17</f>
        <v>100</v>
      </c>
      <c r="X17" s="1816"/>
      <c r="Y17" s="3213"/>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20"/>
      <c r="Q18" s="1813"/>
      <c r="R18" s="774"/>
      <c r="S18" s="775"/>
      <c r="T18" s="774"/>
      <c r="U18" s="775"/>
      <c r="V18" s="774"/>
      <c r="W18" s="775"/>
      <c r="X18" s="1816"/>
      <c r="Y18" s="3213"/>
      <c r="Z18" s="1817"/>
      <c r="AA18" s="1814">
        <v>1</v>
      </c>
      <c r="AB18" s="1814">
        <v>1</v>
      </c>
      <c r="AC18" s="1814">
        <v>1</v>
      </c>
    </row>
    <row r="19" spans="1:29" ht="42.75">
      <c r="A19" s="428"/>
      <c r="B19" s="451" t="s">
        <v>2093</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0"/>
      <c r="Q19" s="1813" t="str">
        <f>B19</f>
        <v>公共配套设施</v>
      </c>
      <c r="R19" s="774" t="s">
        <v>21</v>
      </c>
      <c r="S19" s="775">
        <f>F19</f>
        <v>100</v>
      </c>
      <c r="T19" s="774" t="s">
        <v>21</v>
      </c>
      <c r="U19" s="775">
        <f>H19</f>
        <v>100</v>
      </c>
      <c r="V19" s="774" t="s">
        <v>21</v>
      </c>
      <c r="W19" s="775">
        <f>J19</f>
        <v>100</v>
      </c>
      <c r="X19" s="1816"/>
      <c r="Y19" s="3213"/>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20"/>
      <c r="Q20" s="1813"/>
      <c r="R20" s="774"/>
      <c r="S20" s="775"/>
      <c r="T20" s="774"/>
      <c r="U20" s="775"/>
      <c r="V20" s="774"/>
      <c r="W20" s="775"/>
      <c r="X20" s="1816"/>
      <c r="Y20" s="3213"/>
      <c r="Z20" s="1817"/>
      <c r="AA20" s="1814">
        <v>1</v>
      </c>
      <c r="AB20" s="1814">
        <v>1</v>
      </c>
      <c r="AC20" s="1814">
        <v>1</v>
      </c>
    </row>
    <row r="21" spans="1:29" ht="28.5">
      <c r="A21" s="428"/>
      <c r="B21" s="1387" t="s">
        <v>2096</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0"/>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20"/>
      <c r="Q22" s="1813"/>
      <c r="R22" s="774"/>
      <c r="S22" s="775"/>
      <c r="T22" s="774"/>
      <c r="U22" s="775"/>
      <c r="V22" s="774"/>
      <c r="W22" s="775"/>
      <c r="X22" s="1816"/>
      <c r="Y22" s="3213"/>
      <c r="Z22" s="1817"/>
      <c r="AA22" s="1814">
        <v>1</v>
      </c>
      <c r="AB22" s="1814">
        <v>1</v>
      </c>
      <c r="AC22" s="1814">
        <v>1</v>
      </c>
    </row>
    <row r="23" spans="1:29" ht="57">
      <c r="A23" s="428"/>
      <c r="B23" s="451" t="s">
        <v>2100</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0"/>
      <c r="Q23" s="1813" t="str">
        <f>B23</f>
        <v>自然及人文环境</v>
      </c>
      <c r="R23" s="774" t="s">
        <v>21</v>
      </c>
      <c r="S23" s="775">
        <f>F23</f>
        <v>100</v>
      </c>
      <c r="T23" s="774" t="s">
        <v>21</v>
      </c>
      <c r="U23" s="775">
        <f>H23</f>
        <v>100</v>
      </c>
      <c r="V23" s="774" t="s">
        <v>21</v>
      </c>
      <c r="W23" s="775">
        <f>J23</f>
        <v>100</v>
      </c>
      <c r="X23" s="1816"/>
      <c r="Y23" s="3213"/>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20"/>
      <c r="Q24" s="1813"/>
      <c r="R24" s="774"/>
      <c r="S24" s="775"/>
      <c r="T24" s="774"/>
      <c r="U24" s="775"/>
      <c r="V24" s="774"/>
      <c r="W24" s="775"/>
      <c r="X24" s="1816"/>
      <c r="Y24" s="3213"/>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2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3"/>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20"/>
      <c r="Q26" s="1813" t="str">
        <f t="shared" si="11"/>
        <v>朝向</v>
      </c>
      <c r="R26" s="774" t="s">
        <v>21</v>
      </c>
      <c r="S26" s="775">
        <f t="shared" si="12"/>
        <v>100</v>
      </c>
      <c r="T26" s="774" t="s">
        <v>21</v>
      </c>
      <c r="U26" s="775">
        <f t="shared" si="13"/>
        <v>100</v>
      </c>
      <c r="V26" s="774" t="s">
        <v>21</v>
      </c>
      <c r="W26" s="775">
        <f t="shared" si="14"/>
        <v>100</v>
      </c>
      <c r="X26" s="1816"/>
      <c r="Y26" s="321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20"/>
      <c r="Q27" s="1798">
        <f t="shared" si="11"/>
        <v>111</v>
      </c>
      <c r="R27" s="770" t="s">
        <v>21</v>
      </c>
      <c r="S27" s="771">
        <f t="shared" si="12"/>
        <v>100</v>
      </c>
      <c r="T27" s="770" t="s">
        <v>21</v>
      </c>
      <c r="U27" s="771">
        <f t="shared" si="13"/>
        <v>100</v>
      </c>
      <c r="V27" s="770" t="s">
        <v>21</v>
      </c>
      <c r="W27" s="771">
        <f t="shared" si="14"/>
        <v>100</v>
      </c>
      <c r="X27" s="772"/>
      <c r="Y27" s="321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20"/>
      <c r="Q28" s="1813">
        <f t="shared" si="11"/>
        <v>111</v>
      </c>
      <c r="R28" s="774" t="s">
        <v>21</v>
      </c>
      <c r="S28" s="775">
        <f t="shared" si="12"/>
        <v>100</v>
      </c>
      <c r="T28" s="774" t="s">
        <v>21</v>
      </c>
      <c r="U28" s="775">
        <f t="shared" si="13"/>
        <v>100</v>
      </c>
      <c r="V28" s="774" t="s">
        <v>21</v>
      </c>
      <c r="W28" s="775">
        <f t="shared" si="14"/>
        <v>100</v>
      </c>
      <c r="X28" s="1816"/>
      <c r="Y28" s="321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20"/>
      <c r="Q29" s="1813">
        <f t="shared" si="11"/>
        <v>111</v>
      </c>
      <c r="R29" s="774" t="s">
        <v>21</v>
      </c>
      <c r="S29" s="775">
        <f t="shared" si="12"/>
        <v>100</v>
      </c>
      <c r="T29" s="774" t="s">
        <v>21</v>
      </c>
      <c r="U29" s="775">
        <f t="shared" si="13"/>
        <v>100</v>
      </c>
      <c r="V29" s="774" t="s">
        <v>21</v>
      </c>
      <c r="W29" s="775">
        <f t="shared" si="14"/>
        <v>100</v>
      </c>
      <c r="X29" s="1816"/>
      <c r="Y29" s="321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20"/>
      <c r="Q30" s="1813">
        <f t="shared" si="11"/>
        <v>111</v>
      </c>
      <c r="R30" s="774" t="s">
        <v>21</v>
      </c>
      <c r="S30" s="775">
        <f t="shared" si="12"/>
        <v>100</v>
      </c>
      <c r="T30" s="774" t="s">
        <v>21</v>
      </c>
      <c r="U30" s="775">
        <f t="shared" si="13"/>
        <v>100</v>
      </c>
      <c r="V30" s="774" t="s">
        <v>21</v>
      </c>
      <c r="W30" s="775">
        <f t="shared" si="14"/>
        <v>100</v>
      </c>
      <c r="X30" s="1816"/>
      <c r="Y30" s="321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20"/>
      <c r="Q31" s="1813">
        <f t="shared" si="11"/>
        <v>111</v>
      </c>
      <c r="R31" s="774" t="s">
        <v>21</v>
      </c>
      <c r="S31" s="775">
        <f t="shared" si="12"/>
        <v>100</v>
      </c>
      <c r="T31" s="774" t="s">
        <v>21</v>
      </c>
      <c r="U31" s="775">
        <f t="shared" si="13"/>
        <v>100</v>
      </c>
      <c r="V31" s="774" t="s">
        <v>21</v>
      </c>
      <c r="W31" s="775">
        <f t="shared" si="14"/>
        <v>100</v>
      </c>
      <c r="X31" s="1816"/>
      <c r="Y31" s="3213"/>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14" t="s">
        <v>2564</v>
      </c>
      <c r="Q32" s="1813" t="str">
        <f t="shared" si="11"/>
        <v>建筑类型</v>
      </c>
      <c r="R32" s="774" t="s">
        <v>21</v>
      </c>
      <c r="S32" s="775">
        <f t="shared" si="12"/>
        <v>100</v>
      </c>
      <c r="T32" s="774" t="s">
        <v>21</v>
      </c>
      <c r="U32" s="775">
        <f t="shared" si="13"/>
        <v>100</v>
      </c>
      <c r="V32" s="774" t="s">
        <v>21</v>
      </c>
      <c r="W32" s="775">
        <f t="shared" si="14"/>
        <v>100</v>
      </c>
      <c r="X32" s="1816"/>
      <c r="Y32" s="3217"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15"/>
      <c r="Q33" s="776" t="str">
        <f t="shared" si="11"/>
        <v>项目建筑规模</v>
      </c>
      <c r="R33" s="777" t="s">
        <v>21</v>
      </c>
      <c r="S33" s="778" t="e">
        <f t="shared" si="12"/>
        <v>#N/A</v>
      </c>
      <c r="T33" s="777" t="s">
        <v>21</v>
      </c>
      <c r="U33" s="778" t="e">
        <f t="shared" si="13"/>
        <v>#N/A</v>
      </c>
      <c r="V33" s="777" t="s">
        <v>21</v>
      </c>
      <c r="W33" s="778" t="e">
        <f t="shared" si="14"/>
        <v>#N/A</v>
      </c>
      <c r="X33" s="779"/>
      <c r="Y33" s="3217"/>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15"/>
      <c r="Q34" s="1813" t="str">
        <f t="shared" si="11"/>
        <v>建筑结构</v>
      </c>
      <c r="R34" s="774" t="s">
        <v>21</v>
      </c>
      <c r="S34" s="775">
        <f t="shared" si="12"/>
        <v>100</v>
      </c>
      <c r="T34" s="774" t="s">
        <v>21</v>
      </c>
      <c r="U34" s="775">
        <f t="shared" si="13"/>
        <v>100</v>
      </c>
      <c r="V34" s="774" t="s">
        <v>21</v>
      </c>
      <c r="W34" s="775">
        <f t="shared" si="14"/>
        <v>100</v>
      </c>
      <c r="X34" s="1816"/>
      <c r="Y34" s="3217"/>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15"/>
      <c r="Q35" s="1813" t="str">
        <f t="shared" si="11"/>
        <v>建筑品质</v>
      </c>
      <c r="R35" s="774" t="s">
        <v>21</v>
      </c>
      <c r="S35" s="775">
        <f t="shared" si="12"/>
        <v>100</v>
      </c>
      <c r="T35" s="774" t="s">
        <v>21</v>
      </c>
      <c r="U35" s="775">
        <f t="shared" si="13"/>
        <v>100</v>
      </c>
      <c r="V35" s="774" t="s">
        <v>21</v>
      </c>
      <c r="W35" s="775">
        <f t="shared" si="14"/>
        <v>100</v>
      </c>
      <c r="X35" s="1816"/>
      <c r="Y35" s="3217"/>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15"/>
      <c r="Q36" s="1813" t="str">
        <f t="shared" si="11"/>
        <v>公共部分装修</v>
      </c>
      <c r="R36" s="774" t="s">
        <v>21</v>
      </c>
      <c r="S36" s="775">
        <f t="shared" si="12"/>
        <v>100</v>
      </c>
      <c r="T36" s="774" t="s">
        <v>21</v>
      </c>
      <c r="U36" s="775">
        <f t="shared" si="13"/>
        <v>100</v>
      </c>
      <c r="V36" s="774" t="s">
        <v>21</v>
      </c>
      <c r="W36" s="775">
        <f t="shared" si="14"/>
        <v>100</v>
      </c>
      <c r="X36" s="1816"/>
      <c r="Y36" s="3217"/>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5"/>
      <c r="Q37" s="1798" t="str">
        <f t="shared" si="11"/>
        <v>成新度</v>
      </c>
      <c r="R37" s="770" t="s">
        <v>21</v>
      </c>
      <c r="S37" s="771" t="e">
        <f t="shared" si="12"/>
        <v>#N/A</v>
      </c>
      <c r="T37" s="770" t="s">
        <v>21</v>
      </c>
      <c r="U37" s="771" t="e">
        <f t="shared" si="13"/>
        <v>#N/A</v>
      </c>
      <c r="V37" s="770" t="s">
        <v>21</v>
      </c>
      <c r="W37" s="771" t="e">
        <f t="shared" si="14"/>
        <v>#N/A</v>
      </c>
      <c r="X37" s="772"/>
      <c r="Y37" s="3217"/>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15" t="s">
        <v>2564</v>
      </c>
      <c r="Q38" s="1813" t="str">
        <f t="shared" si="11"/>
        <v>物业管理</v>
      </c>
      <c r="R38" s="774" t="s">
        <v>21</v>
      </c>
      <c r="S38" s="775">
        <f t="shared" si="12"/>
        <v>100</v>
      </c>
      <c r="T38" s="774" t="s">
        <v>21</v>
      </c>
      <c r="U38" s="775">
        <f t="shared" si="13"/>
        <v>100</v>
      </c>
      <c r="V38" s="774" t="s">
        <v>21</v>
      </c>
      <c r="W38" s="775">
        <f t="shared" si="14"/>
        <v>100</v>
      </c>
      <c r="X38" s="1816"/>
      <c r="Y38" s="3217"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15"/>
      <c r="Q39" s="1813" t="str">
        <f t="shared" si="11"/>
        <v>市政基础设施</v>
      </c>
      <c r="R39" s="774" t="s">
        <v>21</v>
      </c>
      <c r="S39" s="775">
        <f t="shared" si="12"/>
        <v>100</v>
      </c>
      <c r="T39" s="774" t="s">
        <v>21</v>
      </c>
      <c r="U39" s="775">
        <f t="shared" si="13"/>
        <v>100</v>
      </c>
      <c r="V39" s="774" t="s">
        <v>21</v>
      </c>
      <c r="W39" s="775">
        <f t="shared" si="14"/>
        <v>100</v>
      </c>
      <c r="X39" s="1816"/>
      <c r="Y39" s="3217"/>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15"/>
      <c r="Q40" s="1813" t="str">
        <f t="shared" si="11"/>
        <v>房型</v>
      </c>
      <c r="R40" s="774" t="s">
        <v>21</v>
      </c>
      <c r="S40" s="775">
        <f t="shared" si="12"/>
        <v>100</v>
      </c>
      <c r="T40" s="774" t="s">
        <v>21</v>
      </c>
      <c r="U40" s="775">
        <f t="shared" si="13"/>
        <v>100</v>
      </c>
      <c r="V40" s="774" t="s">
        <v>21</v>
      </c>
      <c r="W40" s="775">
        <f t="shared" si="14"/>
        <v>100</v>
      </c>
      <c r="X40" s="1816"/>
      <c r="Y40" s="3217"/>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1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15"/>
      <c r="Q42" s="1813" t="str">
        <f t="shared" si="11"/>
        <v>内部装修</v>
      </c>
      <c r="R42" s="774" t="s">
        <v>21</v>
      </c>
      <c r="S42" s="775">
        <f t="shared" si="12"/>
        <v>100</v>
      </c>
      <c r="T42" s="774" t="s">
        <v>21</v>
      </c>
      <c r="U42" s="775">
        <f t="shared" si="13"/>
        <v>100</v>
      </c>
      <c r="V42" s="774" t="s">
        <v>21</v>
      </c>
      <c r="W42" s="775">
        <f t="shared" si="14"/>
        <v>100</v>
      </c>
      <c r="X42" s="1816"/>
      <c r="Y42" s="3217"/>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15"/>
      <c r="Q43" s="1813" t="str">
        <f t="shared" si="11"/>
        <v>内部装修维护情况</v>
      </c>
      <c r="R43" s="774" t="s">
        <v>21</v>
      </c>
      <c r="S43" s="775">
        <f t="shared" si="12"/>
        <v>100</v>
      </c>
      <c r="T43" s="774" t="s">
        <v>21</v>
      </c>
      <c r="U43" s="775">
        <f t="shared" si="13"/>
        <v>100</v>
      </c>
      <c r="V43" s="774" t="s">
        <v>21</v>
      </c>
      <c r="W43" s="775">
        <f t="shared" si="14"/>
        <v>100</v>
      </c>
      <c r="X43" s="1816"/>
      <c r="Y43" s="321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15"/>
      <c r="Q44" s="1798">
        <f t="shared" si="11"/>
        <v>111</v>
      </c>
      <c r="R44" s="770" t="s">
        <v>21</v>
      </c>
      <c r="S44" s="771">
        <f t="shared" si="12"/>
        <v>100</v>
      </c>
      <c r="T44" s="770" t="s">
        <v>21</v>
      </c>
      <c r="U44" s="771">
        <f t="shared" si="13"/>
        <v>100</v>
      </c>
      <c r="V44" s="770" t="s">
        <v>21</v>
      </c>
      <c r="W44" s="771">
        <f t="shared" si="14"/>
        <v>100</v>
      </c>
      <c r="X44" s="772"/>
      <c r="Y44" s="321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15"/>
      <c r="Q45" s="1813">
        <f t="shared" si="11"/>
        <v>111</v>
      </c>
      <c r="R45" s="774" t="s">
        <v>21</v>
      </c>
      <c r="S45" s="775">
        <f t="shared" si="12"/>
        <v>100</v>
      </c>
      <c r="T45" s="774" t="s">
        <v>21</v>
      </c>
      <c r="U45" s="775">
        <f t="shared" si="13"/>
        <v>100</v>
      </c>
      <c r="V45" s="774" t="s">
        <v>21</v>
      </c>
      <c r="W45" s="775">
        <f t="shared" si="14"/>
        <v>100</v>
      </c>
      <c r="X45" s="1816"/>
      <c r="Y45" s="3217"/>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16"/>
      <c r="Q46" s="1813">
        <f t="shared" si="11"/>
        <v>111</v>
      </c>
      <c r="R46" s="774" t="s">
        <v>20</v>
      </c>
      <c r="S46" s="775">
        <f t="shared" si="12"/>
        <v>100</v>
      </c>
      <c r="T46" s="774" t="s">
        <v>20</v>
      </c>
      <c r="U46" s="775">
        <f t="shared" si="13"/>
        <v>100</v>
      </c>
      <c r="V46" s="774" t="s">
        <v>20</v>
      </c>
      <c r="W46" s="775">
        <f t="shared" si="14"/>
        <v>100</v>
      </c>
      <c r="X46" s="1816"/>
      <c r="Y46" s="3218"/>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10" t="str">
        <f>A47</f>
        <v>成交单价（元/平方米）</v>
      </c>
      <c r="Q47" s="3210"/>
      <c r="R47" s="3211">
        <f>E47</f>
        <v>0</v>
      </c>
      <c r="S47" s="3211"/>
      <c r="T47" s="3211">
        <f>G47</f>
        <v>0</v>
      </c>
      <c r="U47" s="3211"/>
      <c r="V47" s="3211">
        <f>I47</f>
        <v>0</v>
      </c>
      <c r="W47" s="3211"/>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2096</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48" sqref="M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2327</v>
      </c>
      <c r="B2" s="1421" t="e">
        <f ca="1">IF(C2="——",ROUND(C49*D3/10000,0),ROUND(C49*D3/10000,0)-D2)</f>
        <v>#DIV/0!</v>
      </c>
      <c r="C2" s="2591"/>
      <c r="D2" s="1368" t="e">
        <f ca="1">SUMIF(INDIRECT("'"&amp;F2&amp;"'"&amp;"!A:A"),"承租人权益价值",INDIRECT("'"&amp;F2&amp;"'"&amp;"!c:c"))</f>
        <v>#REF!</v>
      </c>
      <c r="E2" s="2592" t="s">
        <v>2328</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2329</v>
      </c>
      <c r="B3" s="609" t="e">
        <f ca="1">IF(C2="——",C49,ROUND(B2*10000/D3,0))</f>
        <v>#DIV/0!</v>
      </c>
      <c r="C3" s="400" t="s">
        <v>2643</v>
      </c>
      <c r="D3" s="399">
        <f>IF(D1="",'数据-汇总表'!E3,SUMIF('数据-汇总表'!$C19:$C33,D1,'数据-汇总表'!$E19:$E33))</f>
        <v>47804</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193" t="s">
        <v>2645</v>
      </c>
      <c r="D4" s="3194"/>
      <c r="E4" s="3195" t="s">
        <v>2646</v>
      </c>
      <c r="F4" s="3196"/>
      <c r="G4" s="3193" t="s">
        <v>2647</v>
      </c>
      <c r="H4" s="3194"/>
      <c r="I4" s="3193" t="s">
        <v>2648</v>
      </c>
      <c r="J4" s="3194"/>
      <c r="K4" s="610" t="s">
        <v>2649</v>
      </c>
      <c r="L4" s="1133"/>
      <c r="M4" s="1134"/>
      <c r="N4" s="1134"/>
      <c r="O4" s="1134"/>
      <c r="P4" s="3197" t="s">
        <v>2650</v>
      </c>
      <c r="Q4" s="3198"/>
      <c r="R4" s="3180" t="s">
        <v>2646</v>
      </c>
      <c r="S4" s="3181"/>
      <c r="T4" s="3180" t="s">
        <v>2647</v>
      </c>
      <c r="U4" s="3181"/>
      <c r="V4" s="3205" t="s">
        <v>2648</v>
      </c>
      <c r="W4" s="3205"/>
      <c r="X4" s="1816"/>
      <c r="Y4" s="3180" t="s">
        <v>2650</v>
      </c>
      <c r="Z4" s="3181"/>
      <c r="AA4" s="3175" t="s">
        <v>2646</v>
      </c>
      <c r="AB4" s="3205" t="s">
        <v>2647</v>
      </c>
      <c r="AC4" s="3175" t="s">
        <v>2648</v>
      </c>
    </row>
    <row r="5" spans="1:29" ht="15">
      <c r="A5" s="404"/>
      <c r="B5" s="405"/>
      <c r="C5" s="3186" t="s">
        <v>2541</v>
      </c>
      <c r="D5" s="3187"/>
      <c r="E5" s="3221" t="s">
        <v>2542</v>
      </c>
      <c r="F5" s="3185"/>
      <c r="G5" s="3186" t="s">
        <v>2543</v>
      </c>
      <c r="H5" s="3187"/>
      <c r="I5" s="3186" t="s">
        <v>2544</v>
      </c>
      <c r="J5" s="3187"/>
      <c r="K5" s="610"/>
      <c r="L5" s="1133"/>
      <c r="M5" s="1134"/>
      <c r="N5" s="1134"/>
      <c r="O5" s="1134"/>
      <c r="P5" s="3199"/>
      <c r="Q5" s="3200"/>
      <c r="R5" s="3182"/>
      <c r="S5" s="3183"/>
      <c r="T5" s="3182"/>
      <c r="U5" s="3183"/>
      <c r="V5" s="3205"/>
      <c r="W5" s="3205"/>
      <c r="X5" s="1816"/>
      <c r="Y5" s="3182"/>
      <c r="Z5" s="3183"/>
      <c r="AA5" s="3176"/>
      <c r="AB5" s="3205"/>
      <c r="AC5" s="3176"/>
    </row>
    <row r="6" spans="1:29" ht="15.75" thickBot="1">
      <c r="A6" s="406"/>
      <c r="B6" s="407"/>
      <c r="C6" s="3188" t="s">
        <v>2545</v>
      </c>
      <c r="D6" s="3189"/>
      <c r="E6" s="3190" t="s">
        <v>2545</v>
      </c>
      <c r="F6" s="3191"/>
      <c r="G6" s="3188" t="s">
        <v>2545</v>
      </c>
      <c r="H6" s="3189"/>
      <c r="I6" s="3188" t="s">
        <v>2545</v>
      </c>
      <c r="J6" s="3189"/>
      <c r="K6" s="610" t="s">
        <v>2546</v>
      </c>
      <c r="L6" s="1133"/>
      <c r="M6" s="1134"/>
      <c r="N6" s="1134"/>
      <c r="O6" s="1134"/>
      <c r="P6" s="3201"/>
      <c r="Q6" s="3202"/>
      <c r="R6" s="3182"/>
      <c r="S6" s="3183"/>
      <c r="T6" s="3203"/>
      <c r="U6" s="3204"/>
      <c r="V6" s="3205"/>
      <c r="W6" s="3205"/>
      <c r="X6" s="1816"/>
      <c r="Y6" s="3203"/>
      <c r="Z6" s="3204"/>
      <c r="AA6" s="3177"/>
      <c r="AB6" s="3205"/>
      <c r="AC6" s="3177"/>
    </row>
    <row r="7" spans="1:29" s="117" customFormat="1" ht="15.75" thickBot="1">
      <c r="A7" s="408" t="s">
        <v>2547</v>
      </c>
      <c r="B7" s="409"/>
      <c r="C7" s="410">
        <f>'数据-取费表'!B2</f>
        <v>43343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8"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8" t="s">
        <v>2551</v>
      </c>
      <c r="Q8" s="3179"/>
      <c r="R8" s="770" t="s">
        <v>17</v>
      </c>
      <c r="S8" s="771">
        <f t="shared" si="0"/>
        <v>0</v>
      </c>
      <c r="T8" s="770" t="s">
        <v>17</v>
      </c>
      <c r="U8" s="771">
        <f t="shared" si="1"/>
        <v>0</v>
      </c>
      <c r="V8" s="770" t="s">
        <v>17</v>
      </c>
      <c r="W8" s="771">
        <f t="shared" si="2"/>
        <v>0</v>
      </c>
      <c r="X8" s="772"/>
      <c r="Y8" s="3178" t="s">
        <v>2551</v>
      </c>
      <c r="Z8" s="3179"/>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2" t="s">
        <v>2554</v>
      </c>
      <c r="Q9" s="1798"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9" t="s">
        <v>2559</v>
      </c>
      <c r="Q15" s="1813" t="str">
        <f t="shared" si="6"/>
        <v>商业繁华度</v>
      </c>
      <c r="R15" s="774" t="s">
        <v>17</v>
      </c>
      <c r="S15" s="775">
        <f t="shared" si="0"/>
        <v>100</v>
      </c>
      <c r="T15" s="774" t="s">
        <v>17</v>
      </c>
      <c r="U15" s="775">
        <f t="shared" si="1"/>
        <v>100</v>
      </c>
      <c r="V15" s="774" t="s">
        <v>17</v>
      </c>
      <c r="W15" s="775">
        <f t="shared" si="2"/>
        <v>100</v>
      </c>
      <c r="X15" s="1816"/>
      <c r="Y15" s="3212"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0"/>
      <c r="Q16" s="1813"/>
      <c r="R16" s="774"/>
      <c r="S16" s="775"/>
      <c r="T16" s="774"/>
      <c r="U16" s="775"/>
      <c r="V16" s="774"/>
      <c r="W16" s="775"/>
      <c r="X16" s="1816"/>
      <c r="Y16" s="3213"/>
      <c r="Z16" s="1817"/>
      <c r="AA16" s="1814">
        <v>1</v>
      </c>
      <c r="AB16" s="1814">
        <v>1</v>
      </c>
      <c r="AC16" s="1814">
        <v>1</v>
      </c>
    </row>
    <row r="17" spans="1:29" ht="85.5">
      <c r="A17" s="428"/>
      <c r="B17" s="451" t="s">
        <v>2095</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0"/>
      <c r="Q17" s="1813" t="str">
        <f>B17</f>
        <v>交通便捷度</v>
      </c>
      <c r="R17" s="774" t="s">
        <v>17</v>
      </c>
      <c r="S17" s="775">
        <f>F17</f>
        <v>100</v>
      </c>
      <c r="T17" s="774" t="s">
        <v>17</v>
      </c>
      <c r="U17" s="775">
        <f>H17</f>
        <v>100</v>
      </c>
      <c r="V17" s="774" t="s">
        <v>17</v>
      </c>
      <c r="W17" s="775">
        <f>J17</f>
        <v>100</v>
      </c>
      <c r="X17" s="1816"/>
      <c r="Y17" s="3213"/>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20"/>
      <c r="Q18" s="1813"/>
      <c r="R18" s="774"/>
      <c r="S18" s="775"/>
      <c r="T18" s="774"/>
      <c r="U18" s="775"/>
      <c r="V18" s="774"/>
      <c r="W18" s="775"/>
      <c r="X18" s="1816"/>
      <c r="Y18" s="3213"/>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0"/>
      <c r="Q19" s="1813" t="str">
        <f>B19</f>
        <v>公共配套设施</v>
      </c>
      <c r="R19" s="774" t="s">
        <v>17</v>
      </c>
      <c r="S19" s="775">
        <f>F19</f>
        <v>100</v>
      </c>
      <c r="T19" s="774" t="s">
        <v>17</v>
      </c>
      <c r="U19" s="775">
        <f>H19</f>
        <v>100</v>
      </c>
      <c r="V19" s="774" t="s">
        <v>17</v>
      </c>
      <c r="W19" s="775">
        <f>J19</f>
        <v>100</v>
      </c>
      <c r="X19" s="1816"/>
      <c r="Y19" s="3213"/>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20"/>
      <c r="Q20" s="1813"/>
      <c r="R20" s="774"/>
      <c r="S20" s="775"/>
      <c r="T20" s="774"/>
      <c r="U20" s="775"/>
      <c r="V20" s="774"/>
      <c r="W20" s="775"/>
      <c r="X20" s="1816"/>
      <c r="Y20" s="3213"/>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0"/>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20"/>
      <c r="Q22" s="1813"/>
      <c r="R22" s="774"/>
      <c r="S22" s="775"/>
      <c r="T22" s="774"/>
      <c r="U22" s="775"/>
      <c r="V22" s="774"/>
      <c r="W22" s="775"/>
      <c r="X22" s="1816"/>
      <c r="Y22" s="3213"/>
      <c r="Z22" s="1817"/>
      <c r="AA22" s="1814">
        <v>1</v>
      </c>
      <c r="AB22" s="1814">
        <v>1</v>
      </c>
      <c r="AC22" s="1814">
        <v>1</v>
      </c>
    </row>
    <row r="23" spans="1:29" ht="57">
      <c r="A23" s="428"/>
      <c r="B23" s="451" t="s">
        <v>2100</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0"/>
      <c r="Q23" s="1813" t="str">
        <f>B23</f>
        <v>自然及人文环境</v>
      </c>
      <c r="R23" s="774" t="s">
        <v>17</v>
      </c>
      <c r="S23" s="775">
        <f>F23</f>
        <v>100</v>
      </c>
      <c r="T23" s="774" t="s">
        <v>17</v>
      </c>
      <c r="U23" s="775">
        <f>H23</f>
        <v>100</v>
      </c>
      <c r="V23" s="774" t="s">
        <v>17</v>
      </c>
      <c r="W23" s="775">
        <f>J23</f>
        <v>100</v>
      </c>
      <c r="X23" s="1816"/>
      <c r="Y23" s="3213"/>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20"/>
      <c r="Q24" s="1813"/>
      <c r="R24" s="774"/>
      <c r="S24" s="775"/>
      <c r="T24" s="774"/>
      <c r="U24" s="775"/>
      <c r="V24" s="774"/>
      <c r="W24" s="775"/>
      <c r="X24" s="1816"/>
      <c r="Y24" s="3213"/>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0"/>
      <c r="Q25" s="1813" t="str">
        <f t="shared" ref="Q25:Q46" si="11">B25</f>
        <v>临街状况</v>
      </c>
      <c r="R25" s="774" t="s">
        <v>17</v>
      </c>
      <c r="S25" s="775">
        <f>F25</f>
        <v>100</v>
      </c>
      <c r="T25" s="774" t="s">
        <v>17</v>
      </c>
      <c r="U25" s="775">
        <f>H25</f>
        <v>100</v>
      </c>
      <c r="V25" s="774" t="s">
        <v>17</v>
      </c>
      <c r="W25" s="775">
        <f>J25</f>
        <v>100</v>
      </c>
      <c r="X25" s="1816"/>
      <c r="Y25" s="3213"/>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0"/>
      <c r="Q26" s="1813" t="str">
        <f t="shared" si="11"/>
        <v>平面位置/可视性</v>
      </c>
      <c r="R26" s="774" t="s">
        <v>17</v>
      </c>
      <c r="S26" s="775">
        <f>F26</f>
        <v>100</v>
      </c>
      <c r="T26" s="774" t="s">
        <v>17</v>
      </c>
      <c r="U26" s="775">
        <f>H26</f>
        <v>100</v>
      </c>
      <c r="V26" s="774" t="s">
        <v>17</v>
      </c>
      <c r="W26" s="775">
        <f>J26</f>
        <v>100</v>
      </c>
      <c r="X26" s="1816"/>
      <c r="Y26" s="3213"/>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20"/>
      <c r="Q27" s="1798" t="str">
        <f t="shared" si="11"/>
        <v>人流量</v>
      </c>
      <c r="R27" s="770" t="s">
        <v>17</v>
      </c>
      <c r="S27" s="771">
        <f>F27</f>
        <v>100</v>
      </c>
      <c r="T27" s="770" t="s">
        <v>17</v>
      </c>
      <c r="U27" s="771">
        <f>H27</f>
        <v>100</v>
      </c>
      <c r="V27" s="770" t="s">
        <v>17</v>
      </c>
      <c r="W27" s="771">
        <f>J27</f>
        <v>100</v>
      </c>
      <c r="X27" s="772"/>
      <c r="Y27" s="3213"/>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0"/>
      <c r="Q29" s="1813">
        <f t="shared" si="11"/>
        <v>111</v>
      </c>
      <c r="R29" s="774" t="s">
        <v>17</v>
      </c>
      <c r="S29" s="775">
        <f t="shared" si="12"/>
        <v>100</v>
      </c>
      <c r="T29" s="774" t="s">
        <v>17</v>
      </c>
      <c r="U29" s="775">
        <f t="shared" si="13"/>
        <v>100</v>
      </c>
      <c r="V29" s="774" t="s">
        <v>17</v>
      </c>
      <c r="W29" s="775">
        <f t="shared" si="14"/>
        <v>100</v>
      </c>
      <c r="X29" s="1816"/>
      <c r="Y29" s="321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0"/>
      <c r="Q30" s="1813">
        <f t="shared" si="11"/>
        <v>111</v>
      </c>
      <c r="R30" s="774" t="s">
        <v>17</v>
      </c>
      <c r="S30" s="775">
        <f t="shared" si="12"/>
        <v>100</v>
      </c>
      <c r="T30" s="774" t="s">
        <v>17</v>
      </c>
      <c r="U30" s="775">
        <f t="shared" si="13"/>
        <v>100</v>
      </c>
      <c r="V30" s="774" t="s">
        <v>17</v>
      </c>
      <c r="W30" s="775">
        <f t="shared" si="14"/>
        <v>100</v>
      </c>
      <c r="X30" s="1816"/>
      <c r="Y30" s="321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0"/>
      <c r="Q31" s="1813">
        <f t="shared" si="11"/>
        <v>111</v>
      </c>
      <c r="R31" s="774" t="s">
        <v>17</v>
      </c>
      <c r="S31" s="775">
        <f t="shared" si="12"/>
        <v>100</v>
      </c>
      <c r="T31" s="774" t="s">
        <v>17</v>
      </c>
      <c r="U31" s="775">
        <f t="shared" si="13"/>
        <v>100</v>
      </c>
      <c r="V31" s="774" t="s">
        <v>17</v>
      </c>
      <c r="W31" s="775">
        <f t="shared" si="14"/>
        <v>100</v>
      </c>
      <c r="X31" s="1816"/>
      <c r="Y31" s="3213"/>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14" t="s">
        <v>2564</v>
      </c>
      <c r="Q32" s="1813" t="str">
        <f t="shared" si="11"/>
        <v>商业类型</v>
      </c>
      <c r="R32" s="774" t="s">
        <v>17</v>
      </c>
      <c r="S32" s="775">
        <f t="shared" si="12"/>
        <v>100</v>
      </c>
      <c r="T32" s="774" t="s">
        <v>17</v>
      </c>
      <c r="U32" s="775">
        <f t="shared" si="13"/>
        <v>100</v>
      </c>
      <c r="V32" s="774" t="s">
        <v>17</v>
      </c>
      <c r="W32" s="775">
        <f t="shared" si="14"/>
        <v>100</v>
      </c>
      <c r="X32" s="1816"/>
      <c r="Y32" s="3217"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15"/>
      <c r="Q34" s="1813" t="str">
        <f t="shared" si="11"/>
        <v>建筑结构</v>
      </c>
      <c r="R34" s="774" t="s">
        <v>17</v>
      </c>
      <c r="S34" s="775">
        <f t="shared" si="12"/>
        <v>100</v>
      </c>
      <c r="T34" s="774" t="s">
        <v>17</v>
      </c>
      <c r="U34" s="775">
        <f t="shared" si="13"/>
        <v>100</v>
      </c>
      <c r="V34" s="774" t="s">
        <v>17</v>
      </c>
      <c r="W34" s="775">
        <f t="shared" si="14"/>
        <v>100</v>
      </c>
      <c r="X34" s="1816"/>
      <c r="Y34" s="3217"/>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15"/>
      <c r="Q35" s="1813" t="str">
        <f t="shared" si="11"/>
        <v>公共部分装修</v>
      </c>
      <c r="R35" s="774" t="s">
        <v>17</v>
      </c>
      <c r="S35" s="775">
        <f t="shared" si="12"/>
        <v>100</v>
      </c>
      <c r="T35" s="774" t="s">
        <v>17</v>
      </c>
      <c r="U35" s="775">
        <f t="shared" si="13"/>
        <v>100</v>
      </c>
      <c r="V35" s="774" t="s">
        <v>17</v>
      </c>
      <c r="W35" s="775">
        <f t="shared" si="14"/>
        <v>100</v>
      </c>
      <c r="X35" s="1816"/>
      <c r="Y35" s="3217"/>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5"/>
      <c r="Q36" s="1813" t="str">
        <f t="shared" si="11"/>
        <v>成新度</v>
      </c>
      <c r="R36" s="774" t="s">
        <v>17</v>
      </c>
      <c r="S36" s="775" t="e">
        <f t="shared" si="12"/>
        <v>#N/A</v>
      </c>
      <c r="T36" s="774" t="s">
        <v>17</v>
      </c>
      <c r="U36" s="775" t="e">
        <f t="shared" si="13"/>
        <v>#N/A</v>
      </c>
      <c r="V36" s="774" t="s">
        <v>17</v>
      </c>
      <c r="W36" s="775" t="e">
        <f t="shared" si="14"/>
        <v>#N/A</v>
      </c>
      <c r="X36" s="1816"/>
      <c r="Y36" s="3217"/>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15"/>
      <c r="Q37" s="1798"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15" t="s">
        <v>2564</v>
      </c>
      <c r="Q38" s="1813" t="str">
        <f t="shared" si="11"/>
        <v>业态</v>
      </c>
      <c r="R38" s="774" t="s">
        <v>17</v>
      </c>
      <c r="S38" s="775">
        <f t="shared" si="12"/>
        <v>100</v>
      </c>
      <c r="T38" s="774" t="s">
        <v>17</v>
      </c>
      <c r="U38" s="775">
        <f t="shared" si="13"/>
        <v>100</v>
      </c>
      <c r="V38" s="774" t="s">
        <v>17</v>
      </c>
      <c r="W38" s="775">
        <f t="shared" si="14"/>
        <v>100</v>
      </c>
      <c r="X38" s="1816"/>
      <c r="Y38" s="3217"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15"/>
      <c r="Q39" s="1813" t="str">
        <f t="shared" si="11"/>
        <v>层高</v>
      </c>
      <c r="R39" s="774" t="s">
        <v>17</v>
      </c>
      <c r="S39" s="775">
        <f t="shared" si="12"/>
        <v>100</v>
      </c>
      <c r="T39" s="774" t="s">
        <v>17</v>
      </c>
      <c r="U39" s="775">
        <f t="shared" si="13"/>
        <v>100</v>
      </c>
      <c r="V39" s="774" t="s">
        <v>17</v>
      </c>
      <c r="W39" s="775">
        <f t="shared" si="14"/>
        <v>100</v>
      </c>
      <c r="X39" s="1816"/>
      <c r="Y39" s="3217"/>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5"/>
      <c r="Q40" s="1813" t="str">
        <f t="shared" si="11"/>
        <v>单套建筑面积</v>
      </c>
      <c r="R40" s="774" t="s">
        <v>17</v>
      </c>
      <c r="S40" s="775">
        <f t="shared" si="12"/>
        <v>100</v>
      </c>
      <c r="T40" s="774" t="s">
        <v>17</v>
      </c>
      <c r="U40" s="775">
        <f t="shared" si="13"/>
        <v>100</v>
      </c>
      <c r="V40" s="774" t="s">
        <v>17</v>
      </c>
      <c r="W40" s="775">
        <f t="shared" si="14"/>
        <v>100</v>
      </c>
      <c r="X40" s="1816"/>
      <c r="Y40" s="3217"/>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15"/>
      <c r="Q42" s="1813" t="str">
        <f t="shared" si="11"/>
        <v>内部装修</v>
      </c>
      <c r="R42" s="774" t="s">
        <v>17</v>
      </c>
      <c r="S42" s="775">
        <f t="shared" si="12"/>
        <v>100</v>
      </c>
      <c r="T42" s="774" t="s">
        <v>17</v>
      </c>
      <c r="U42" s="775">
        <f t="shared" si="13"/>
        <v>100</v>
      </c>
      <c r="V42" s="774" t="s">
        <v>17</v>
      </c>
      <c r="W42" s="775">
        <f t="shared" si="14"/>
        <v>100</v>
      </c>
      <c r="X42" s="1816"/>
      <c r="Y42" s="3217"/>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15"/>
      <c r="Q43" s="1813" t="str">
        <f t="shared" si="11"/>
        <v>内部装修维护情况</v>
      </c>
      <c r="R43" s="774" t="s">
        <v>17</v>
      </c>
      <c r="S43" s="775">
        <f t="shared" si="12"/>
        <v>100</v>
      </c>
      <c r="T43" s="774" t="s">
        <v>17</v>
      </c>
      <c r="U43" s="775">
        <f t="shared" si="13"/>
        <v>100</v>
      </c>
      <c r="V43" s="774" t="s">
        <v>17</v>
      </c>
      <c r="W43" s="775">
        <f t="shared" si="14"/>
        <v>100</v>
      </c>
      <c r="X43" s="1816"/>
      <c r="Y43" s="321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5"/>
      <c r="Q44" s="1798">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5"/>
      <c r="Q45" s="1813">
        <f t="shared" si="11"/>
        <v>111</v>
      </c>
      <c r="R45" s="774" t="s">
        <v>17</v>
      </c>
      <c r="S45" s="775">
        <f t="shared" si="12"/>
        <v>100</v>
      </c>
      <c r="T45" s="774" t="s">
        <v>17</v>
      </c>
      <c r="U45" s="775">
        <f t="shared" si="13"/>
        <v>100</v>
      </c>
      <c r="V45" s="774" t="s">
        <v>17</v>
      </c>
      <c r="W45" s="775">
        <f t="shared" si="14"/>
        <v>100</v>
      </c>
      <c r="X45" s="1816"/>
      <c r="Y45" s="3217"/>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6"/>
      <c r="Q46" s="1813">
        <f t="shared" si="11"/>
        <v>111</v>
      </c>
      <c r="R46" s="774" t="s">
        <v>17</v>
      </c>
      <c r="S46" s="775">
        <f t="shared" si="12"/>
        <v>100</v>
      </c>
      <c r="T46" s="774" t="s">
        <v>17</v>
      </c>
      <c r="U46" s="775">
        <f t="shared" si="13"/>
        <v>100</v>
      </c>
      <c r="V46" s="774" t="s">
        <v>17</v>
      </c>
      <c r="W46" s="775">
        <f t="shared" si="14"/>
        <v>100</v>
      </c>
      <c r="X46" s="1816"/>
      <c r="Y46" s="3218"/>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10" t="str">
        <f>A47</f>
        <v>成交单价（元/平方米）</v>
      </c>
      <c r="Q47" s="3210"/>
      <c r="R47" s="3205">
        <f>E47</f>
        <v>0</v>
      </c>
      <c r="S47" s="3205"/>
      <c r="T47" s="3205">
        <f>G47</f>
        <v>0</v>
      </c>
      <c r="U47" s="3205"/>
      <c r="V47" s="3205">
        <f>I47</f>
        <v>0</v>
      </c>
      <c r="W47" s="3205"/>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48" sqref="M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1"/>
      <c r="D2" s="1368"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2643</v>
      </c>
      <c r="D3" s="399">
        <f>IF(D1="",'数据-汇总表'!E3,SUMIF('数据-汇总表'!$C19:$C33,D1,'数据-汇总表'!$E19:$E33))</f>
        <v>47804</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93" t="s">
        <v>2645</v>
      </c>
      <c r="D4" s="3194"/>
      <c r="E4" s="3195" t="s">
        <v>2646</v>
      </c>
      <c r="F4" s="3196"/>
      <c r="G4" s="3193" t="s">
        <v>2647</v>
      </c>
      <c r="H4" s="3194"/>
      <c r="I4" s="3193" t="s">
        <v>2648</v>
      </c>
      <c r="J4" s="3194"/>
      <c r="K4" s="610" t="s">
        <v>2649</v>
      </c>
      <c r="L4" s="1133"/>
      <c r="M4" s="1134"/>
      <c r="N4" s="1134"/>
      <c r="O4" s="1134"/>
      <c r="P4" s="3228" t="s">
        <v>2650</v>
      </c>
      <c r="Q4" s="3229"/>
      <c r="R4" s="3223" t="s">
        <v>2646</v>
      </c>
      <c r="S4" s="3224"/>
      <c r="T4" s="3223" t="s">
        <v>2647</v>
      </c>
      <c r="U4" s="3224"/>
      <c r="V4" s="3232" t="s">
        <v>2648</v>
      </c>
      <c r="W4" s="3232"/>
      <c r="X4" s="2675"/>
      <c r="Y4" s="3223" t="s">
        <v>2650</v>
      </c>
      <c r="Z4" s="3224"/>
      <c r="AA4" s="3222" t="s">
        <v>2646</v>
      </c>
      <c r="AB4" s="3222" t="s">
        <v>2647</v>
      </c>
      <c r="AC4" s="3225" t="s">
        <v>2648</v>
      </c>
    </row>
    <row r="5" spans="1:29" ht="15">
      <c r="A5" s="404"/>
      <c r="B5" s="405"/>
      <c r="C5" s="3186" t="s">
        <v>2541</v>
      </c>
      <c r="D5" s="3187"/>
      <c r="E5" s="3221" t="s">
        <v>2542</v>
      </c>
      <c r="F5" s="3185"/>
      <c r="G5" s="3186" t="s">
        <v>2543</v>
      </c>
      <c r="H5" s="3187"/>
      <c r="I5" s="3186" t="s">
        <v>2544</v>
      </c>
      <c r="J5" s="3187"/>
      <c r="K5" s="610"/>
      <c r="L5" s="1133"/>
      <c r="M5" s="1134"/>
      <c r="N5" s="1134"/>
      <c r="O5" s="1134"/>
      <c r="P5" s="3230"/>
      <c r="Q5" s="3200"/>
      <c r="R5" s="3182"/>
      <c r="S5" s="3183"/>
      <c r="T5" s="3182"/>
      <c r="U5" s="3183"/>
      <c r="V5" s="3205"/>
      <c r="W5" s="3205"/>
      <c r="X5" s="1816"/>
      <c r="Y5" s="3182"/>
      <c r="Z5" s="3183"/>
      <c r="AA5" s="3176"/>
      <c r="AB5" s="3176"/>
      <c r="AC5" s="3226"/>
    </row>
    <row r="6" spans="1:29" ht="15.75" thickBot="1">
      <c r="A6" s="406"/>
      <c r="B6" s="407"/>
      <c r="C6" s="3188" t="s">
        <v>2545</v>
      </c>
      <c r="D6" s="3189"/>
      <c r="E6" s="3190" t="s">
        <v>2545</v>
      </c>
      <c r="F6" s="3191"/>
      <c r="G6" s="3188" t="s">
        <v>2545</v>
      </c>
      <c r="H6" s="3189"/>
      <c r="I6" s="3188" t="s">
        <v>2545</v>
      </c>
      <c r="J6" s="3189"/>
      <c r="K6" s="610" t="s">
        <v>2546</v>
      </c>
      <c r="L6" s="1133"/>
      <c r="M6" s="1134"/>
      <c r="N6" s="1134"/>
      <c r="O6" s="1134"/>
      <c r="P6" s="3231"/>
      <c r="Q6" s="3202"/>
      <c r="R6" s="3182"/>
      <c r="S6" s="3183"/>
      <c r="T6" s="3203"/>
      <c r="U6" s="3204"/>
      <c r="V6" s="3205"/>
      <c r="W6" s="3205"/>
      <c r="X6" s="1816"/>
      <c r="Y6" s="3203"/>
      <c r="Z6" s="3204"/>
      <c r="AA6" s="3177"/>
      <c r="AB6" s="3177"/>
      <c r="AC6" s="3227"/>
    </row>
    <row r="7" spans="1:29" s="117" customFormat="1" ht="15.75" thickBot="1">
      <c r="A7" s="408" t="s">
        <v>2547</v>
      </c>
      <c r="B7" s="409"/>
      <c r="C7" s="410">
        <f>'数据-取费表'!B2</f>
        <v>43343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3"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3" t="s">
        <v>2551</v>
      </c>
      <c r="Q8" s="3179"/>
      <c r="R8" s="770" t="s">
        <v>17</v>
      </c>
      <c r="S8" s="771">
        <f t="shared" si="0"/>
        <v>0</v>
      </c>
      <c r="T8" s="770" t="s">
        <v>17</v>
      </c>
      <c r="U8" s="771">
        <f t="shared" si="1"/>
        <v>0</v>
      </c>
      <c r="V8" s="770" t="s">
        <v>17</v>
      </c>
      <c r="W8" s="771">
        <f t="shared" si="2"/>
        <v>0</v>
      </c>
      <c r="X8" s="772"/>
      <c r="Y8" s="3178" t="s">
        <v>2551</v>
      </c>
      <c r="Z8" s="3179"/>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2" t="s">
        <v>2554</v>
      </c>
      <c r="Q9" s="1798"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9" t="s">
        <v>2559</v>
      </c>
      <c r="Q15" s="1813" t="str">
        <f t="shared" si="6"/>
        <v>办公集聚程度</v>
      </c>
      <c r="R15" s="774" t="s">
        <v>17</v>
      </c>
      <c r="S15" s="775">
        <f t="shared" si="0"/>
        <v>100</v>
      </c>
      <c r="T15" s="774" t="s">
        <v>17</v>
      </c>
      <c r="U15" s="775">
        <f t="shared" si="1"/>
        <v>100</v>
      </c>
      <c r="V15" s="774" t="s">
        <v>17</v>
      </c>
      <c r="W15" s="775">
        <f t="shared" si="2"/>
        <v>100</v>
      </c>
      <c r="X15" s="1816"/>
      <c r="Y15" s="3212"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20"/>
      <c r="Q16" s="1813"/>
      <c r="R16" s="774"/>
      <c r="S16" s="775"/>
      <c r="T16" s="774"/>
      <c r="U16" s="775"/>
      <c r="V16" s="774"/>
      <c r="W16" s="775"/>
      <c r="X16" s="1816"/>
      <c r="Y16" s="3213"/>
      <c r="Z16" s="1817"/>
      <c r="AA16" s="1814">
        <v>1</v>
      </c>
      <c r="AB16" s="1814">
        <v>1</v>
      </c>
      <c r="AC16" s="2679">
        <v>1</v>
      </c>
    </row>
    <row r="17" spans="1:29" ht="71.25">
      <c r="A17" s="428"/>
      <c r="B17" s="631" t="s">
        <v>2095</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0"/>
      <c r="Q17" s="1813" t="str">
        <f>B17</f>
        <v>交通便捷度</v>
      </c>
      <c r="R17" s="774" t="s">
        <v>17</v>
      </c>
      <c r="S17" s="775">
        <f>F17</f>
        <v>100</v>
      </c>
      <c r="T17" s="774" t="s">
        <v>17</v>
      </c>
      <c r="U17" s="775">
        <f>H17</f>
        <v>100</v>
      </c>
      <c r="V17" s="774" t="s">
        <v>17</v>
      </c>
      <c r="W17" s="775">
        <f>J17</f>
        <v>100</v>
      </c>
      <c r="X17" s="1816"/>
      <c r="Y17" s="3213"/>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20"/>
      <c r="Q18" s="1813"/>
      <c r="R18" s="774"/>
      <c r="S18" s="775"/>
      <c r="T18" s="774"/>
      <c r="U18" s="775"/>
      <c r="V18" s="774"/>
      <c r="W18" s="775"/>
      <c r="X18" s="1816"/>
      <c r="Y18" s="3213"/>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0"/>
      <c r="Q19" s="1813" t="str">
        <f>B19</f>
        <v>公共配套设施</v>
      </c>
      <c r="R19" s="774" t="s">
        <v>17</v>
      </c>
      <c r="S19" s="775">
        <f>F19</f>
        <v>100</v>
      </c>
      <c r="T19" s="774" t="s">
        <v>17</v>
      </c>
      <c r="U19" s="775">
        <f>H19</f>
        <v>100</v>
      </c>
      <c r="V19" s="774" t="s">
        <v>17</v>
      </c>
      <c r="W19" s="775">
        <f>J19</f>
        <v>100</v>
      </c>
      <c r="X19" s="1816"/>
      <c r="Y19" s="3213"/>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20"/>
      <c r="Q20" s="1813"/>
      <c r="R20" s="774"/>
      <c r="S20" s="775"/>
      <c r="T20" s="774"/>
      <c r="U20" s="775"/>
      <c r="V20" s="774"/>
      <c r="W20" s="775"/>
      <c r="X20" s="1816"/>
      <c r="Y20" s="3213"/>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0"/>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20"/>
      <c r="Q22" s="1813"/>
      <c r="R22" s="774"/>
      <c r="S22" s="775"/>
      <c r="T22" s="774"/>
      <c r="U22" s="775"/>
      <c r="V22" s="774"/>
      <c r="W22" s="775"/>
      <c r="X22" s="1816"/>
      <c r="Y22" s="3213"/>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0"/>
      <c r="Q23" s="1813" t="str">
        <f>B23</f>
        <v>环境质量</v>
      </c>
      <c r="R23" s="774" t="s">
        <v>17</v>
      </c>
      <c r="S23" s="775">
        <f>F23</f>
        <v>100</v>
      </c>
      <c r="T23" s="774" t="s">
        <v>17</v>
      </c>
      <c r="U23" s="775">
        <f>H23</f>
        <v>100</v>
      </c>
      <c r="V23" s="774" t="s">
        <v>17</v>
      </c>
      <c r="W23" s="775">
        <f>J23</f>
        <v>100</v>
      </c>
      <c r="X23" s="1816"/>
      <c r="Y23" s="3213"/>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20"/>
      <c r="Q24" s="1813"/>
      <c r="R24" s="774"/>
      <c r="S24" s="775"/>
      <c r="T24" s="774"/>
      <c r="U24" s="775"/>
      <c r="V24" s="774"/>
      <c r="W24" s="775"/>
      <c r="X24" s="1816"/>
      <c r="Y24" s="3213"/>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20"/>
      <c r="Q25" s="1813" t="str">
        <f>B25</f>
        <v>毗邻道路的类型与等级</v>
      </c>
      <c r="R25" s="774" t="s">
        <v>17</v>
      </c>
      <c r="S25" s="775">
        <f>F25</f>
        <v>100</v>
      </c>
      <c r="T25" s="774" t="s">
        <v>17</v>
      </c>
      <c r="U25" s="775">
        <f>H25</f>
        <v>100</v>
      </c>
      <c r="V25" s="774" t="s">
        <v>17</v>
      </c>
      <c r="W25" s="775">
        <f>J25</f>
        <v>100</v>
      </c>
      <c r="X25" s="1816"/>
      <c r="Y25" s="3213"/>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20"/>
      <c r="Q26" s="1813"/>
      <c r="R26" s="774"/>
      <c r="S26" s="775"/>
      <c r="T26" s="774"/>
      <c r="U26" s="775"/>
      <c r="V26" s="774"/>
      <c r="W26" s="775"/>
      <c r="X26" s="1816"/>
      <c r="Y26" s="3213"/>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0"/>
      <c r="Q27" s="1813" t="str">
        <f t="shared" ref="Q27:Q47" si="11">B27</f>
        <v>楼层</v>
      </c>
      <c r="R27" s="774" t="s">
        <v>17</v>
      </c>
      <c r="S27" s="775">
        <f>F27</f>
        <v>100</v>
      </c>
      <c r="T27" s="774" t="s">
        <v>17</v>
      </c>
      <c r="U27" s="775">
        <f>H27</f>
        <v>100</v>
      </c>
      <c r="V27" s="774" t="s">
        <v>17</v>
      </c>
      <c r="W27" s="775">
        <f>J27</f>
        <v>100</v>
      </c>
      <c r="X27" s="1816"/>
      <c r="Y27" s="3213"/>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20"/>
      <c r="Q28" s="1798" t="str">
        <f t="shared" si="11"/>
        <v>朝向</v>
      </c>
      <c r="R28" s="770" t="s">
        <v>17</v>
      </c>
      <c r="S28" s="771">
        <f>F28</f>
        <v>100</v>
      </c>
      <c r="T28" s="770" t="s">
        <v>17</v>
      </c>
      <c r="U28" s="771">
        <f>H28</f>
        <v>100</v>
      </c>
      <c r="V28" s="770" t="s">
        <v>17</v>
      </c>
      <c r="W28" s="771">
        <f>J28</f>
        <v>100</v>
      </c>
      <c r="X28" s="772"/>
      <c r="Y28" s="3213"/>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20"/>
      <c r="Q29" s="1813">
        <f t="shared" si="11"/>
        <v>111</v>
      </c>
      <c r="R29" s="774" t="s">
        <v>17</v>
      </c>
      <c r="S29" s="775">
        <f t="shared" ref="S29:S47" si="12">F29</f>
        <v>100</v>
      </c>
      <c r="T29" s="774" t="s">
        <v>17</v>
      </c>
      <c r="U29" s="775">
        <f t="shared" ref="U29:U47" si="13">H29</f>
        <v>100</v>
      </c>
      <c r="V29" s="774" t="s">
        <v>17</v>
      </c>
      <c r="W29" s="775">
        <f t="shared" ref="W29:W47" si="14">J29</f>
        <v>100</v>
      </c>
      <c r="X29" s="1816"/>
      <c r="Y29" s="3213"/>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20"/>
      <c r="Q30" s="1813">
        <f t="shared" si="11"/>
        <v>111</v>
      </c>
      <c r="R30" s="774" t="s">
        <v>17</v>
      </c>
      <c r="S30" s="775">
        <f t="shared" si="12"/>
        <v>100</v>
      </c>
      <c r="T30" s="774" t="s">
        <v>17</v>
      </c>
      <c r="U30" s="775">
        <f t="shared" si="13"/>
        <v>100</v>
      </c>
      <c r="V30" s="774" t="s">
        <v>17</v>
      </c>
      <c r="W30" s="775">
        <f t="shared" si="14"/>
        <v>100</v>
      </c>
      <c r="X30" s="1816"/>
      <c r="Y30" s="3213"/>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20"/>
      <c r="Q31" s="1813">
        <f t="shared" si="11"/>
        <v>111</v>
      </c>
      <c r="R31" s="774" t="s">
        <v>17</v>
      </c>
      <c r="S31" s="775">
        <f t="shared" si="12"/>
        <v>100</v>
      </c>
      <c r="T31" s="774" t="s">
        <v>17</v>
      </c>
      <c r="U31" s="775">
        <f t="shared" si="13"/>
        <v>100</v>
      </c>
      <c r="V31" s="774" t="s">
        <v>17</v>
      </c>
      <c r="W31" s="775">
        <f t="shared" si="14"/>
        <v>100</v>
      </c>
      <c r="X31" s="1816"/>
      <c r="Y31" s="3213"/>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20"/>
      <c r="Q32" s="1813">
        <f t="shared" si="11"/>
        <v>111</v>
      </c>
      <c r="R32" s="774" t="s">
        <v>17</v>
      </c>
      <c r="S32" s="775">
        <f t="shared" si="12"/>
        <v>100</v>
      </c>
      <c r="T32" s="774" t="s">
        <v>17</v>
      </c>
      <c r="U32" s="775">
        <f t="shared" si="13"/>
        <v>100</v>
      </c>
      <c r="V32" s="774" t="s">
        <v>17</v>
      </c>
      <c r="W32" s="775">
        <f t="shared" si="14"/>
        <v>100</v>
      </c>
      <c r="X32" s="1816"/>
      <c r="Y32" s="3213"/>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14" t="s">
        <v>2564</v>
      </c>
      <c r="Q33" s="1813" t="str">
        <f t="shared" si="11"/>
        <v>建筑类型</v>
      </c>
      <c r="R33" s="774" t="s">
        <v>17</v>
      </c>
      <c r="S33" s="775">
        <f t="shared" si="12"/>
        <v>100</v>
      </c>
      <c r="T33" s="774" t="s">
        <v>17</v>
      </c>
      <c r="U33" s="775">
        <f t="shared" si="13"/>
        <v>100</v>
      </c>
      <c r="V33" s="774" t="s">
        <v>17</v>
      </c>
      <c r="W33" s="775">
        <f t="shared" si="14"/>
        <v>100</v>
      </c>
      <c r="X33" s="1816"/>
      <c r="Y33" s="3217"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5"/>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5"/>
      <c r="Q35" s="1813" t="str">
        <f t="shared" si="11"/>
        <v>建筑结构</v>
      </c>
      <c r="R35" s="774" t="s">
        <v>17</v>
      </c>
      <c r="S35" s="775">
        <f t="shared" si="12"/>
        <v>100</v>
      </c>
      <c r="T35" s="774" t="s">
        <v>17</v>
      </c>
      <c r="U35" s="775">
        <f t="shared" si="13"/>
        <v>100</v>
      </c>
      <c r="V35" s="774" t="s">
        <v>17</v>
      </c>
      <c r="W35" s="775">
        <f t="shared" si="14"/>
        <v>100</v>
      </c>
      <c r="X35" s="1816"/>
      <c r="Y35" s="3217"/>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5"/>
      <c r="Q36" s="1813" t="str">
        <f t="shared" si="11"/>
        <v>公共部分装修</v>
      </c>
      <c r="R36" s="774" t="s">
        <v>17</v>
      </c>
      <c r="S36" s="775">
        <f t="shared" si="12"/>
        <v>100</v>
      </c>
      <c r="T36" s="774" t="s">
        <v>17</v>
      </c>
      <c r="U36" s="775">
        <f t="shared" si="13"/>
        <v>100</v>
      </c>
      <c r="V36" s="774" t="s">
        <v>17</v>
      </c>
      <c r="W36" s="775">
        <f t="shared" si="14"/>
        <v>100</v>
      </c>
      <c r="X36" s="1816"/>
      <c r="Y36" s="3217"/>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5"/>
      <c r="Q37" s="1813" t="str">
        <f t="shared" si="11"/>
        <v>成新度</v>
      </c>
      <c r="R37" s="774" t="s">
        <v>17</v>
      </c>
      <c r="S37" s="775" t="e">
        <f t="shared" si="12"/>
        <v>#N/A</v>
      </c>
      <c r="T37" s="774" t="s">
        <v>17</v>
      </c>
      <c r="U37" s="775" t="e">
        <f t="shared" si="13"/>
        <v>#N/A</v>
      </c>
      <c r="V37" s="774" t="s">
        <v>17</v>
      </c>
      <c r="W37" s="775" t="e">
        <f t="shared" si="14"/>
        <v>#N/A</v>
      </c>
      <c r="X37" s="1816"/>
      <c r="Y37" s="3217"/>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5"/>
      <c r="Q38" s="1798"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5" t="s">
        <v>2564</v>
      </c>
      <c r="Q39" s="1813" t="str">
        <f t="shared" si="11"/>
        <v>物业管理</v>
      </c>
      <c r="R39" s="774" t="s">
        <v>17</v>
      </c>
      <c r="S39" s="775">
        <f t="shared" si="12"/>
        <v>100</v>
      </c>
      <c r="T39" s="774" t="s">
        <v>17</v>
      </c>
      <c r="U39" s="775">
        <f t="shared" si="13"/>
        <v>100</v>
      </c>
      <c r="V39" s="774" t="s">
        <v>17</v>
      </c>
      <c r="W39" s="775">
        <f t="shared" si="14"/>
        <v>100</v>
      </c>
      <c r="X39" s="1816"/>
      <c r="Y39" s="3217"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5"/>
      <c r="Q40" s="1813" t="str">
        <f t="shared" si="11"/>
        <v>市政基础设施</v>
      </c>
      <c r="R40" s="774" t="s">
        <v>17</v>
      </c>
      <c r="S40" s="775">
        <f t="shared" si="12"/>
        <v>100</v>
      </c>
      <c r="T40" s="774" t="s">
        <v>17</v>
      </c>
      <c r="U40" s="775">
        <f t="shared" si="13"/>
        <v>100</v>
      </c>
      <c r="V40" s="774" t="s">
        <v>17</v>
      </c>
      <c r="W40" s="775">
        <f t="shared" si="14"/>
        <v>100</v>
      </c>
      <c r="X40" s="1816"/>
      <c r="Y40" s="3217"/>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5"/>
      <c r="Q41" s="1813" t="str">
        <f t="shared" si="11"/>
        <v>层高</v>
      </c>
      <c r="R41" s="774" t="s">
        <v>17</v>
      </c>
      <c r="S41" s="775">
        <f t="shared" si="12"/>
        <v>100</v>
      </c>
      <c r="T41" s="774" t="s">
        <v>17</v>
      </c>
      <c r="U41" s="775">
        <f t="shared" si="13"/>
        <v>100</v>
      </c>
      <c r="V41" s="774" t="s">
        <v>17</v>
      </c>
      <c r="W41" s="775">
        <f t="shared" si="14"/>
        <v>100</v>
      </c>
      <c r="X41" s="1816"/>
      <c r="Y41" s="3217"/>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5"/>
      <c r="Q43" s="1813" t="str">
        <f t="shared" si="11"/>
        <v>内部装修</v>
      </c>
      <c r="R43" s="774" t="s">
        <v>17</v>
      </c>
      <c r="S43" s="775">
        <f t="shared" si="12"/>
        <v>100</v>
      </c>
      <c r="T43" s="774" t="s">
        <v>17</v>
      </c>
      <c r="U43" s="775">
        <f t="shared" si="13"/>
        <v>100</v>
      </c>
      <c r="V43" s="774" t="s">
        <v>17</v>
      </c>
      <c r="W43" s="775">
        <f t="shared" si="14"/>
        <v>100</v>
      </c>
      <c r="X43" s="1816"/>
      <c r="Y43" s="3217"/>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15"/>
      <c r="Q44" s="1813" t="str">
        <f t="shared" si="11"/>
        <v>内部装修维护情况</v>
      </c>
      <c r="R44" s="774" t="s">
        <v>17</v>
      </c>
      <c r="S44" s="775">
        <f t="shared" si="12"/>
        <v>100</v>
      </c>
      <c r="T44" s="774" t="s">
        <v>17</v>
      </c>
      <c r="U44" s="775">
        <f t="shared" si="13"/>
        <v>100</v>
      </c>
      <c r="V44" s="774" t="s">
        <v>17</v>
      </c>
      <c r="W44" s="775">
        <f t="shared" si="14"/>
        <v>100</v>
      </c>
      <c r="X44" s="1816"/>
      <c r="Y44" s="3217"/>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5"/>
      <c r="Q45" s="1798">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5"/>
      <c r="Q46" s="1813">
        <f t="shared" si="11"/>
        <v>111</v>
      </c>
      <c r="R46" s="774" t="s">
        <v>17</v>
      </c>
      <c r="S46" s="775">
        <f t="shared" si="12"/>
        <v>100</v>
      </c>
      <c r="T46" s="774" t="s">
        <v>17</v>
      </c>
      <c r="U46" s="775">
        <f t="shared" si="13"/>
        <v>100</v>
      </c>
      <c r="V46" s="774" t="s">
        <v>17</v>
      </c>
      <c r="W46" s="775">
        <f t="shared" si="14"/>
        <v>100</v>
      </c>
      <c r="X46" s="1816"/>
      <c r="Y46" s="3217"/>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6"/>
      <c r="Q47" s="1813">
        <f t="shared" si="11"/>
        <v>111</v>
      </c>
      <c r="R47" s="774" t="s">
        <v>17</v>
      </c>
      <c r="S47" s="775">
        <f t="shared" si="12"/>
        <v>100</v>
      </c>
      <c r="T47" s="774" t="s">
        <v>17</v>
      </c>
      <c r="U47" s="775">
        <f t="shared" si="13"/>
        <v>100</v>
      </c>
      <c r="V47" s="774" t="s">
        <v>17</v>
      </c>
      <c r="W47" s="775">
        <f t="shared" si="14"/>
        <v>100</v>
      </c>
      <c r="X47" s="1816"/>
      <c r="Y47" s="3218"/>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192" t="str">
        <f>A48</f>
        <v>成交单价（元/平方米）</v>
      </c>
      <c r="Q48" s="3210"/>
      <c r="R48" s="3211">
        <f>E48</f>
        <v>0</v>
      </c>
      <c r="S48" s="3211"/>
      <c r="T48" s="3211">
        <f>G48</f>
        <v>0</v>
      </c>
      <c r="U48" s="3211"/>
      <c r="V48" s="3211">
        <f>I48</f>
        <v>0</v>
      </c>
      <c r="W48" s="3211"/>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48" sqref="M4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IF(C2="——",ROUND(C43*D3/10000,0),ROUND(C43*D3/10000,0)-D2)</f>
        <v>#DIV/0!</v>
      </c>
      <c r="C2" s="2591"/>
      <c r="D2" s="1127" t="e">
        <f ca="1">SUMIF(INDIRECT("'"&amp;F2&amp;"'"&amp;"!A:A"),"承租人权益价值",INDIRECT("'"&amp;F2&amp;"'"&amp;"!c:c"))</f>
        <v>#REF!</v>
      </c>
      <c r="E2" s="2592" t="s">
        <v>2328</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2643</v>
      </c>
      <c r="D3" s="399">
        <f>IF(D1="",'数据-汇总表'!E3,SUMIF('数据-汇总表'!$C19:$C33,D1,'数据-汇总表'!$E19:$E33))</f>
        <v>47804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3"/>
      <c r="M4" s="1134"/>
      <c r="N4" s="1134"/>
      <c r="O4" s="1134"/>
      <c r="P4" s="3197" t="s">
        <v>2650</v>
      </c>
      <c r="Q4" s="3198"/>
      <c r="R4" s="3180" t="s">
        <v>2646</v>
      </c>
      <c r="S4" s="3181"/>
      <c r="T4" s="3180" t="s">
        <v>2647</v>
      </c>
      <c r="U4" s="3181"/>
      <c r="V4" s="3205" t="s">
        <v>2648</v>
      </c>
      <c r="W4" s="3205"/>
      <c r="X4" s="1816"/>
      <c r="Y4" s="3180" t="s">
        <v>2650</v>
      </c>
      <c r="Z4" s="3181"/>
      <c r="AA4" s="3175" t="s">
        <v>2646</v>
      </c>
      <c r="AB4" s="3176" t="s">
        <v>2647</v>
      </c>
      <c r="AC4" s="3175" t="s">
        <v>2648</v>
      </c>
    </row>
    <row r="5" spans="1:29" ht="15">
      <c r="A5" s="404"/>
      <c r="B5" s="405"/>
      <c r="C5" s="3186" t="s">
        <v>2541</v>
      </c>
      <c r="D5" s="3187"/>
      <c r="E5" s="3221" t="s">
        <v>2542</v>
      </c>
      <c r="F5" s="3185"/>
      <c r="G5" s="3186" t="s">
        <v>2543</v>
      </c>
      <c r="H5" s="3187"/>
      <c r="I5" s="3186" t="s">
        <v>2544</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2545</v>
      </c>
      <c r="D6" s="3189"/>
      <c r="E6" s="3190" t="s">
        <v>2545</v>
      </c>
      <c r="F6" s="3191"/>
      <c r="G6" s="3188" t="s">
        <v>2545</v>
      </c>
      <c r="H6" s="3189"/>
      <c r="I6" s="3188" t="s">
        <v>2545</v>
      </c>
      <c r="J6" s="3189"/>
      <c r="K6" s="610" t="s">
        <v>2546</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2547</v>
      </c>
      <c r="B7" s="409"/>
      <c r="C7" s="410">
        <f>'数据-取费表'!B2</f>
        <v>43343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8"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8" t="s">
        <v>2551</v>
      </c>
      <c r="Q8" s="3179"/>
      <c r="R8" s="770" t="s">
        <v>17</v>
      </c>
      <c r="S8" s="771">
        <f t="shared" si="0"/>
        <v>0</v>
      </c>
      <c r="T8" s="770" t="s">
        <v>17</v>
      </c>
      <c r="U8" s="771">
        <f t="shared" si="1"/>
        <v>0</v>
      </c>
      <c r="V8" s="770" t="s">
        <v>17</v>
      </c>
      <c r="W8" s="771">
        <f t="shared" si="2"/>
        <v>0</v>
      </c>
      <c r="X8" s="772"/>
      <c r="Y8" s="3178" t="s">
        <v>2551</v>
      </c>
      <c r="Z8" s="3179"/>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0" t="s">
        <v>2554</v>
      </c>
      <c r="Q9" s="1798"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0"/>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0"/>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10"/>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2" t="s">
        <v>2559</v>
      </c>
      <c r="Q15" s="1813" t="str">
        <f t="shared" si="6"/>
        <v>产业集聚程度</v>
      </c>
      <c r="R15" s="774" t="s">
        <v>17</v>
      </c>
      <c r="S15" s="775">
        <f t="shared" si="0"/>
        <v>100</v>
      </c>
      <c r="T15" s="774" t="s">
        <v>17</v>
      </c>
      <c r="U15" s="775">
        <f t="shared" si="1"/>
        <v>100</v>
      </c>
      <c r="V15" s="774" t="s">
        <v>17</v>
      </c>
      <c r="W15" s="775">
        <f t="shared" si="2"/>
        <v>100</v>
      </c>
      <c r="X15" s="1816"/>
      <c r="Y15" s="3212"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3"/>
      <c r="Q16" s="1813"/>
      <c r="R16" s="774"/>
      <c r="S16" s="775"/>
      <c r="T16" s="774"/>
      <c r="U16" s="775"/>
      <c r="V16" s="774"/>
      <c r="W16" s="775"/>
      <c r="X16" s="1816"/>
      <c r="Y16" s="3213"/>
      <c r="Z16" s="1817"/>
      <c r="AA16" s="1814">
        <v>1</v>
      </c>
      <c r="AB16" s="1814">
        <v>1</v>
      </c>
      <c r="AC16" s="1814">
        <v>1</v>
      </c>
    </row>
    <row r="17" spans="1:29" ht="85.5">
      <c r="A17" s="428"/>
      <c r="B17" s="451" t="s">
        <v>2095</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3"/>
      <c r="Q17" s="1813" t="str">
        <f>B17</f>
        <v>交通便捷度</v>
      </c>
      <c r="R17" s="774" t="s">
        <v>17</v>
      </c>
      <c r="S17" s="775">
        <f>F17</f>
        <v>100</v>
      </c>
      <c r="T17" s="774" t="s">
        <v>17</v>
      </c>
      <c r="U17" s="775">
        <f>H17</f>
        <v>100</v>
      </c>
      <c r="V17" s="774" t="s">
        <v>17</v>
      </c>
      <c r="W17" s="775">
        <f>J17</f>
        <v>100</v>
      </c>
      <c r="X17" s="1816"/>
      <c r="Y17" s="3213"/>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13"/>
      <c r="Q18" s="1813"/>
      <c r="R18" s="774"/>
      <c r="S18" s="775"/>
      <c r="T18" s="774"/>
      <c r="U18" s="775"/>
      <c r="V18" s="774"/>
      <c r="W18" s="775"/>
      <c r="X18" s="1816"/>
      <c r="Y18" s="3213"/>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3"/>
      <c r="Q19" s="1813" t="str">
        <f>B19</f>
        <v>公共配套设施</v>
      </c>
      <c r="R19" s="774" t="s">
        <v>17</v>
      </c>
      <c r="S19" s="775">
        <f>F19</f>
        <v>100</v>
      </c>
      <c r="T19" s="774" t="s">
        <v>17</v>
      </c>
      <c r="U19" s="775">
        <f>H19</f>
        <v>100</v>
      </c>
      <c r="V19" s="774" t="s">
        <v>17</v>
      </c>
      <c r="W19" s="775">
        <f>J19</f>
        <v>100</v>
      </c>
      <c r="X19" s="1816"/>
      <c r="Y19" s="3213"/>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13"/>
      <c r="Q20" s="1813"/>
      <c r="R20" s="774"/>
      <c r="S20" s="775"/>
      <c r="T20" s="774"/>
      <c r="U20" s="775"/>
      <c r="V20" s="774"/>
      <c r="W20" s="775"/>
      <c r="X20" s="1816"/>
      <c r="Y20" s="3213"/>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3"/>
      <c r="Q21" s="1813" t="str">
        <f>B21</f>
        <v>基础设施水平</v>
      </c>
      <c r="R21" s="774" t="s">
        <v>17</v>
      </c>
      <c r="S21" s="775">
        <f>F21</f>
        <v>100</v>
      </c>
      <c r="T21" s="774" t="s">
        <v>17</v>
      </c>
      <c r="U21" s="775">
        <f>H21</f>
        <v>100</v>
      </c>
      <c r="V21" s="774" t="s">
        <v>17</v>
      </c>
      <c r="W21" s="775">
        <f>J21</f>
        <v>100</v>
      </c>
      <c r="X21" s="1816"/>
      <c r="Y21" s="3213"/>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13"/>
      <c r="Q22" s="1813"/>
      <c r="R22" s="774"/>
      <c r="S22" s="775"/>
      <c r="T22" s="774"/>
      <c r="U22" s="775"/>
      <c r="V22" s="774"/>
      <c r="W22" s="775"/>
      <c r="X22" s="1816"/>
      <c r="Y22" s="3213"/>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3"/>
      <c r="Q23" s="1813" t="str">
        <f>B23</f>
        <v>环境质量</v>
      </c>
      <c r="R23" s="774" t="s">
        <v>17</v>
      </c>
      <c r="S23" s="775">
        <f>F23</f>
        <v>100</v>
      </c>
      <c r="T23" s="774" t="s">
        <v>17</v>
      </c>
      <c r="U23" s="775">
        <f>H23</f>
        <v>100</v>
      </c>
      <c r="V23" s="774" t="s">
        <v>17</v>
      </c>
      <c r="W23" s="775">
        <f>J23</f>
        <v>100</v>
      </c>
      <c r="X23" s="1816"/>
      <c r="Y23" s="3213"/>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13"/>
      <c r="Q24" s="1813"/>
      <c r="R24" s="774"/>
      <c r="S24" s="775"/>
      <c r="T24" s="774"/>
      <c r="U24" s="775"/>
      <c r="V24" s="774"/>
      <c r="W24" s="775"/>
      <c r="X24" s="1816"/>
      <c r="Y24" s="321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3"/>
      <c r="Q25" s="1813">
        <f>B25</f>
        <v>111</v>
      </c>
      <c r="R25" s="774" t="s">
        <v>17</v>
      </c>
      <c r="S25" s="775">
        <f>F25</f>
        <v>100</v>
      </c>
      <c r="T25" s="774" t="s">
        <v>17</v>
      </c>
      <c r="U25" s="775">
        <f>H25</f>
        <v>100</v>
      </c>
      <c r="V25" s="774" t="s">
        <v>17</v>
      </c>
      <c r="W25" s="775">
        <f>J25</f>
        <v>100</v>
      </c>
      <c r="X25" s="1816"/>
      <c r="Y25" s="321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3"/>
      <c r="Q26" s="1813">
        <f t="shared" ref="Q26:Q40" si="11">B26</f>
        <v>111</v>
      </c>
      <c r="R26" s="774" t="s">
        <v>17</v>
      </c>
      <c r="S26" s="775">
        <f>F26</f>
        <v>100</v>
      </c>
      <c r="T26" s="774" t="s">
        <v>17</v>
      </c>
      <c r="U26" s="775">
        <f>H26</f>
        <v>100</v>
      </c>
      <c r="V26" s="774" t="s">
        <v>17</v>
      </c>
      <c r="W26" s="775">
        <f>J26</f>
        <v>100</v>
      </c>
      <c r="X26" s="1816"/>
      <c r="Y26" s="321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3"/>
      <c r="Q27" s="1798">
        <f t="shared" si="11"/>
        <v>111</v>
      </c>
      <c r="R27" s="770" t="s">
        <v>17</v>
      </c>
      <c r="S27" s="771">
        <f>F27</f>
        <v>100</v>
      </c>
      <c r="T27" s="770" t="s">
        <v>17</v>
      </c>
      <c r="U27" s="771">
        <f>H27</f>
        <v>100</v>
      </c>
      <c r="V27" s="770" t="s">
        <v>17</v>
      </c>
      <c r="W27" s="771">
        <f>J27</f>
        <v>100</v>
      </c>
      <c r="X27" s="772"/>
      <c r="Y27" s="321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3"/>
      <c r="Q28" s="1813">
        <f t="shared" si="11"/>
        <v>111</v>
      </c>
      <c r="R28" s="774" t="s">
        <v>17</v>
      </c>
      <c r="S28" s="775">
        <f t="shared" ref="S28:S40" si="12">F28</f>
        <v>100</v>
      </c>
      <c r="T28" s="774" t="s">
        <v>17</v>
      </c>
      <c r="U28" s="775">
        <f t="shared" ref="U28:U40" si="13">H28</f>
        <v>100</v>
      </c>
      <c r="V28" s="774" t="s">
        <v>17</v>
      </c>
      <c r="W28" s="775">
        <f t="shared" ref="W28:W40" si="14">J28</f>
        <v>100</v>
      </c>
      <c r="X28" s="1816"/>
      <c r="Y28" s="3213"/>
      <c r="Z28" s="1817">
        <f t="shared" ref="Z28:Z40" si="15">Q28</f>
        <v>111</v>
      </c>
      <c r="AA28" s="1814">
        <f t="shared" si="3"/>
        <v>1</v>
      </c>
      <c r="AB28" s="1814">
        <f t="shared" si="4"/>
        <v>1</v>
      </c>
      <c r="AC28" s="1814">
        <f t="shared" si="5"/>
        <v>1</v>
      </c>
    </row>
    <row r="29" spans="1:29" ht="1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37" t="s">
        <v>2564</v>
      </c>
      <c r="Q29" s="1813" t="str">
        <f t="shared" si="11"/>
        <v>建筑类型</v>
      </c>
      <c r="R29" s="774" t="s">
        <v>17</v>
      </c>
      <c r="S29" s="775">
        <f t="shared" si="12"/>
        <v>100</v>
      </c>
      <c r="T29" s="774" t="s">
        <v>17</v>
      </c>
      <c r="U29" s="775">
        <f t="shared" si="13"/>
        <v>100</v>
      </c>
      <c r="V29" s="774" t="s">
        <v>17</v>
      </c>
      <c r="W29" s="775">
        <f t="shared" si="14"/>
        <v>100</v>
      </c>
      <c r="X29" s="1816"/>
      <c r="Y29" s="3217"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7"/>
      <c r="Q31" s="1813" t="str">
        <f t="shared" si="11"/>
        <v>建筑结构</v>
      </c>
      <c r="R31" s="774" t="s">
        <v>17</v>
      </c>
      <c r="S31" s="775">
        <f t="shared" si="12"/>
        <v>100</v>
      </c>
      <c r="T31" s="774" t="s">
        <v>17</v>
      </c>
      <c r="U31" s="775">
        <f t="shared" si="13"/>
        <v>100</v>
      </c>
      <c r="V31" s="774" t="s">
        <v>17</v>
      </c>
      <c r="W31" s="775">
        <f t="shared" si="14"/>
        <v>100</v>
      </c>
      <c r="X31" s="1816"/>
      <c r="Y31" s="3217"/>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7"/>
      <c r="Q32" s="1813" t="str">
        <f t="shared" si="11"/>
        <v>公共部分装修</v>
      </c>
      <c r="R32" s="774" t="s">
        <v>17</v>
      </c>
      <c r="S32" s="775">
        <f t="shared" si="12"/>
        <v>100</v>
      </c>
      <c r="T32" s="774" t="s">
        <v>17</v>
      </c>
      <c r="U32" s="775">
        <f t="shared" si="13"/>
        <v>100</v>
      </c>
      <c r="V32" s="774" t="s">
        <v>17</v>
      </c>
      <c r="W32" s="775">
        <f t="shared" si="14"/>
        <v>100</v>
      </c>
      <c r="X32" s="1816"/>
      <c r="Y32" s="3217"/>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7"/>
      <c r="Q33" s="1813" t="str">
        <f t="shared" si="11"/>
        <v>成新度</v>
      </c>
      <c r="R33" s="774" t="s">
        <v>17</v>
      </c>
      <c r="S33" s="775" t="e">
        <f t="shared" si="12"/>
        <v>#N/A</v>
      </c>
      <c r="T33" s="774" t="s">
        <v>17</v>
      </c>
      <c r="U33" s="775" t="e">
        <f t="shared" si="13"/>
        <v>#N/A</v>
      </c>
      <c r="V33" s="774" t="s">
        <v>17</v>
      </c>
      <c r="W33" s="775" t="e">
        <f t="shared" si="14"/>
        <v>#N/A</v>
      </c>
      <c r="X33" s="1816"/>
      <c r="Y33" s="3217"/>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7"/>
      <c r="Q34" s="1798"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7" t="s">
        <v>2564</v>
      </c>
      <c r="Q35" s="1813" t="str">
        <f t="shared" si="11"/>
        <v>市政基础设施</v>
      </c>
      <c r="R35" s="774" t="s">
        <v>17</v>
      </c>
      <c r="S35" s="775">
        <f t="shared" si="12"/>
        <v>100</v>
      </c>
      <c r="T35" s="774" t="s">
        <v>17</v>
      </c>
      <c r="U35" s="775">
        <f t="shared" si="13"/>
        <v>100</v>
      </c>
      <c r="V35" s="774" t="s">
        <v>17</v>
      </c>
      <c r="W35" s="775">
        <f t="shared" si="14"/>
        <v>100</v>
      </c>
      <c r="X35" s="1816"/>
      <c r="Y35" s="3217"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7"/>
      <c r="Q36" s="1813" t="str">
        <f t="shared" si="11"/>
        <v>内部装修</v>
      </c>
      <c r="R36" s="774" t="s">
        <v>17</v>
      </c>
      <c r="S36" s="775">
        <f t="shared" si="12"/>
        <v>100</v>
      </c>
      <c r="T36" s="774" t="s">
        <v>17</v>
      </c>
      <c r="U36" s="775">
        <f t="shared" si="13"/>
        <v>100</v>
      </c>
      <c r="V36" s="774" t="s">
        <v>17</v>
      </c>
      <c r="W36" s="775">
        <f t="shared" si="14"/>
        <v>100</v>
      </c>
      <c r="X36" s="1816"/>
      <c r="Y36" s="3217"/>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7"/>
      <c r="Q37" s="1813" t="str">
        <f t="shared" si="11"/>
        <v>内部装修状况</v>
      </c>
      <c r="R37" s="774" t="s">
        <v>17</v>
      </c>
      <c r="S37" s="775">
        <f t="shared" si="12"/>
        <v>100</v>
      </c>
      <c r="T37" s="774" t="s">
        <v>17</v>
      </c>
      <c r="U37" s="775">
        <f t="shared" si="13"/>
        <v>100</v>
      </c>
      <c r="V37" s="774" t="s">
        <v>17</v>
      </c>
      <c r="W37" s="775">
        <f t="shared" si="14"/>
        <v>100</v>
      </c>
      <c r="X37" s="1816"/>
      <c r="Y37" s="321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7"/>
      <c r="Q39" s="1813">
        <f t="shared" si="11"/>
        <v>111</v>
      </c>
      <c r="R39" s="774" t="s">
        <v>17</v>
      </c>
      <c r="S39" s="775">
        <f t="shared" si="12"/>
        <v>100</v>
      </c>
      <c r="T39" s="774" t="s">
        <v>17</v>
      </c>
      <c r="U39" s="775">
        <f t="shared" si="13"/>
        <v>100</v>
      </c>
      <c r="V39" s="774" t="s">
        <v>17</v>
      </c>
      <c r="W39" s="775">
        <f t="shared" si="14"/>
        <v>100</v>
      </c>
      <c r="X39" s="1816"/>
      <c r="Y39" s="3217"/>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8"/>
      <c r="Q40" s="1813">
        <f t="shared" si="11"/>
        <v>111</v>
      </c>
      <c r="R40" s="774" t="s">
        <v>17</v>
      </c>
      <c r="S40" s="775">
        <f t="shared" si="12"/>
        <v>100</v>
      </c>
      <c r="T40" s="774" t="s">
        <v>17</v>
      </c>
      <c r="U40" s="775">
        <f t="shared" si="13"/>
        <v>100</v>
      </c>
      <c r="V40" s="774" t="s">
        <v>17</v>
      </c>
      <c r="W40" s="775">
        <f t="shared" si="14"/>
        <v>100</v>
      </c>
      <c r="X40" s="1816"/>
      <c r="Y40" s="3218"/>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10" t="str">
        <f>A41</f>
        <v>成交单价（元/平方米）</v>
      </c>
      <c r="Q41" s="3210"/>
      <c r="R41" s="3211">
        <f>E41</f>
        <v>0</v>
      </c>
      <c r="S41" s="3211"/>
      <c r="T41" s="3211">
        <f>G41</f>
        <v>0</v>
      </c>
      <c r="U41" s="3211"/>
      <c r="V41" s="3211">
        <f>I41</f>
        <v>0</v>
      </c>
      <c r="W41" s="3211"/>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07" t="str">
        <f>A43</f>
        <v>估价对象XX用房的比较价值（楼面单价，元/平方米）</v>
      </c>
      <c r="Q43" s="3208"/>
      <c r="R43" s="3209" t="e">
        <f>IF(F1="售价",ROUND(AVERAGE(R42:V42),0),ROUND(AVERAGE(R42:V42),1))</f>
        <v>#DIV/0!</v>
      </c>
      <c r="S43" s="3209"/>
      <c r="T43" s="3209"/>
      <c r="U43" s="3209"/>
      <c r="V43" s="3209"/>
      <c r="W43" s="320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1604</v>
      </c>
    </row>
    <row r="2" spans="1:1">
      <c r="A2" s="1949"/>
    </row>
    <row r="3" spans="1:1" ht="18">
      <c r="A3" s="1950" t="str">
        <f>项目基本情况!B5&amp;"："</f>
        <v>金泰丽城（天津）置业投资有限公司：</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1605</v>
      </c>
    </row>
    <row r="6" spans="1:1" ht="18.75">
      <c r="A6" s="1953" t="s">
        <v>1606</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估价对象为北京市出让国有建设用地使用权及在建建筑物房地产，为所有。根据《国有土地使用证》[]，估价对象（分摊）出让国有建设用地使用权面积为11433.6平方米，建筑面积为47804平方米。</v>
      </c>
    </row>
    <row r="8" spans="1:1" ht="57.75">
      <c r="A8" s="1954" t="s">
        <v>1607</v>
      </c>
    </row>
    <row r="9" spans="1:1" ht="18.75">
      <c r="A9" s="1953" t="s">
        <v>1608</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11433.6平方米，规划建筑面积为47804平方米。</v>
      </c>
    </row>
    <row r="11" spans="1:1" ht="76.5">
      <c r="A11" s="1954" t="s">
        <v>1609</v>
      </c>
    </row>
    <row r="12" spans="1:1" ht="18.75">
      <c r="A12" s="1952" t="s">
        <v>1610</v>
      </c>
    </row>
    <row r="13" spans="1:1" ht="38.25" customHeight="1">
      <c r="A13" s="1955" t="str">
        <f>IF(项目基本情况!B8="抵押",IF(项目基本情况!B5=项目基本情况!B6,定义!C51,定义!B51),定义!D51)</f>
        <v>为估价委托人在向中粮信托办理贷款手续过程中，确定房地产抵押贷款额度提供参考依据而评估房地产抵押价值。</v>
      </c>
    </row>
    <row r="14" spans="1:1" ht="18.75">
      <c r="A14" s="1956" t="s">
        <v>1611</v>
      </c>
    </row>
    <row r="15" spans="1:1" ht="18">
      <c r="A15" s="1957" t="str">
        <f>TEXT(项目基本情况!D3,"yyyy年m月d日;;")&amp;IF(项目基本情况!D3=项目基本情况!B3,"（评估专业人员实地查勘之日）","")</f>
        <v>2018年8月31日（评估专业人员实地查勘之日）</v>
      </c>
    </row>
    <row r="16" spans="1:1" ht="18.75">
      <c r="A16" s="1956" t="s">
        <v>1612</v>
      </c>
    </row>
    <row r="17" spans="1:1" ht="75">
      <c r="A17" s="1951" t="s">
        <v>1613</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31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1602</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1603</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48" sqref="M4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3"/>
      <c r="M4" s="1134"/>
      <c r="N4" s="1134"/>
      <c r="O4" s="1134"/>
      <c r="P4" s="3197" t="s">
        <v>2650</v>
      </c>
      <c r="Q4" s="3198"/>
      <c r="R4" s="3180" t="s">
        <v>2646</v>
      </c>
      <c r="S4" s="3181"/>
      <c r="T4" s="3180" t="s">
        <v>2647</v>
      </c>
      <c r="U4" s="3181"/>
      <c r="V4" s="3205" t="s">
        <v>2648</v>
      </c>
      <c r="W4" s="3205"/>
      <c r="X4" s="1816"/>
      <c r="Y4" s="3180" t="s">
        <v>2650</v>
      </c>
      <c r="Z4" s="3181"/>
      <c r="AA4" s="3175" t="s">
        <v>2646</v>
      </c>
      <c r="AB4" s="3176" t="s">
        <v>2647</v>
      </c>
      <c r="AC4" s="3175" t="s">
        <v>2648</v>
      </c>
    </row>
    <row r="5" spans="1:29" ht="15">
      <c r="A5" s="404"/>
      <c r="B5" s="405"/>
      <c r="C5" s="3186" t="s">
        <v>2541</v>
      </c>
      <c r="D5" s="3187"/>
      <c r="E5" s="3221" t="s">
        <v>2542</v>
      </c>
      <c r="F5" s="3185"/>
      <c r="G5" s="3186" t="s">
        <v>2543</v>
      </c>
      <c r="H5" s="3187"/>
      <c r="I5" s="3186" t="s">
        <v>2544</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2545</v>
      </c>
      <c r="D6" s="3189"/>
      <c r="E6" s="3190" t="s">
        <v>2545</v>
      </c>
      <c r="F6" s="3191"/>
      <c r="G6" s="3188" t="s">
        <v>2545</v>
      </c>
      <c r="H6" s="3189"/>
      <c r="I6" s="3188" t="s">
        <v>2545</v>
      </c>
      <c r="J6" s="3189"/>
      <c r="K6" s="610" t="s">
        <v>2546</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2547</v>
      </c>
      <c r="B7" s="409"/>
      <c r="C7" s="410">
        <f>'数据-取费表'!B2</f>
        <v>43343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8" t="s">
        <v>2548</v>
      </c>
      <c r="Q7" s="3206"/>
      <c r="R7" s="770" t="s">
        <v>17</v>
      </c>
      <c r="S7" s="771">
        <f t="shared" ref="S7:S14" si="0">F7</f>
        <v>0</v>
      </c>
      <c r="T7" s="770" t="s">
        <v>17</v>
      </c>
      <c r="U7" s="771">
        <f t="shared" ref="U7:U14" si="1">H7</f>
        <v>0</v>
      </c>
      <c r="V7" s="770" t="s">
        <v>17</v>
      </c>
      <c r="W7" s="771">
        <f t="shared" ref="W7:W14" si="2">J7</f>
        <v>0</v>
      </c>
      <c r="X7" s="772"/>
      <c r="Y7" s="3178" t="s">
        <v>2548</v>
      </c>
      <c r="Z7" s="3179"/>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8" t="s">
        <v>2551</v>
      </c>
      <c r="Q8" s="3179"/>
      <c r="R8" s="770" t="s">
        <v>17</v>
      </c>
      <c r="S8" s="771">
        <f t="shared" si="0"/>
        <v>0</v>
      </c>
      <c r="T8" s="770" t="s">
        <v>17</v>
      </c>
      <c r="U8" s="771">
        <f t="shared" si="1"/>
        <v>0</v>
      </c>
      <c r="V8" s="770" t="s">
        <v>17</v>
      </c>
      <c r="W8" s="771">
        <f t="shared" si="2"/>
        <v>0</v>
      </c>
      <c r="X8" s="772"/>
      <c r="Y8" s="3178" t="s">
        <v>2551</v>
      </c>
      <c r="Z8" s="3179"/>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0" t="s">
        <v>2554</v>
      </c>
      <c r="Q9" s="1798" t="str">
        <f t="shared" ref="Q9:Q14" si="6">B9</f>
        <v>用途</v>
      </c>
      <c r="R9" s="770" t="s">
        <v>17</v>
      </c>
      <c r="S9" s="771">
        <f t="shared" si="0"/>
        <v>100</v>
      </c>
      <c r="T9" s="770" t="s">
        <v>17</v>
      </c>
      <c r="U9" s="771">
        <f t="shared" si="1"/>
        <v>100</v>
      </c>
      <c r="V9" s="770" t="s">
        <v>17</v>
      </c>
      <c r="W9" s="771">
        <f t="shared" si="2"/>
        <v>100</v>
      </c>
      <c r="X9" s="772"/>
      <c r="Y9" s="3025"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0"/>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0"/>
      <c r="Q11" s="1798">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2" t="s">
        <v>2559</v>
      </c>
      <c r="Q14" s="1813" t="str">
        <f t="shared" si="6"/>
        <v>交通便捷度</v>
      </c>
      <c r="R14" s="774" t="s">
        <v>17</v>
      </c>
      <c r="S14" s="775">
        <f t="shared" si="0"/>
        <v>100</v>
      </c>
      <c r="T14" s="774" t="s">
        <v>17</v>
      </c>
      <c r="U14" s="775">
        <f t="shared" si="1"/>
        <v>100</v>
      </c>
      <c r="V14" s="774" t="s">
        <v>17</v>
      </c>
      <c r="W14" s="775">
        <f t="shared" si="2"/>
        <v>100</v>
      </c>
      <c r="X14" s="1816"/>
      <c r="Y14" s="3212"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3"/>
      <c r="Q15" s="1813"/>
      <c r="R15" s="774"/>
      <c r="S15" s="775"/>
      <c r="T15" s="774"/>
      <c r="U15" s="775"/>
      <c r="V15" s="774"/>
      <c r="W15" s="775"/>
      <c r="X15" s="1816"/>
      <c r="Y15" s="3213"/>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3"/>
      <c r="Q16" s="1813" t="str">
        <f>B16</f>
        <v>公共配套设施</v>
      </c>
      <c r="R16" s="774" t="s">
        <v>17</v>
      </c>
      <c r="S16" s="775">
        <f>F16</f>
        <v>100</v>
      </c>
      <c r="T16" s="774" t="s">
        <v>17</v>
      </c>
      <c r="U16" s="775">
        <f>H16</f>
        <v>100</v>
      </c>
      <c r="V16" s="774" t="s">
        <v>17</v>
      </c>
      <c r="W16" s="775">
        <f>J16</f>
        <v>100</v>
      </c>
      <c r="X16" s="1816"/>
      <c r="Y16" s="3213"/>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13"/>
      <c r="Q17" s="1813"/>
      <c r="R17" s="774"/>
      <c r="S17" s="775"/>
      <c r="T17" s="774"/>
      <c r="U17" s="775"/>
      <c r="V17" s="774"/>
      <c r="W17" s="775"/>
      <c r="X17" s="1816"/>
      <c r="Y17" s="3213"/>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3"/>
      <c r="Q18" s="1813" t="str">
        <f>B18</f>
        <v>基础设施水平</v>
      </c>
      <c r="R18" s="774" t="s">
        <v>17</v>
      </c>
      <c r="S18" s="775">
        <f>F18</f>
        <v>100</v>
      </c>
      <c r="T18" s="774" t="s">
        <v>17</v>
      </c>
      <c r="U18" s="775">
        <f>H18</f>
        <v>100</v>
      </c>
      <c r="V18" s="774" t="s">
        <v>17</v>
      </c>
      <c r="W18" s="775">
        <f>J18</f>
        <v>100</v>
      </c>
      <c r="X18" s="1816"/>
      <c r="Y18" s="3213"/>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13"/>
      <c r="Q19" s="1813"/>
      <c r="R19" s="774"/>
      <c r="S19" s="775"/>
      <c r="T19" s="774"/>
      <c r="U19" s="775"/>
      <c r="V19" s="774"/>
      <c r="W19" s="775"/>
      <c r="X19" s="1816"/>
      <c r="Y19" s="3213"/>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3"/>
      <c r="Q20" s="1813" t="str">
        <f>B20</f>
        <v>自然及人文环境</v>
      </c>
      <c r="R20" s="774" t="s">
        <v>17</v>
      </c>
      <c r="S20" s="775">
        <f>F20</f>
        <v>100</v>
      </c>
      <c r="T20" s="774" t="s">
        <v>17</v>
      </c>
      <c r="U20" s="775">
        <f>H20</f>
        <v>100</v>
      </c>
      <c r="V20" s="774" t="s">
        <v>17</v>
      </c>
      <c r="W20" s="775">
        <f>J20</f>
        <v>100</v>
      </c>
      <c r="X20" s="1816"/>
      <c r="Y20" s="321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3"/>
      <c r="Q21" s="1813"/>
      <c r="R21" s="774"/>
      <c r="S21" s="775"/>
      <c r="T21" s="774"/>
      <c r="U21" s="775"/>
      <c r="V21" s="774"/>
      <c r="W21" s="775"/>
      <c r="X21" s="1816"/>
      <c r="Y21" s="3213"/>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3"/>
      <c r="Q22" s="1813" t="str">
        <f>B22</f>
        <v>楼层</v>
      </c>
      <c r="R22" s="774" t="s">
        <v>17</v>
      </c>
      <c r="S22" s="775">
        <f>F22</f>
        <v>100</v>
      </c>
      <c r="T22" s="774" t="s">
        <v>17</v>
      </c>
      <c r="U22" s="775">
        <f>H22</f>
        <v>100</v>
      </c>
      <c r="V22" s="774" t="s">
        <v>17</v>
      </c>
      <c r="W22" s="775">
        <f>J22</f>
        <v>100</v>
      </c>
      <c r="X22" s="1816"/>
      <c r="Y22" s="321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3"/>
      <c r="Q23" s="1813">
        <f>B23</f>
        <v>111</v>
      </c>
      <c r="R23" s="774" t="s">
        <v>17</v>
      </c>
      <c r="S23" s="775">
        <f>F23</f>
        <v>100</v>
      </c>
      <c r="T23" s="774" t="s">
        <v>17</v>
      </c>
      <c r="U23" s="775">
        <f>H23</f>
        <v>100</v>
      </c>
      <c r="V23" s="774" t="s">
        <v>17</v>
      </c>
      <c r="W23" s="775">
        <f>J23</f>
        <v>100</v>
      </c>
      <c r="X23" s="1816"/>
      <c r="Y23" s="321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3"/>
      <c r="Q24" s="1813">
        <f t="shared" ref="Q24:Q36" si="11">B24</f>
        <v>111</v>
      </c>
      <c r="R24" s="774" t="s">
        <v>17</v>
      </c>
      <c r="S24" s="775">
        <f>F24</f>
        <v>100</v>
      </c>
      <c r="T24" s="774" t="s">
        <v>17</v>
      </c>
      <c r="U24" s="775">
        <f>H24</f>
        <v>100</v>
      </c>
      <c r="V24" s="774" t="s">
        <v>17</v>
      </c>
      <c r="W24" s="775">
        <f>J24</f>
        <v>100</v>
      </c>
      <c r="X24" s="1816"/>
      <c r="Y24" s="321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3"/>
      <c r="Q25" s="1798">
        <f t="shared" si="11"/>
        <v>111</v>
      </c>
      <c r="R25" s="770" t="s">
        <v>17</v>
      </c>
      <c r="S25" s="771">
        <f>F25</f>
        <v>100</v>
      </c>
      <c r="T25" s="770" t="s">
        <v>17</v>
      </c>
      <c r="U25" s="771">
        <f>H25</f>
        <v>100</v>
      </c>
      <c r="V25" s="770" t="s">
        <v>17</v>
      </c>
      <c r="W25" s="771">
        <f>J25</f>
        <v>100</v>
      </c>
      <c r="X25" s="772"/>
      <c r="Y25" s="3213"/>
      <c r="Z25" s="55">
        <f>Q25</f>
        <v>111</v>
      </c>
      <c r="AA25" s="1814">
        <f>D25/F25</f>
        <v>1</v>
      </c>
      <c r="AB25" s="1814">
        <f>D25/H25</f>
        <v>1</v>
      </c>
      <c r="AC25" s="1814">
        <f>D25/J25</f>
        <v>1</v>
      </c>
    </row>
    <row r="26" spans="1:29" ht="1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7"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7"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7"/>
      <c r="Q28" s="1813" t="str">
        <f t="shared" si="11"/>
        <v>公共部分装修</v>
      </c>
      <c r="R28" s="774" t="s">
        <v>17</v>
      </c>
      <c r="S28" s="775">
        <f t="shared" si="12"/>
        <v>100</v>
      </c>
      <c r="T28" s="774" t="s">
        <v>17</v>
      </c>
      <c r="U28" s="775">
        <f t="shared" si="13"/>
        <v>100</v>
      </c>
      <c r="V28" s="774" t="s">
        <v>17</v>
      </c>
      <c r="W28" s="775">
        <f t="shared" si="14"/>
        <v>100</v>
      </c>
      <c r="X28" s="1816"/>
      <c r="Y28" s="3217"/>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7"/>
      <c r="Q29" s="1813" t="str">
        <f t="shared" si="11"/>
        <v>成新率</v>
      </c>
      <c r="R29" s="774" t="s">
        <v>17</v>
      </c>
      <c r="S29" s="775" t="e">
        <f t="shared" si="12"/>
        <v>#N/A</v>
      </c>
      <c r="T29" s="774" t="s">
        <v>17</v>
      </c>
      <c r="U29" s="775" t="e">
        <f t="shared" si="13"/>
        <v>#N/A</v>
      </c>
      <c r="V29" s="774" t="s">
        <v>17</v>
      </c>
      <c r="W29" s="775" t="e">
        <f t="shared" si="14"/>
        <v>#N/A</v>
      </c>
      <c r="X29" s="1816"/>
      <c r="Y29" s="3217"/>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7"/>
      <c r="Q30" s="1813" t="str">
        <f t="shared" si="11"/>
        <v>物业等级</v>
      </c>
      <c r="R30" s="774" t="s">
        <v>17</v>
      </c>
      <c r="S30" s="775">
        <f t="shared" si="12"/>
        <v>100</v>
      </c>
      <c r="T30" s="774" t="s">
        <v>17</v>
      </c>
      <c r="U30" s="775">
        <f t="shared" si="13"/>
        <v>100</v>
      </c>
      <c r="V30" s="774" t="s">
        <v>17</v>
      </c>
      <c r="W30" s="775">
        <f t="shared" si="14"/>
        <v>100</v>
      </c>
      <c r="X30" s="1816"/>
      <c r="Y30" s="3217"/>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7"/>
      <c r="Q31" s="1798"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7" t="s">
        <v>2564</v>
      </c>
      <c r="Q32" s="1813" t="str">
        <f t="shared" si="11"/>
        <v>车位类型</v>
      </c>
      <c r="R32" s="774" t="s">
        <v>17</v>
      </c>
      <c r="S32" s="775">
        <f t="shared" si="12"/>
        <v>100</v>
      </c>
      <c r="T32" s="774" t="s">
        <v>17</v>
      </c>
      <c r="U32" s="775">
        <f t="shared" si="13"/>
        <v>100</v>
      </c>
      <c r="V32" s="774" t="s">
        <v>17</v>
      </c>
      <c r="W32" s="775">
        <f t="shared" si="14"/>
        <v>100</v>
      </c>
      <c r="X32" s="1816"/>
      <c r="Y32" s="3217"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7"/>
      <c r="Q33" s="1813" t="str">
        <f t="shared" si="11"/>
        <v>是否直接入户</v>
      </c>
      <c r="R33" s="774" t="s">
        <v>17</v>
      </c>
      <c r="S33" s="775">
        <f t="shared" si="12"/>
        <v>100</v>
      </c>
      <c r="T33" s="774" t="s">
        <v>17</v>
      </c>
      <c r="U33" s="775">
        <f t="shared" si="13"/>
        <v>100</v>
      </c>
      <c r="V33" s="774" t="s">
        <v>17</v>
      </c>
      <c r="W33" s="775">
        <f t="shared" si="14"/>
        <v>100</v>
      </c>
      <c r="X33" s="1816"/>
      <c r="Y33" s="321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7"/>
      <c r="Q34" s="1813">
        <f t="shared" si="11"/>
        <v>111</v>
      </c>
      <c r="R34" s="774" t="s">
        <v>17</v>
      </c>
      <c r="S34" s="775">
        <f t="shared" si="12"/>
        <v>100</v>
      </c>
      <c r="T34" s="774" t="s">
        <v>17</v>
      </c>
      <c r="U34" s="775">
        <f t="shared" si="13"/>
        <v>100</v>
      </c>
      <c r="V34" s="774" t="s">
        <v>17</v>
      </c>
      <c r="W34" s="775">
        <f t="shared" si="14"/>
        <v>100</v>
      </c>
      <c r="X34" s="1816"/>
      <c r="Y34" s="321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7"/>
      <c r="Q36" s="1813">
        <f t="shared" si="11"/>
        <v>111</v>
      </c>
      <c r="R36" s="774" t="s">
        <v>17</v>
      </c>
      <c r="S36" s="775">
        <f t="shared" si="12"/>
        <v>100</v>
      </c>
      <c r="T36" s="774" t="s">
        <v>17</v>
      </c>
      <c r="U36" s="775">
        <f t="shared" si="13"/>
        <v>100</v>
      </c>
      <c r="V36" s="774" t="s">
        <v>17</v>
      </c>
      <c r="W36" s="775">
        <f t="shared" si="14"/>
        <v>100</v>
      </c>
      <c r="X36" s="1816"/>
      <c r="Y36" s="3217"/>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10" t="str">
        <f>A37</f>
        <v>成交单价</v>
      </c>
      <c r="Q37" s="3210"/>
      <c r="R37" s="3211">
        <f>E37</f>
        <v>0</v>
      </c>
      <c r="S37" s="3211"/>
      <c r="T37" s="3211">
        <f>G37</f>
        <v>0</v>
      </c>
      <c r="U37" s="3211"/>
      <c r="V37" s="3211">
        <f>I37</f>
        <v>0</v>
      </c>
      <c r="W37" s="3211"/>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07" t="str">
        <f>A39</f>
        <v>估价对象XX用房的比较价值（楼面单价，元/平方米）</v>
      </c>
      <c r="Q39" s="3208"/>
      <c r="R39" s="3209" t="e">
        <f>IF(F1="售价",ROUND(AVERAGE(R38:V38),0),ROUND(AVERAGE(R38:V38),1))</f>
        <v>#DIV/0!</v>
      </c>
      <c r="S39" s="3209"/>
      <c r="T39" s="3209"/>
      <c r="U39" s="3209"/>
      <c r="V39" s="3209"/>
      <c r="W39" s="320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48" sqref="M4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1"/>
      <c r="D2" s="1127" t="e">
        <f ca="1">SUMIF(INDIRECT("'"&amp;F2&amp;"'"&amp;"!A:A"),"承租人权益价值",INDIRECT("'"&amp;F2&amp;"'"&amp;"!c:c"))</f>
        <v>#REF!</v>
      </c>
      <c r="E2" s="2592" t="s">
        <v>2328</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3"/>
      <c r="M4" s="1134"/>
      <c r="N4" s="1134"/>
      <c r="O4" s="1134"/>
      <c r="P4" s="3197" t="s">
        <v>2650</v>
      </c>
      <c r="Q4" s="3198"/>
      <c r="R4" s="3180" t="s">
        <v>2646</v>
      </c>
      <c r="S4" s="3181"/>
      <c r="T4" s="3180" t="s">
        <v>2647</v>
      </c>
      <c r="U4" s="3181"/>
      <c r="V4" s="3205" t="s">
        <v>2648</v>
      </c>
      <c r="W4" s="3205"/>
      <c r="X4" s="1816"/>
      <c r="Y4" s="3180" t="s">
        <v>2650</v>
      </c>
      <c r="Z4" s="3181"/>
      <c r="AA4" s="3175" t="s">
        <v>2646</v>
      </c>
      <c r="AB4" s="3176" t="s">
        <v>2647</v>
      </c>
      <c r="AC4" s="3175" t="s">
        <v>2648</v>
      </c>
    </row>
    <row r="5" spans="1:29" ht="15">
      <c r="A5" s="404"/>
      <c r="B5" s="405"/>
      <c r="C5" s="3186" t="s">
        <v>2541</v>
      </c>
      <c r="D5" s="3187"/>
      <c r="E5" s="3221" t="s">
        <v>2542</v>
      </c>
      <c r="F5" s="3185"/>
      <c r="G5" s="3186" t="s">
        <v>2543</v>
      </c>
      <c r="H5" s="3187"/>
      <c r="I5" s="3186" t="s">
        <v>2544</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188" t="s">
        <v>2545</v>
      </c>
      <c r="D6" s="3189"/>
      <c r="E6" s="3190" t="s">
        <v>2545</v>
      </c>
      <c r="F6" s="3191"/>
      <c r="G6" s="3188" t="s">
        <v>2545</v>
      </c>
      <c r="H6" s="3189"/>
      <c r="I6" s="3188" t="s">
        <v>2545</v>
      </c>
      <c r="J6" s="3189"/>
      <c r="K6" s="610" t="s">
        <v>2546</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2547</v>
      </c>
      <c r="B7" s="409"/>
      <c r="C7" s="410">
        <f>'数据-取费表'!B2</f>
        <v>43343</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78" t="s">
        <v>2548</v>
      </c>
      <c r="Q7" s="3206"/>
      <c r="R7" s="770" t="s">
        <v>17</v>
      </c>
      <c r="S7" s="771">
        <f t="shared" ref="S7:S14" si="0">F7</f>
        <v>0</v>
      </c>
      <c r="T7" s="770" t="s">
        <v>17</v>
      </c>
      <c r="U7" s="771">
        <f t="shared" ref="U7:U14" si="1">H7</f>
        <v>0</v>
      </c>
      <c r="V7" s="770" t="s">
        <v>17</v>
      </c>
      <c r="W7" s="771">
        <f t="shared" ref="W7:W14" si="2">J7</f>
        <v>0</v>
      </c>
      <c r="X7" s="772"/>
      <c r="Y7" s="3178" t="s">
        <v>2548</v>
      </c>
      <c r="Z7" s="3179"/>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8" t="s">
        <v>2551</v>
      </c>
      <c r="Q8" s="3179"/>
      <c r="R8" s="770" t="s">
        <v>17</v>
      </c>
      <c r="S8" s="771">
        <f t="shared" si="0"/>
        <v>0</v>
      </c>
      <c r="T8" s="770" t="s">
        <v>17</v>
      </c>
      <c r="U8" s="771">
        <f t="shared" si="1"/>
        <v>0</v>
      </c>
      <c r="V8" s="770" t="s">
        <v>17</v>
      </c>
      <c r="W8" s="771">
        <f t="shared" si="2"/>
        <v>0</v>
      </c>
      <c r="X8" s="772"/>
      <c r="Y8" s="3178" t="s">
        <v>2551</v>
      </c>
      <c r="Z8" s="3179"/>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0" t="s">
        <v>2554</v>
      </c>
      <c r="Q9" s="1798" t="str">
        <f t="shared" ref="Q9:Q14" si="6">B9</f>
        <v>用途</v>
      </c>
      <c r="R9" s="770" t="s">
        <v>17</v>
      </c>
      <c r="S9" s="771">
        <f t="shared" si="0"/>
        <v>100</v>
      </c>
      <c r="T9" s="770" t="s">
        <v>17</v>
      </c>
      <c r="U9" s="771">
        <f t="shared" si="1"/>
        <v>100</v>
      </c>
      <c r="V9" s="770" t="s">
        <v>17</v>
      </c>
      <c r="W9" s="771">
        <f t="shared" si="2"/>
        <v>100</v>
      </c>
      <c r="X9" s="772"/>
      <c r="Y9" s="3025"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0"/>
      <c r="Q10" s="1798"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0"/>
      <c r="Q11" s="1798">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2" t="s">
        <v>2559</v>
      </c>
      <c r="Q14" s="1813" t="str">
        <f t="shared" si="6"/>
        <v>交通便捷度</v>
      </c>
      <c r="R14" s="774" t="s">
        <v>17</v>
      </c>
      <c r="S14" s="775">
        <f t="shared" si="0"/>
        <v>100</v>
      </c>
      <c r="T14" s="774" t="s">
        <v>17</v>
      </c>
      <c r="U14" s="775">
        <f t="shared" si="1"/>
        <v>100</v>
      </c>
      <c r="V14" s="774" t="s">
        <v>17</v>
      </c>
      <c r="W14" s="775">
        <f t="shared" si="2"/>
        <v>100</v>
      </c>
      <c r="X14" s="1816"/>
      <c r="Y14" s="3212"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3"/>
      <c r="Q15" s="1813"/>
      <c r="R15" s="774"/>
      <c r="S15" s="775"/>
      <c r="T15" s="774"/>
      <c r="U15" s="775"/>
      <c r="V15" s="774"/>
      <c r="W15" s="775"/>
      <c r="X15" s="1816"/>
      <c r="Y15" s="3213"/>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3"/>
      <c r="Q16" s="1813" t="str">
        <f>B16</f>
        <v>公共配套设施</v>
      </c>
      <c r="R16" s="774" t="s">
        <v>17</v>
      </c>
      <c r="S16" s="775">
        <f>F16</f>
        <v>100</v>
      </c>
      <c r="T16" s="774" t="s">
        <v>17</v>
      </c>
      <c r="U16" s="775">
        <f>H16</f>
        <v>100</v>
      </c>
      <c r="V16" s="774" t="s">
        <v>17</v>
      </c>
      <c r="W16" s="775">
        <f>J16</f>
        <v>100</v>
      </c>
      <c r="X16" s="1816"/>
      <c r="Y16" s="3213"/>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13"/>
      <c r="Q17" s="1813"/>
      <c r="R17" s="774"/>
      <c r="S17" s="775"/>
      <c r="T17" s="774"/>
      <c r="U17" s="775"/>
      <c r="V17" s="774"/>
      <c r="W17" s="775"/>
      <c r="X17" s="1816"/>
      <c r="Y17" s="3213"/>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3"/>
      <c r="Q18" s="1813" t="str">
        <f>B18</f>
        <v>基础设施水平</v>
      </c>
      <c r="R18" s="774" t="s">
        <v>17</v>
      </c>
      <c r="S18" s="775">
        <f>F18</f>
        <v>100</v>
      </c>
      <c r="T18" s="774" t="s">
        <v>17</v>
      </c>
      <c r="U18" s="775">
        <f>H18</f>
        <v>100</v>
      </c>
      <c r="V18" s="774" t="s">
        <v>17</v>
      </c>
      <c r="W18" s="775">
        <f>J18</f>
        <v>100</v>
      </c>
      <c r="X18" s="1816"/>
      <c r="Y18" s="3213"/>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13"/>
      <c r="Q19" s="1813"/>
      <c r="R19" s="774"/>
      <c r="S19" s="775"/>
      <c r="T19" s="774"/>
      <c r="U19" s="775"/>
      <c r="V19" s="774"/>
      <c r="W19" s="775"/>
      <c r="X19" s="1816"/>
      <c r="Y19" s="3213"/>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3"/>
      <c r="Q20" s="1813" t="str">
        <f>B20</f>
        <v>自然及人文环境</v>
      </c>
      <c r="R20" s="774" t="s">
        <v>17</v>
      </c>
      <c r="S20" s="775">
        <f>F20</f>
        <v>100</v>
      </c>
      <c r="T20" s="774" t="s">
        <v>17</v>
      </c>
      <c r="U20" s="775">
        <f>H20</f>
        <v>100</v>
      </c>
      <c r="V20" s="774" t="s">
        <v>17</v>
      </c>
      <c r="W20" s="775">
        <f>J20</f>
        <v>100</v>
      </c>
      <c r="X20" s="1816"/>
      <c r="Y20" s="321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3"/>
      <c r="Q21" s="1813"/>
      <c r="R21" s="774"/>
      <c r="S21" s="775"/>
      <c r="T21" s="774"/>
      <c r="U21" s="775"/>
      <c r="V21" s="774"/>
      <c r="W21" s="775"/>
      <c r="X21" s="1816"/>
      <c r="Y21" s="3213"/>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3"/>
      <c r="Q22" s="1813" t="str">
        <f>B22</f>
        <v>楼层</v>
      </c>
      <c r="R22" s="774" t="s">
        <v>17</v>
      </c>
      <c r="S22" s="775">
        <f>F22</f>
        <v>100</v>
      </c>
      <c r="T22" s="774" t="s">
        <v>17</v>
      </c>
      <c r="U22" s="775">
        <f>H22</f>
        <v>100</v>
      </c>
      <c r="V22" s="774" t="s">
        <v>17</v>
      </c>
      <c r="W22" s="775">
        <f>J22</f>
        <v>100</v>
      </c>
      <c r="X22" s="1816"/>
      <c r="Y22" s="3213"/>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3"/>
      <c r="Q23" s="1813">
        <f>B23</f>
        <v>111</v>
      </c>
      <c r="R23" s="774" t="s">
        <v>17</v>
      </c>
      <c r="S23" s="775">
        <f>F23</f>
        <v>100</v>
      </c>
      <c r="T23" s="774" t="s">
        <v>17</v>
      </c>
      <c r="U23" s="775">
        <f>H23</f>
        <v>100</v>
      </c>
      <c r="V23" s="774" t="s">
        <v>17</v>
      </c>
      <c r="W23" s="775">
        <f>J23</f>
        <v>100</v>
      </c>
      <c r="X23" s="1816"/>
      <c r="Y23" s="3213"/>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3"/>
      <c r="Q24" s="1813">
        <f t="shared" ref="Q24:Q34" si="11">B24</f>
        <v>111</v>
      </c>
      <c r="R24" s="774" t="s">
        <v>17</v>
      </c>
      <c r="S24" s="775">
        <f>F24</f>
        <v>100</v>
      </c>
      <c r="T24" s="774" t="s">
        <v>17</v>
      </c>
      <c r="U24" s="775">
        <f>H24</f>
        <v>100</v>
      </c>
      <c r="V24" s="774" t="s">
        <v>17</v>
      </c>
      <c r="W24" s="775">
        <f>J24</f>
        <v>100</v>
      </c>
      <c r="X24" s="1816"/>
      <c r="Y24" s="3213"/>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13"/>
      <c r="Q25" s="1798">
        <f t="shared" si="11"/>
        <v>111</v>
      </c>
      <c r="R25" s="770" t="s">
        <v>17</v>
      </c>
      <c r="S25" s="771">
        <f>F25</f>
        <v>100</v>
      </c>
      <c r="T25" s="770" t="s">
        <v>17</v>
      </c>
      <c r="U25" s="771">
        <f>H25</f>
        <v>100</v>
      </c>
      <c r="V25" s="770" t="s">
        <v>17</v>
      </c>
      <c r="W25" s="771">
        <f>J25</f>
        <v>100</v>
      </c>
      <c r="X25" s="772"/>
      <c r="Y25" s="3213"/>
      <c r="Z25" s="55">
        <f>Q25</f>
        <v>111</v>
      </c>
      <c r="AA25" s="1814">
        <f>D25/F25</f>
        <v>1</v>
      </c>
      <c r="AB25" s="1814">
        <f>D25/H25</f>
        <v>1</v>
      </c>
      <c r="AC25" s="1814">
        <f>D25/J25</f>
        <v>1</v>
      </c>
    </row>
    <row r="26" spans="1:29" ht="1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37"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7"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7"/>
      <c r="Q28" s="1813" t="str">
        <f t="shared" si="11"/>
        <v>物业等级</v>
      </c>
      <c r="R28" s="774" t="s">
        <v>17</v>
      </c>
      <c r="S28" s="775">
        <f t="shared" si="12"/>
        <v>100</v>
      </c>
      <c r="T28" s="774" t="s">
        <v>17</v>
      </c>
      <c r="U28" s="775">
        <f t="shared" si="13"/>
        <v>100</v>
      </c>
      <c r="V28" s="774" t="s">
        <v>17</v>
      </c>
      <c r="W28" s="775">
        <f t="shared" si="14"/>
        <v>100</v>
      </c>
      <c r="X28" s="1816"/>
      <c r="Y28" s="3217"/>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7"/>
      <c r="Q29" s="1813" t="str">
        <f t="shared" si="11"/>
        <v>有无电梯</v>
      </c>
      <c r="R29" s="774" t="s">
        <v>17</v>
      </c>
      <c r="S29" s="775">
        <f t="shared" si="12"/>
        <v>100</v>
      </c>
      <c r="T29" s="774" t="s">
        <v>17</v>
      </c>
      <c r="U29" s="775">
        <f t="shared" si="13"/>
        <v>100</v>
      </c>
      <c r="V29" s="774" t="s">
        <v>17</v>
      </c>
      <c r="W29" s="775">
        <f t="shared" si="14"/>
        <v>100</v>
      </c>
      <c r="X29" s="1816"/>
      <c r="Y29" s="3217"/>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7"/>
      <c r="Q30" s="1813" t="str">
        <f t="shared" si="11"/>
        <v>建筑面积</v>
      </c>
      <c r="R30" s="774" t="s">
        <v>17</v>
      </c>
      <c r="S30" s="775" t="e">
        <f t="shared" si="12"/>
        <v>#N/A</v>
      </c>
      <c r="T30" s="774" t="s">
        <v>17</v>
      </c>
      <c r="U30" s="775" t="e">
        <f t="shared" si="13"/>
        <v>#N/A</v>
      </c>
      <c r="V30" s="774" t="s">
        <v>17</v>
      </c>
      <c r="W30" s="775" t="e">
        <f t="shared" si="14"/>
        <v>#N/A</v>
      </c>
      <c r="X30" s="1816"/>
      <c r="Y30" s="3217"/>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7"/>
      <c r="Q31" s="1798"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7" t="s">
        <v>2564</v>
      </c>
      <c r="Q32" s="1813">
        <f t="shared" si="11"/>
        <v>111</v>
      </c>
      <c r="R32" s="774" t="s">
        <v>17</v>
      </c>
      <c r="S32" s="775">
        <f t="shared" si="12"/>
        <v>100</v>
      </c>
      <c r="T32" s="774" t="s">
        <v>17</v>
      </c>
      <c r="U32" s="775">
        <f t="shared" si="13"/>
        <v>100</v>
      </c>
      <c r="V32" s="774" t="s">
        <v>17</v>
      </c>
      <c r="W32" s="775">
        <f t="shared" si="14"/>
        <v>100</v>
      </c>
      <c r="X32" s="1816"/>
      <c r="Y32" s="3217"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7"/>
      <c r="Q33" s="1813">
        <f t="shared" si="11"/>
        <v>111</v>
      </c>
      <c r="R33" s="774" t="s">
        <v>17</v>
      </c>
      <c r="S33" s="775">
        <f t="shared" si="12"/>
        <v>100</v>
      </c>
      <c r="T33" s="774" t="s">
        <v>17</v>
      </c>
      <c r="U33" s="775">
        <f t="shared" si="13"/>
        <v>100</v>
      </c>
      <c r="V33" s="774" t="s">
        <v>17</v>
      </c>
      <c r="W33" s="775">
        <f t="shared" si="14"/>
        <v>100</v>
      </c>
      <c r="X33" s="1816"/>
      <c r="Y33" s="3217"/>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17"/>
      <c r="Q34" s="1813">
        <f t="shared" si="11"/>
        <v>111</v>
      </c>
      <c r="R34" s="774" t="s">
        <v>17</v>
      </c>
      <c r="S34" s="775">
        <f t="shared" si="12"/>
        <v>100</v>
      </c>
      <c r="T34" s="774" t="s">
        <v>17</v>
      </c>
      <c r="U34" s="775">
        <f t="shared" si="13"/>
        <v>100</v>
      </c>
      <c r="V34" s="774" t="s">
        <v>17</v>
      </c>
      <c r="W34" s="775">
        <f t="shared" si="14"/>
        <v>100</v>
      </c>
      <c r="X34" s="1816"/>
      <c r="Y34" s="3217"/>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10" t="str">
        <f>A35</f>
        <v>成交单价（元/平方米）</v>
      </c>
      <c r="Q35" s="3210"/>
      <c r="R35" s="3211">
        <f>E35</f>
        <v>0</v>
      </c>
      <c r="S35" s="3211"/>
      <c r="T35" s="3211">
        <f>G35</f>
        <v>0</v>
      </c>
      <c r="U35" s="3211"/>
      <c r="V35" s="3211">
        <f>I35</f>
        <v>0</v>
      </c>
      <c r="W35" s="3211"/>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07" t="str">
        <f>A37</f>
        <v>估价对象XX用房的比较价值（楼面单价，元/平方米）</v>
      </c>
      <c r="Q37" s="3208"/>
      <c r="R37" s="3209" t="e">
        <f>IF(F1="售价",ROUND(AVERAGE(R36:V36),0),ROUND(AVERAGE(R36:V36),1))</f>
        <v>#DIV/0!</v>
      </c>
      <c r="S37" s="3209"/>
      <c r="T37" s="3209"/>
      <c r="U37" s="3209"/>
      <c r="V37" s="3209"/>
      <c r="W37" s="320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E56" sqref="E5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5.87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9967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2085</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93" t="s">
        <v>2645</v>
      </c>
      <c r="D4" s="3194"/>
      <c r="E4" s="3195" t="s">
        <v>2646</v>
      </c>
      <c r="F4" s="3196"/>
      <c r="G4" s="3193" t="s">
        <v>2647</v>
      </c>
      <c r="H4" s="3194"/>
      <c r="I4" s="3193" t="s">
        <v>2648</v>
      </c>
      <c r="J4" s="3194"/>
      <c r="K4" s="610" t="s">
        <v>2649</v>
      </c>
      <c r="L4" s="1133"/>
      <c r="M4" s="1134"/>
      <c r="N4" s="1134"/>
      <c r="O4" s="1134"/>
      <c r="P4" s="3197" t="s">
        <v>2650</v>
      </c>
      <c r="Q4" s="3198"/>
      <c r="R4" s="3180" t="s">
        <v>2646</v>
      </c>
      <c r="S4" s="3181"/>
      <c r="T4" s="3180" t="s">
        <v>2647</v>
      </c>
      <c r="U4" s="3181"/>
      <c r="V4" s="3205" t="s">
        <v>2648</v>
      </c>
      <c r="W4" s="3205"/>
      <c r="X4" s="1816"/>
      <c r="Y4" s="3180" t="s">
        <v>2650</v>
      </c>
      <c r="Z4" s="3181"/>
      <c r="AA4" s="3175" t="s">
        <v>2646</v>
      </c>
      <c r="AB4" s="3176" t="s">
        <v>2647</v>
      </c>
      <c r="AC4" s="3175" t="s">
        <v>2648</v>
      </c>
    </row>
    <row r="5" spans="1:30" ht="15">
      <c r="A5" s="404"/>
      <c r="B5" s="405"/>
      <c r="C5" s="3238"/>
      <c r="D5" s="3187"/>
      <c r="E5" s="3184" t="s">
        <v>3169</v>
      </c>
      <c r="F5" s="3185"/>
      <c r="G5" s="3238" t="s">
        <v>3171</v>
      </c>
      <c r="H5" s="3187"/>
      <c r="I5" s="3238" t="s">
        <v>3173</v>
      </c>
      <c r="J5" s="3187"/>
      <c r="K5" s="610"/>
      <c r="L5" s="1133"/>
      <c r="M5" s="1134"/>
      <c r="N5" s="1134"/>
      <c r="O5" s="1134"/>
      <c r="P5" s="3199"/>
      <c r="Q5" s="3200"/>
      <c r="R5" s="3182"/>
      <c r="S5" s="3183"/>
      <c r="T5" s="3182"/>
      <c r="U5" s="3183"/>
      <c r="V5" s="3205"/>
      <c r="W5" s="3205"/>
      <c r="X5" s="1816"/>
      <c r="Y5" s="3182"/>
      <c r="Z5" s="3183"/>
      <c r="AA5" s="3176"/>
      <c r="AB5" s="3176"/>
      <c r="AC5" s="3176"/>
    </row>
    <row r="6" spans="1:30" ht="15.75" thickBot="1">
      <c r="A6" s="406"/>
      <c r="B6" s="407"/>
      <c r="C6" s="3188" t="s">
        <v>2545</v>
      </c>
      <c r="D6" s="3189"/>
      <c r="E6" s="3239"/>
      <c r="F6" s="3191"/>
      <c r="G6" s="3188" t="s">
        <v>2545</v>
      </c>
      <c r="H6" s="3189"/>
      <c r="I6" s="3188" t="s">
        <v>2545</v>
      </c>
      <c r="J6" s="3189"/>
      <c r="K6" s="610" t="s">
        <v>2546</v>
      </c>
      <c r="L6" s="1133"/>
      <c r="M6" s="1134"/>
      <c r="N6" s="1134"/>
      <c r="O6" s="1134"/>
      <c r="P6" s="3201"/>
      <c r="Q6" s="3202"/>
      <c r="R6" s="3182"/>
      <c r="S6" s="3183"/>
      <c r="T6" s="3203"/>
      <c r="U6" s="3204"/>
      <c r="V6" s="3205"/>
      <c r="W6" s="3205"/>
      <c r="X6" s="1816"/>
      <c r="Y6" s="3203"/>
      <c r="Z6" s="3204"/>
      <c r="AA6" s="3177"/>
      <c r="AB6" s="3177"/>
      <c r="AC6" s="3177"/>
    </row>
    <row r="7" spans="1:30" s="117" customFormat="1" ht="15.75" thickBot="1">
      <c r="A7" s="408" t="s">
        <v>2547</v>
      </c>
      <c r="B7" s="409"/>
      <c r="C7" s="410">
        <f>'数据-取费表'!B2</f>
        <v>43343</v>
      </c>
      <c r="D7" s="411">
        <v>100</v>
      </c>
      <c r="E7" s="412">
        <v>43217</v>
      </c>
      <c r="F7" s="413">
        <f>SUMIF(70:70,YEAR(E7)&amp;"-"&amp;INT((MONTH(E7)+2)/3),71:71)</f>
        <v>99.5</v>
      </c>
      <c r="G7" s="2701">
        <v>43081</v>
      </c>
      <c r="H7" s="411">
        <f>SUMIF(70:70,YEAR(G7)&amp;"-"&amp;INT((MONTH(G7)+2)/3),71:71)</f>
        <v>98.5</v>
      </c>
      <c r="I7" s="2701">
        <v>42888</v>
      </c>
      <c r="J7" s="411">
        <f>SUMIF(70:70,YEAR(I7)&amp;"-"&amp;INT((MONTH(I7)+2)/3),71:71)</f>
        <v>97.5</v>
      </c>
      <c r="K7" s="611"/>
      <c r="L7" s="1135"/>
      <c r="M7" s="1136"/>
      <c r="N7" s="1136"/>
      <c r="O7" s="1136"/>
      <c r="P7" s="3178" t="s">
        <v>2548</v>
      </c>
      <c r="Q7" s="3206"/>
      <c r="R7" s="770" t="s">
        <v>17</v>
      </c>
      <c r="S7" s="771">
        <f t="shared" ref="S7:S15" si="0">F7</f>
        <v>99.5</v>
      </c>
      <c r="T7" s="770" t="s">
        <v>17</v>
      </c>
      <c r="U7" s="771">
        <f t="shared" ref="U7:U15" si="1">H7</f>
        <v>98.5</v>
      </c>
      <c r="V7" s="770" t="s">
        <v>17</v>
      </c>
      <c r="W7" s="771">
        <f t="shared" ref="W7:W15" si="2">J7</f>
        <v>97.5</v>
      </c>
      <c r="X7" s="772"/>
      <c r="Y7" s="3178" t="s">
        <v>2548</v>
      </c>
      <c r="Z7" s="3179"/>
      <c r="AA7" s="773">
        <f>D7/F7</f>
        <v>1.0050251256281406</v>
      </c>
      <c r="AB7" s="773">
        <f>D7/H7</f>
        <v>1.015228426395939</v>
      </c>
      <c r="AC7" s="773">
        <f>D7/J7</f>
        <v>1.0256410256410255</v>
      </c>
    </row>
    <row r="8" spans="1:30" s="117" customFormat="1" ht="15.75" thickBot="1">
      <c r="A8" s="408" t="s">
        <v>2549</v>
      </c>
      <c r="B8" s="409"/>
      <c r="C8" s="414" t="s">
        <v>2550</v>
      </c>
      <c r="D8" s="411">
        <v>100</v>
      </c>
      <c r="E8" s="414" t="s">
        <v>3154</v>
      </c>
      <c r="F8" s="413">
        <f>SUMIF(73:73,E8,74:74)-SUMIF(73:73,C8,74:74)+100</f>
        <v>100</v>
      </c>
      <c r="G8" s="414" t="s">
        <v>3154</v>
      </c>
      <c r="H8" s="411">
        <f>SUMIF(73:73,G8,74:74)-SUMIF(73:73,C8,74:74)+100</f>
        <v>100</v>
      </c>
      <c r="I8" s="414" t="s">
        <v>3154</v>
      </c>
      <c r="J8" s="411">
        <f>SUMIF(73:73,I8,74:74)-SUMIF(73:73,C8,74:74)+100</f>
        <v>100</v>
      </c>
      <c r="K8" s="611"/>
      <c r="L8" s="1135"/>
      <c r="M8" s="1136"/>
      <c r="N8" s="1136"/>
      <c r="O8" s="1136"/>
      <c r="P8" s="3178" t="s">
        <v>2551</v>
      </c>
      <c r="Q8" s="3179"/>
      <c r="R8" s="770" t="s">
        <v>17</v>
      </c>
      <c r="S8" s="771">
        <f t="shared" si="0"/>
        <v>100</v>
      </c>
      <c r="T8" s="770" t="s">
        <v>17</v>
      </c>
      <c r="U8" s="771">
        <f t="shared" si="1"/>
        <v>100</v>
      </c>
      <c r="V8" s="770" t="s">
        <v>17</v>
      </c>
      <c r="W8" s="771">
        <f t="shared" si="2"/>
        <v>100</v>
      </c>
      <c r="X8" s="772"/>
      <c r="Y8" s="3178" t="s">
        <v>2551</v>
      </c>
      <c r="Z8" s="3179"/>
      <c r="AA8" s="773">
        <f t="shared" ref="AA8:AA45" si="3">D8/F8</f>
        <v>1</v>
      </c>
      <c r="AB8" s="773">
        <f t="shared" ref="AB8:AB45" si="4">D8/H8</f>
        <v>1</v>
      </c>
      <c r="AC8" s="773">
        <f t="shared" ref="AC8:AC45" si="5">D8/J8</f>
        <v>1</v>
      </c>
    </row>
    <row r="9" spans="1:30" s="117" customFormat="1">
      <c r="A9" s="415" t="s">
        <v>2552</v>
      </c>
      <c r="B9" s="71" t="s">
        <v>2553</v>
      </c>
      <c r="C9" s="2704" t="s">
        <v>3084</v>
      </c>
      <c r="D9" s="135">
        <v>100</v>
      </c>
      <c r="E9" s="2704" t="s">
        <v>3084</v>
      </c>
      <c r="F9" s="135">
        <f>SUMIF(75:75,E9,76:76)-SUMIF(75:75,C9,76:76)+100</f>
        <v>100</v>
      </c>
      <c r="G9" s="2704" t="s">
        <v>3084</v>
      </c>
      <c r="H9" s="135">
        <f>SUMIF(75:75,G9,76:76)-SUMIF(75:75,C9,76:76)+100</f>
        <v>100</v>
      </c>
      <c r="I9" s="2704" t="s">
        <v>3084</v>
      </c>
      <c r="J9" s="135">
        <f>SUMIF(75:75,I9,76:76)-SUMIF(75:75,C9,76:76)+100</f>
        <v>100</v>
      </c>
      <c r="K9" s="611"/>
      <c r="L9" s="1135"/>
      <c r="M9" s="1136"/>
      <c r="N9" s="1136"/>
      <c r="O9" s="1137"/>
      <c r="P9" s="3210" t="s">
        <v>2554</v>
      </c>
      <c r="Q9" s="1798"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210"/>
      <c r="Q10" s="1798" t="str">
        <f t="shared" si="6"/>
        <v>土地使用年限（年）</v>
      </c>
      <c r="R10" s="770" t="s">
        <v>17</v>
      </c>
      <c r="S10" s="771">
        <f t="shared" si="0"/>
        <v>107</v>
      </c>
      <c r="T10" s="770" t="s">
        <v>17</v>
      </c>
      <c r="U10" s="771">
        <f t="shared" si="1"/>
        <v>107</v>
      </c>
      <c r="V10" s="770" t="s">
        <v>17</v>
      </c>
      <c r="W10" s="771">
        <f t="shared" si="2"/>
        <v>107</v>
      </c>
      <c r="X10" s="772"/>
      <c r="Y10" s="3025"/>
      <c r="Z10" s="55" t="str">
        <f t="shared" si="7"/>
        <v>土地使用年限（年）</v>
      </c>
      <c r="AA10" s="773">
        <f t="shared" si="3"/>
        <v>0.93457943925233644</v>
      </c>
      <c r="AB10" s="773">
        <f t="shared" si="4"/>
        <v>0.93457943925233644</v>
      </c>
      <c r="AC10" s="773">
        <f t="shared" si="5"/>
        <v>0.93457943925233644</v>
      </c>
    </row>
    <row r="11" spans="1:30" ht="15">
      <c r="A11" s="428"/>
      <c r="B11" s="422" t="s">
        <v>2557</v>
      </c>
      <c r="C11" s="429">
        <v>2.5</v>
      </c>
      <c r="D11" s="136">
        <v>100</v>
      </c>
      <c r="E11" s="429">
        <v>0.8</v>
      </c>
      <c r="F11" s="136">
        <f>LOOKUP(E11,80:80,81:81)-LOOKUP(C11,80:80,81:81)+100</f>
        <v>120</v>
      </c>
      <c r="G11" s="430">
        <v>2.5</v>
      </c>
      <c r="H11" s="136">
        <f>LOOKUP(G11,80:80,81:81)-LOOKUP(C11,80:80,81:81)+100</f>
        <v>100</v>
      </c>
      <c r="I11" s="429">
        <v>1</v>
      </c>
      <c r="J11" s="136">
        <f>LOOKUP(I11,80:80,81:81)-LOOKUP(C11,80:80,81:81)+100</f>
        <v>115</v>
      </c>
      <c r="K11" s="673">
        <v>5</v>
      </c>
      <c r="L11" s="1141"/>
      <c r="M11" s="1134"/>
      <c r="N11" s="1134"/>
      <c r="O11" s="1142"/>
      <c r="P11" s="3210"/>
      <c r="Q11" s="1798" t="str">
        <f t="shared" si="6"/>
        <v>容积率</v>
      </c>
      <c r="R11" s="770" t="s">
        <v>17</v>
      </c>
      <c r="S11" s="771">
        <f t="shared" si="0"/>
        <v>120</v>
      </c>
      <c r="T11" s="770" t="s">
        <v>17</v>
      </c>
      <c r="U11" s="771">
        <f t="shared" si="1"/>
        <v>100</v>
      </c>
      <c r="V11" s="770" t="s">
        <v>17</v>
      </c>
      <c r="W11" s="771">
        <f t="shared" si="2"/>
        <v>115</v>
      </c>
      <c r="X11" s="772"/>
      <c r="Y11" s="3025"/>
      <c r="Z11" s="55" t="str">
        <f t="shared" si="7"/>
        <v>容积率</v>
      </c>
      <c r="AA11" s="773">
        <f t="shared" si="3"/>
        <v>0.83333333333333337</v>
      </c>
      <c r="AB11" s="773">
        <f t="shared" si="4"/>
        <v>1</v>
      </c>
      <c r="AC11" s="773">
        <f t="shared" si="5"/>
        <v>0.86956521739130432</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0"/>
      <c r="Q12" s="1798"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0"/>
      <c r="Q14" s="1798">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99.75">
      <c r="A15" s="440" t="s">
        <v>2558</v>
      </c>
      <c r="B15" s="69" t="s">
        <v>2083</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2" t="s">
        <v>2559</v>
      </c>
      <c r="Q15" s="1813" t="str">
        <f t="shared" si="6"/>
        <v>居住社区成熟度</v>
      </c>
      <c r="R15" s="774" t="s">
        <v>17</v>
      </c>
      <c r="S15" s="775">
        <f t="shared" si="0"/>
        <v>100</v>
      </c>
      <c r="T15" s="774" t="s">
        <v>17</v>
      </c>
      <c r="U15" s="775">
        <f t="shared" si="1"/>
        <v>100</v>
      </c>
      <c r="V15" s="774" t="s">
        <v>17</v>
      </c>
      <c r="W15" s="775">
        <f t="shared" si="2"/>
        <v>100</v>
      </c>
      <c r="X15" s="1816"/>
      <c r="Y15" s="3212" t="s">
        <v>2559</v>
      </c>
      <c r="Z15" s="1817" t="str">
        <f t="shared" si="7"/>
        <v>居住社区成熟度</v>
      </c>
      <c r="AA15" s="1814">
        <f t="shared" si="3"/>
        <v>1</v>
      </c>
      <c r="AB15" s="1814">
        <f t="shared" si="4"/>
        <v>1</v>
      </c>
      <c r="AC15" s="1814">
        <f t="shared" si="5"/>
        <v>1</v>
      </c>
    </row>
    <row r="16" spans="1:30" ht="15">
      <c r="A16" s="428"/>
      <c r="B16" s="446"/>
      <c r="C16" s="447" t="s">
        <v>3155</v>
      </c>
      <c r="D16" s="448"/>
      <c r="E16" s="2610" t="s">
        <v>3155</v>
      </c>
      <c r="F16" s="448"/>
      <c r="G16" s="2610" t="s">
        <v>3155</v>
      </c>
      <c r="H16" s="450"/>
      <c r="I16" s="2609" t="s">
        <v>3155</v>
      </c>
      <c r="J16" s="448"/>
      <c r="K16" s="672"/>
      <c r="L16" s="1143"/>
      <c r="M16" s="1134"/>
      <c r="N16" s="1134"/>
      <c r="O16" s="1142"/>
      <c r="P16" s="3213"/>
      <c r="Q16" s="1813"/>
      <c r="R16" s="774"/>
      <c r="S16" s="775"/>
      <c r="T16" s="774"/>
      <c r="U16" s="775"/>
      <c r="V16" s="774"/>
      <c r="W16" s="775"/>
      <c r="X16" s="1816"/>
      <c r="Y16" s="3213"/>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97</v>
      </c>
      <c r="G17" s="452"/>
      <c r="H17" s="455">
        <f>SUMIF(90:90,G18,91:91)-SUMIF(90:90,C18,91:91)+100</f>
        <v>100</v>
      </c>
      <c r="I17" s="454"/>
      <c r="J17" s="455">
        <f>SUMIF(90:90,I18,91:91)-SUMIF(90:90,C18,91:91)+100</f>
        <v>97</v>
      </c>
      <c r="K17" s="673">
        <v>3</v>
      </c>
      <c r="L17" s="1143"/>
      <c r="M17" s="1134"/>
      <c r="N17" s="1134"/>
      <c r="O17" s="1142"/>
      <c r="P17" s="3213"/>
      <c r="Q17" s="1813" t="str">
        <f>B17</f>
        <v>商业繁华度</v>
      </c>
      <c r="R17" s="774" t="s">
        <v>17</v>
      </c>
      <c r="S17" s="775">
        <f>F17</f>
        <v>97</v>
      </c>
      <c r="T17" s="774" t="s">
        <v>17</v>
      </c>
      <c r="U17" s="775">
        <f>H17</f>
        <v>100</v>
      </c>
      <c r="V17" s="774" t="s">
        <v>17</v>
      </c>
      <c r="W17" s="775">
        <f>J17</f>
        <v>97</v>
      </c>
      <c r="X17" s="1816"/>
      <c r="Y17" s="3213"/>
      <c r="Z17" s="1817" t="str">
        <f>Q17</f>
        <v>商业繁华度</v>
      </c>
      <c r="AA17" s="1814">
        <f t="shared" si="3"/>
        <v>1.0309278350515463</v>
      </c>
      <c r="AB17" s="1814">
        <f t="shared" si="4"/>
        <v>1</v>
      </c>
      <c r="AC17" s="1814">
        <f t="shared" si="5"/>
        <v>1.0309278350515463</v>
      </c>
    </row>
    <row r="18" spans="1:29" ht="15">
      <c r="A18" s="428"/>
      <c r="B18" s="456"/>
      <c r="C18" s="2613" t="s">
        <v>3155</v>
      </c>
      <c r="D18" s="450"/>
      <c r="E18" s="2615" t="s">
        <v>3156</v>
      </c>
      <c r="F18" s="450"/>
      <c r="G18" s="2615" t="s">
        <v>3155</v>
      </c>
      <c r="H18" s="448"/>
      <c r="I18" s="2614" t="s">
        <v>3156</v>
      </c>
      <c r="J18" s="448"/>
      <c r="K18" s="672"/>
      <c r="L18" s="1143"/>
      <c r="M18" s="1134"/>
      <c r="N18" s="1134"/>
      <c r="O18" s="1142"/>
      <c r="P18" s="3213"/>
      <c r="Q18" s="1813"/>
      <c r="R18" s="774"/>
      <c r="S18" s="775"/>
      <c r="T18" s="774"/>
      <c r="U18" s="775"/>
      <c r="V18" s="774"/>
      <c r="W18" s="775"/>
      <c r="X18" s="1816"/>
      <c r="Y18" s="3213"/>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97</v>
      </c>
      <c r="G19" s="457"/>
      <c r="H19" s="450">
        <f>SUMIF(92:92,G20,93:93)-SUMIF(92:92,C20,93:93)+100</f>
        <v>97</v>
      </c>
      <c r="I19" s="459"/>
      <c r="J19" s="450">
        <f>SUMIF(92:92,I20,93:93)-SUMIF(92:92,C20,93:93)+100</f>
        <v>97</v>
      </c>
      <c r="K19" s="673">
        <v>3</v>
      </c>
      <c r="L19" s="1143"/>
      <c r="M19" s="1134"/>
      <c r="N19" s="1134"/>
      <c r="O19" s="1142"/>
      <c r="P19" s="3213"/>
      <c r="Q19" s="1813" t="str">
        <f>B19</f>
        <v>办公集聚程度</v>
      </c>
      <c r="R19" s="774" t="s">
        <v>17</v>
      </c>
      <c r="S19" s="775">
        <f>F19</f>
        <v>97</v>
      </c>
      <c r="T19" s="774" t="s">
        <v>17</v>
      </c>
      <c r="U19" s="775">
        <f>H19</f>
        <v>97</v>
      </c>
      <c r="V19" s="774" t="s">
        <v>17</v>
      </c>
      <c r="W19" s="775">
        <f>J19</f>
        <v>97</v>
      </c>
      <c r="X19" s="1816"/>
      <c r="Y19" s="3213"/>
      <c r="Z19" s="1817" t="str">
        <f>Q19</f>
        <v>办公集聚程度</v>
      </c>
      <c r="AA19" s="1814">
        <f t="shared" si="3"/>
        <v>1.0309278350515463</v>
      </c>
      <c r="AB19" s="1814">
        <f t="shared" si="4"/>
        <v>1.0309278350515463</v>
      </c>
      <c r="AC19" s="1814">
        <f t="shared" si="5"/>
        <v>1.0309278350515463</v>
      </c>
    </row>
    <row r="20" spans="1:29" ht="15">
      <c r="A20" s="428"/>
      <c r="B20" s="456"/>
      <c r="C20" s="447" t="s">
        <v>3155</v>
      </c>
      <c r="D20" s="448"/>
      <c r="E20" s="2610" t="s">
        <v>3156</v>
      </c>
      <c r="F20" s="448"/>
      <c r="G20" s="2610" t="s">
        <v>3156</v>
      </c>
      <c r="H20" s="448"/>
      <c r="I20" s="2609" t="s">
        <v>3156</v>
      </c>
      <c r="J20" s="448"/>
      <c r="K20" s="672"/>
      <c r="L20" s="1143"/>
      <c r="M20" s="1134"/>
      <c r="N20" s="1134"/>
      <c r="O20" s="1142"/>
      <c r="P20" s="3213"/>
      <c r="Q20" s="1813"/>
      <c r="R20" s="774"/>
      <c r="S20" s="775"/>
      <c r="T20" s="774"/>
      <c r="U20" s="775"/>
      <c r="V20" s="774"/>
      <c r="W20" s="775"/>
      <c r="X20" s="1816"/>
      <c r="Y20" s="3213"/>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103</v>
      </c>
      <c r="G21" s="452"/>
      <c r="H21" s="450">
        <f>SUMIF(94:94,G22,95:95)-SUMIF(94:94,C22,95:95)+100</f>
        <v>103</v>
      </c>
      <c r="I21" s="454"/>
      <c r="J21" s="450">
        <f>SUMIF(94:94,I22,95:95)-SUMIF(94:94,C22,95:95)+100</f>
        <v>103</v>
      </c>
      <c r="K21" s="673">
        <v>3</v>
      </c>
      <c r="L21" s="1143"/>
      <c r="M21" s="1134"/>
      <c r="N21" s="1134"/>
      <c r="O21" s="1142"/>
      <c r="P21" s="3213"/>
      <c r="Q21" s="1813" t="str">
        <f>B21</f>
        <v>交通便捷度</v>
      </c>
      <c r="R21" s="774" t="s">
        <v>17</v>
      </c>
      <c r="S21" s="775">
        <f>F21</f>
        <v>103</v>
      </c>
      <c r="T21" s="774" t="s">
        <v>17</v>
      </c>
      <c r="U21" s="775">
        <f>H21</f>
        <v>103</v>
      </c>
      <c r="V21" s="774" t="s">
        <v>17</v>
      </c>
      <c r="W21" s="775">
        <f>J21</f>
        <v>103</v>
      </c>
      <c r="X21" s="1816"/>
      <c r="Y21" s="3213"/>
      <c r="Z21" s="1817" t="str">
        <f>Q21</f>
        <v>交通便捷度</v>
      </c>
      <c r="AA21" s="1814">
        <f t="shared" si="3"/>
        <v>0.970873786407767</v>
      </c>
      <c r="AB21" s="1814">
        <f t="shared" si="4"/>
        <v>0.970873786407767</v>
      </c>
      <c r="AC21" s="1814">
        <f t="shared" si="5"/>
        <v>0.970873786407767</v>
      </c>
    </row>
    <row r="22" spans="1:29" ht="15">
      <c r="A22" s="428"/>
      <c r="B22" s="1387"/>
      <c r="C22" s="447" t="s">
        <v>3156</v>
      </c>
      <c r="D22" s="450"/>
      <c r="E22" s="2610" t="s">
        <v>3155</v>
      </c>
      <c r="F22" s="448"/>
      <c r="G22" s="2610" t="s">
        <v>3155</v>
      </c>
      <c r="H22" s="448"/>
      <c r="I22" s="2609" t="s">
        <v>3155</v>
      </c>
      <c r="J22" s="448"/>
      <c r="K22" s="672"/>
      <c r="L22" s="1143"/>
      <c r="M22" s="1134"/>
      <c r="N22" s="1134"/>
      <c r="O22" s="1142"/>
      <c r="P22" s="3213"/>
      <c r="Q22" s="1813"/>
      <c r="R22" s="774"/>
      <c r="S22" s="775"/>
      <c r="T22" s="774"/>
      <c r="U22" s="775"/>
      <c r="V22" s="774"/>
      <c r="W22" s="775"/>
      <c r="X22" s="1816"/>
      <c r="Y22" s="3213"/>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3"/>
      <c r="Q23" s="1813" t="str">
        <f t="shared" ref="Q23:Q37" si="8">B23</f>
        <v>区域土地利用方向</v>
      </c>
      <c r="R23" s="774" t="s">
        <v>17</v>
      </c>
      <c r="S23" s="775">
        <f>F23</f>
        <v>100</v>
      </c>
      <c r="T23" s="774" t="s">
        <v>17</v>
      </c>
      <c r="U23" s="775">
        <f>H23</f>
        <v>100</v>
      </c>
      <c r="V23" s="774" t="s">
        <v>17</v>
      </c>
      <c r="W23" s="775">
        <f>J23</f>
        <v>100</v>
      </c>
      <c r="X23" s="1816"/>
      <c r="Y23" s="3213"/>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213"/>
      <c r="Q24" s="1813"/>
      <c r="R24" s="774"/>
      <c r="S24" s="775"/>
      <c r="T24" s="774"/>
      <c r="U24" s="775"/>
      <c r="V24" s="774"/>
      <c r="W24" s="775"/>
      <c r="X24" s="1816"/>
      <c r="Y24" s="3213"/>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13"/>
      <c r="Q25" s="1813" t="str">
        <f t="shared" si="8"/>
        <v>自然及人文环境状况</v>
      </c>
      <c r="R25" s="774" t="s">
        <v>17</v>
      </c>
      <c r="S25" s="775">
        <f>F25</f>
        <v>100</v>
      </c>
      <c r="T25" s="774" t="s">
        <v>17</v>
      </c>
      <c r="U25" s="775">
        <f>H25</f>
        <v>100</v>
      </c>
      <c r="V25" s="774" t="s">
        <v>17</v>
      </c>
      <c r="W25" s="775">
        <f>J25</f>
        <v>100</v>
      </c>
      <c r="X25" s="1816"/>
      <c r="Y25" s="3213"/>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213"/>
      <c r="Q26" s="1813"/>
      <c r="R26" s="774"/>
      <c r="S26" s="775"/>
      <c r="T26" s="774"/>
      <c r="U26" s="775"/>
      <c r="V26" s="774"/>
      <c r="W26" s="775"/>
      <c r="X26" s="1816"/>
      <c r="Y26" s="3213"/>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213"/>
      <c r="Q27" s="1798" t="str">
        <f t="shared" si="8"/>
        <v>公共配套设施</v>
      </c>
      <c r="R27" s="770" t="s">
        <v>17</v>
      </c>
      <c r="S27" s="771">
        <f>F27</f>
        <v>100</v>
      </c>
      <c r="T27" s="770" t="s">
        <v>17</v>
      </c>
      <c r="U27" s="771">
        <f>H27</f>
        <v>100</v>
      </c>
      <c r="V27" s="770" t="s">
        <v>17</v>
      </c>
      <c r="W27" s="771">
        <f>J27</f>
        <v>100</v>
      </c>
      <c r="X27" s="772"/>
      <c r="Y27" s="3213"/>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213"/>
      <c r="Q28" s="1798"/>
      <c r="R28" s="770"/>
      <c r="S28" s="771"/>
      <c r="T28" s="770"/>
      <c r="U28" s="771"/>
      <c r="V28" s="770"/>
      <c r="W28" s="771"/>
      <c r="X28" s="772"/>
      <c r="Y28" s="3213"/>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3"/>
      <c r="Q29" s="1798" t="str">
        <f t="shared" ref="Q29" si="9">B29</f>
        <v>基础设施水平</v>
      </c>
      <c r="R29" s="770" t="s">
        <v>17</v>
      </c>
      <c r="S29" s="771">
        <f>F29</f>
        <v>100</v>
      </c>
      <c r="T29" s="770" t="s">
        <v>17</v>
      </c>
      <c r="U29" s="771">
        <f>H29</f>
        <v>100</v>
      </c>
      <c r="V29" s="770" t="s">
        <v>17</v>
      </c>
      <c r="W29" s="771">
        <f>J29</f>
        <v>100</v>
      </c>
      <c r="X29" s="772"/>
      <c r="Y29" s="3213"/>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213"/>
      <c r="Q30" s="1798"/>
      <c r="R30" s="770"/>
      <c r="S30" s="771"/>
      <c r="T30" s="770"/>
      <c r="U30" s="771"/>
      <c r="V30" s="770"/>
      <c r="W30" s="771"/>
      <c r="X30" s="772"/>
      <c r="Y30" s="3213"/>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3"/>
      <c r="Z31" s="1817" t="str">
        <f t="shared" ref="Z31:Z45" si="13">Q31</f>
        <v>临街状况</v>
      </c>
      <c r="AA31" s="1814">
        <f t="shared" si="3"/>
        <v>1</v>
      </c>
      <c r="AB31" s="1814">
        <f t="shared" si="4"/>
        <v>1</v>
      </c>
      <c r="AC31" s="1814">
        <f t="shared" si="5"/>
        <v>1</v>
      </c>
    </row>
    <row r="32" spans="1:29" ht="27">
      <c r="A32" s="428"/>
      <c r="B32" s="1387" t="s">
        <v>2690</v>
      </c>
      <c r="C32" s="454"/>
      <c r="D32" s="450">
        <v>100</v>
      </c>
      <c r="E32" s="2956" t="s">
        <v>3164</v>
      </c>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3"/>
      <c r="Q32" s="1813" t="str">
        <f t="shared" si="8"/>
        <v>毗邻道路的类型与等级</v>
      </c>
      <c r="R32" s="774" t="s">
        <v>17</v>
      </c>
      <c r="S32" s="775">
        <f t="shared" si="10"/>
        <v>100</v>
      </c>
      <c r="T32" s="774" t="s">
        <v>17</v>
      </c>
      <c r="U32" s="775">
        <f t="shared" si="11"/>
        <v>100</v>
      </c>
      <c r="V32" s="774" t="s">
        <v>17</v>
      </c>
      <c r="W32" s="775">
        <f t="shared" si="12"/>
        <v>100</v>
      </c>
      <c r="X32" s="1816"/>
      <c r="Y32" s="3213"/>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213"/>
      <c r="Q33" s="1813"/>
      <c r="R33" s="774"/>
      <c r="S33" s="775"/>
      <c r="T33" s="774"/>
      <c r="U33" s="775"/>
      <c r="V33" s="774"/>
      <c r="W33" s="775"/>
      <c r="X33" s="1816"/>
      <c r="Y33" s="3213"/>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3"/>
      <c r="Q34" s="1813" t="str">
        <f t="shared" si="8"/>
        <v>土地级别</v>
      </c>
      <c r="R34" s="774" t="s">
        <v>17</v>
      </c>
      <c r="S34" s="775">
        <f t="shared" si="10"/>
        <v>100</v>
      </c>
      <c r="T34" s="774" t="s">
        <v>17</v>
      </c>
      <c r="U34" s="775">
        <f t="shared" si="11"/>
        <v>100</v>
      </c>
      <c r="V34" s="774" t="s">
        <v>17</v>
      </c>
      <c r="W34" s="775">
        <f t="shared" si="12"/>
        <v>100</v>
      </c>
      <c r="X34" s="1816"/>
      <c r="Y34" s="321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3"/>
      <c r="Q35" s="1813">
        <f t="shared" si="8"/>
        <v>111</v>
      </c>
      <c r="R35" s="774" t="s">
        <v>17</v>
      </c>
      <c r="S35" s="775">
        <f t="shared" si="10"/>
        <v>100</v>
      </c>
      <c r="T35" s="774" t="s">
        <v>17</v>
      </c>
      <c r="U35" s="775">
        <f t="shared" si="11"/>
        <v>100</v>
      </c>
      <c r="V35" s="774" t="s">
        <v>17</v>
      </c>
      <c r="W35" s="775">
        <f t="shared" si="12"/>
        <v>100</v>
      </c>
      <c r="X35" s="1816"/>
      <c r="Y35" s="321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7" t="s">
        <v>2564</v>
      </c>
      <c r="Q36" s="1813">
        <f t="shared" si="8"/>
        <v>111</v>
      </c>
      <c r="R36" s="774" t="s">
        <v>17</v>
      </c>
      <c r="S36" s="775">
        <f t="shared" si="10"/>
        <v>100</v>
      </c>
      <c r="T36" s="774" t="s">
        <v>17</v>
      </c>
      <c r="U36" s="775">
        <f t="shared" si="11"/>
        <v>100</v>
      </c>
      <c r="V36" s="774" t="s">
        <v>17</v>
      </c>
      <c r="W36" s="775">
        <f t="shared" si="12"/>
        <v>100</v>
      </c>
      <c r="X36" s="1816"/>
      <c r="Y36" s="3217"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7"/>
      <c r="Q37" s="1813">
        <f t="shared" si="8"/>
        <v>111</v>
      </c>
      <c r="R37" s="777" t="s">
        <v>17</v>
      </c>
      <c r="S37" s="778">
        <f t="shared" si="10"/>
        <v>100</v>
      </c>
      <c r="T37" s="777" t="s">
        <v>17</v>
      </c>
      <c r="U37" s="778">
        <f t="shared" si="11"/>
        <v>100</v>
      </c>
      <c r="V37" s="777" t="s">
        <v>17</v>
      </c>
      <c r="W37" s="778">
        <f t="shared" si="12"/>
        <v>100</v>
      </c>
      <c r="X37" s="779"/>
      <c r="Y37" s="3217"/>
      <c r="Z37" s="780">
        <f t="shared" si="13"/>
        <v>111</v>
      </c>
      <c r="AA37" s="1814">
        <f t="shared" si="3"/>
        <v>1</v>
      </c>
      <c r="AB37" s="1814">
        <f t="shared" si="4"/>
        <v>1</v>
      </c>
      <c r="AC37" s="1814">
        <f t="shared" si="5"/>
        <v>1</v>
      </c>
    </row>
    <row r="38" spans="1:29" ht="15">
      <c r="A38" s="472" t="s">
        <v>2562</v>
      </c>
      <c r="B38" s="456" t="s">
        <v>2750</v>
      </c>
      <c r="C38" s="679">
        <v>11433</v>
      </c>
      <c r="D38" s="467">
        <v>100</v>
      </c>
      <c r="E38" s="679">
        <v>99349.7</v>
      </c>
      <c r="F38" s="467">
        <f>LOOKUP(E38,117:117,118:118)-LOOKUP(C38,117:117,118:118)+100</f>
        <v>94</v>
      </c>
      <c r="G38" s="679">
        <v>7728.5</v>
      </c>
      <c r="H38" s="467">
        <f>LOOKUP(G38,117:117,118:118)-LOOKUP(C38,117:117,118:118)+100</f>
        <v>102</v>
      </c>
      <c r="I38" s="530">
        <v>97172.1</v>
      </c>
      <c r="J38" s="467">
        <f>LOOKUP(I38,117:117,118:118)-LOOKUP(C38,117:117,118:118)+100</f>
        <v>94</v>
      </c>
      <c r="K38" s="613"/>
      <c r="L38" s="1143"/>
      <c r="M38" s="1134"/>
      <c r="N38" s="1134"/>
      <c r="O38" s="1142"/>
      <c r="P38" s="3217"/>
      <c r="Q38" s="1813" t="str">
        <f>B38</f>
        <v>宗地面积</v>
      </c>
      <c r="R38" s="774" t="s">
        <v>17</v>
      </c>
      <c r="S38" s="775">
        <f t="shared" si="10"/>
        <v>94</v>
      </c>
      <c r="T38" s="774" t="s">
        <v>17</v>
      </c>
      <c r="U38" s="775">
        <f t="shared" si="11"/>
        <v>102</v>
      </c>
      <c r="V38" s="774" t="s">
        <v>17</v>
      </c>
      <c r="W38" s="775">
        <f t="shared" si="12"/>
        <v>94</v>
      </c>
      <c r="X38" s="1816"/>
      <c r="Y38" s="3217"/>
      <c r="Z38" s="1817" t="str">
        <f t="shared" si="13"/>
        <v>宗地面积</v>
      </c>
      <c r="AA38" s="1814">
        <f t="shared" si="3"/>
        <v>1.0638297872340425</v>
      </c>
      <c r="AB38" s="1814">
        <f t="shared" si="4"/>
        <v>0.98039215686274506</v>
      </c>
      <c r="AC38" s="1814">
        <f t="shared" si="5"/>
        <v>1.0638297872340425</v>
      </c>
    </row>
    <row r="39" spans="1:29" ht="15">
      <c r="A39" s="472"/>
      <c r="B39" s="422" t="s">
        <v>2751</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17"/>
      <c r="Q39" s="1813" t="str">
        <f t="shared" ref="Q39:Q45" si="14">B39</f>
        <v>宗地形状</v>
      </c>
      <c r="R39" s="774" t="s">
        <v>17</v>
      </c>
      <c r="S39" s="775">
        <f t="shared" si="10"/>
        <v>100</v>
      </c>
      <c r="T39" s="774" t="s">
        <v>17</v>
      </c>
      <c r="U39" s="775">
        <f t="shared" si="11"/>
        <v>100</v>
      </c>
      <c r="V39" s="774" t="s">
        <v>17</v>
      </c>
      <c r="W39" s="775">
        <f t="shared" si="12"/>
        <v>100</v>
      </c>
      <c r="X39" s="1816"/>
      <c r="Y39" s="3217"/>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17"/>
      <c r="Q40" s="1813" t="str">
        <f t="shared" si="14"/>
        <v>临街宽度及深度</v>
      </c>
      <c r="R40" s="774" t="s">
        <v>17</v>
      </c>
      <c r="S40" s="775">
        <f t="shared" si="10"/>
        <v>100</v>
      </c>
      <c r="T40" s="774" t="s">
        <v>17</v>
      </c>
      <c r="U40" s="775">
        <f t="shared" si="11"/>
        <v>100</v>
      </c>
      <c r="V40" s="774" t="s">
        <v>17</v>
      </c>
      <c r="W40" s="775">
        <f t="shared" si="12"/>
        <v>100</v>
      </c>
      <c r="X40" s="1816"/>
      <c r="Y40" s="3217"/>
      <c r="Z40" s="1817" t="str">
        <f t="shared" si="13"/>
        <v>临街宽度及深度</v>
      </c>
      <c r="AA40" s="1814">
        <f t="shared" si="3"/>
        <v>1</v>
      </c>
      <c r="AB40" s="1814">
        <f t="shared" si="4"/>
        <v>1</v>
      </c>
      <c r="AC40" s="1814">
        <f t="shared" si="5"/>
        <v>1</v>
      </c>
    </row>
    <row r="41" spans="1:29" s="117" customFormat="1" ht="15">
      <c r="A41" s="473"/>
      <c r="B41" s="422" t="s">
        <v>2753</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17"/>
      <c r="Q41" s="1813"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17" t="s">
        <v>2564</v>
      </c>
      <c r="Q42" s="1813" t="str">
        <f t="shared" si="14"/>
        <v>工程地质条件</v>
      </c>
      <c r="R42" s="774" t="s">
        <v>17</v>
      </c>
      <c r="S42" s="775">
        <f t="shared" si="10"/>
        <v>100</v>
      </c>
      <c r="T42" s="774" t="s">
        <v>17</v>
      </c>
      <c r="U42" s="775">
        <f t="shared" si="11"/>
        <v>100</v>
      </c>
      <c r="V42" s="774" t="s">
        <v>17</v>
      </c>
      <c r="W42" s="775">
        <f t="shared" si="12"/>
        <v>100</v>
      </c>
      <c r="X42" s="1816"/>
      <c r="Y42" s="3217"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7"/>
      <c r="Q43" s="1813">
        <f t="shared" si="14"/>
        <v>111</v>
      </c>
      <c r="R43" s="774" t="s">
        <v>17</v>
      </c>
      <c r="S43" s="775">
        <f t="shared" si="10"/>
        <v>100</v>
      </c>
      <c r="T43" s="774" t="s">
        <v>17</v>
      </c>
      <c r="U43" s="775">
        <f t="shared" si="11"/>
        <v>100</v>
      </c>
      <c r="V43" s="774" t="s">
        <v>17</v>
      </c>
      <c r="W43" s="775">
        <f t="shared" si="12"/>
        <v>100</v>
      </c>
      <c r="X43" s="1816"/>
      <c r="Y43" s="321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7"/>
      <c r="Q44" s="1813">
        <f t="shared" si="14"/>
        <v>111</v>
      </c>
      <c r="R44" s="774" t="s">
        <v>17</v>
      </c>
      <c r="S44" s="775">
        <f t="shared" si="10"/>
        <v>100</v>
      </c>
      <c r="T44" s="774" t="s">
        <v>17</v>
      </c>
      <c r="U44" s="775">
        <f t="shared" si="11"/>
        <v>100</v>
      </c>
      <c r="V44" s="774" t="s">
        <v>17</v>
      </c>
      <c r="W44" s="775">
        <f t="shared" si="12"/>
        <v>100</v>
      </c>
      <c r="X44" s="1816"/>
      <c r="Y44" s="3217"/>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7"/>
      <c r="Q45" s="1813">
        <f t="shared" si="14"/>
        <v>111</v>
      </c>
      <c r="R45" s="777" t="s">
        <v>17</v>
      </c>
      <c r="S45" s="778">
        <f t="shared" si="10"/>
        <v>100</v>
      </c>
      <c r="T45" s="777" t="s">
        <v>17</v>
      </c>
      <c r="U45" s="778">
        <f t="shared" si="11"/>
        <v>100</v>
      </c>
      <c r="V45" s="777" t="s">
        <v>17</v>
      </c>
      <c r="W45" s="778">
        <f t="shared" si="12"/>
        <v>100</v>
      </c>
      <c r="X45" s="779"/>
      <c r="Y45" s="3217"/>
      <c r="Z45" s="780">
        <f t="shared" si="13"/>
        <v>111</v>
      </c>
      <c r="AA45" s="1814">
        <f t="shared" si="3"/>
        <v>1</v>
      </c>
      <c r="AB45" s="1814">
        <f t="shared" si="4"/>
        <v>1</v>
      </c>
      <c r="AC45" s="1814">
        <f t="shared" si="5"/>
        <v>1</v>
      </c>
    </row>
    <row r="46" spans="1:29" ht="15">
      <c r="A46" s="479" t="s">
        <v>2719</v>
      </c>
      <c r="B46" s="2709" t="s">
        <v>2755</v>
      </c>
      <c r="C46" s="682" t="s">
        <v>1</v>
      </c>
      <c r="D46" s="481"/>
      <c r="E46" s="482">
        <v>3800</v>
      </c>
      <c r="F46" s="483"/>
      <c r="G46" s="484">
        <v>3700</v>
      </c>
      <c r="H46" s="485"/>
      <c r="I46" s="482">
        <v>4100</v>
      </c>
      <c r="J46" s="485"/>
      <c r="K46" s="783"/>
      <c r="L46" s="1146"/>
      <c r="M46" s="1147"/>
      <c r="N46" s="1134"/>
      <c r="O46" s="1147"/>
      <c r="P46" s="3210" t="str">
        <f>A46</f>
        <v>成交单价</v>
      </c>
      <c r="Q46" s="3210"/>
      <c r="R46" s="3205">
        <f>E46</f>
        <v>3800</v>
      </c>
      <c r="S46" s="3205"/>
      <c r="T46" s="3205">
        <f>G46</f>
        <v>3700</v>
      </c>
      <c r="U46" s="3205"/>
      <c r="V46" s="3205">
        <f>I46</f>
        <v>4100</v>
      </c>
      <c r="W46" s="3205"/>
      <c r="X46" s="759"/>
      <c r="Y46" s="781"/>
      <c r="Z46" s="759"/>
      <c r="AA46" s="759"/>
      <c r="AB46" s="759"/>
      <c r="AC46" s="759"/>
    </row>
    <row r="47" spans="1:29" ht="15.75" thickBot="1">
      <c r="A47" s="486" t="s">
        <v>2668</v>
      </c>
      <c r="B47" s="683"/>
      <c r="C47" s="490">
        <f>R48</f>
        <v>3487</v>
      </c>
      <c r="D47" s="489"/>
      <c r="E47" s="490">
        <f>R47</f>
        <v>3265</v>
      </c>
      <c r="F47" s="491"/>
      <c r="G47" s="488">
        <f>T47</f>
        <v>3445</v>
      </c>
      <c r="H47" s="489"/>
      <c r="I47" s="490">
        <f>V47</f>
        <v>3751</v>
      </c>
      <c r="J47" s="489"/>
      <c r="K47" s="784"/>
      <c r="L47" s="1146"/>
      <c r="M47" s="1147"/>
      <c r="N47" s="1147"/>
      <c r="O47" s="1147"/>
      <c r="P47" s="3210" t="str">
        <f>A47</f>
        <v>比较价值（元/平方米）</v>
      </c>
      <c r="Q47" s="3210"/>
      <c r="R47" s="3240">
        <f>ROUND(PRODUCT(R46,AA7:AA45),0)</f>
        <v>3265</v>
      </c>
      <c r="S47" s="3240"/>
      <c r="T47" s="3240">
        <f>ROUND(PRODUCT(T46,AB7:AB45),0)</f>
        <v>3445</v>
      </c>
      <c r="U47" s="3240"/>
      <c r="V47" s="3240">
        <f>ROUND(PRODUCT(V46,AC7:AC45),0)</f>
        <v>3751</v>
      </c>
      <c r="W47" s="3240"/>
      <c r="X47" s="759"/>
      <c r="Y47" s="759"/>
      <c r="Z47" s="759"/>
      <c r="AA47" s="759"/>
      <c r="AB47" s="759"/>
      <c r="AC47" s="759"/>
    </row>
    <row r="48" spans="1:29" ht="15.75" thickBot="1">
      <c r="A48" s="492" t="s">
        <v>2756</v>
      </c>
      <c r="B48" s="493"/>
      <c r="C48" s="494">
        <f>R48</f>
        <v>3487</v>
      </c>
      <c r="D48" s="494"/>
      <c r="E48" s="494"/>
      <c r="F48" s="494"/>
      <c r="G48" s="494"/>
      <c r="H48" s="494"/>
      <c r="I48" s="494"/>
      <c r="J48" s="494"/>
      <c r="K48" s="785"/>
      <c r="L48" s="1146"/>
      <c r="M48" s="1147"/>
      <c r="N48" s="1147"/>
      <c r="O48" s="1147"/>
      <c r="P48" s="3207" t="str">
        <f>A48</f>
        <v>估价对象XX用房的比较价值（楼面单价，元/平方米）</v>
      </c>
      <c r="Q48" s="3208"/>
      <c r="R48" s="3241">
        <f>ROUND(AVERAGE(R47:V47),0)</f>
        <v>3487</v>
      </c>
      <c r="S48" s="3241"/>
      <c r="T48" s="3241"/>
      <c r="U48" s="3241"/>
      <c r="V48" s="3241"/>
      <c r="W48" s="324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0.16385911179173052</v>
      </c>
      <c r="F51" s="500" t="str">
        <f>IF(OR(E51&gt;=0.3,E51&lt;=-0.3),"超过30%","")</f>
        <v/>
      </c>
      <c r="G51" s="499">
        <f>IF(G46&lt;G47,G47/G46-1,G46/G47-1)</f>
        <v>7.4020319303338189E-2</v>
      </c>
      <c r="H51" s="500" t="str">
        <f>IF(OR(G51&gt;=0.3,G51&lt;=-0.3),"超过30%","")</f>
        <v/>
      </c>
      <c r="I51" s="499">
        <f>IF(I46&lt;I47,I47/I46-1,I46/I47-1)</f>
        <v>9.3041855505198612E-2</v>
      </c>
      <c r="J51" s="500" t="str">
        <f>IF(OR(I51&gt;=0.3,I51&lt;=-0.3),"超过30%","")</f>
        <v/>
      </c>
      <c r="K51" s="1108"/>
      <c r="L51" s="1109"/>
      <c r="M51" s="1147"/>
      <c r="N51" s="1147"/>
      <c r="O51" s="1147"/>
    </row>
    <row r="52" spans="1:15" ht="13.5" customHeight="1">
      <c r="A52" s="1147"/>
      <c r="B52" s="1147"/>
      <c r="C52" s="497" t="s">
        <v>2671</v>
      </c>
      <c r="D52" s="501"/>
      <c r="E52" s="499">
        <f>IF(E47&lt;G47,G47/E47-1,E47/G47-1)</f>
        <v>5.513016845329255E-2</v>
      </c>
      <c r="F52" s="500" t="str">
        <f>IF(OR(E52&gt;=0.2,E52&lt;=-0.2),"超过20%","")</f>
        <v/>
      </c>
      <c r="G52" s="499">
        <f>IF(G47&lt;I47,I47/G47-1,G47/I47-1)</f>
        <v>8.8824383164005871E-2</v>
      </c>
      <c r="H52" s="500" t="str">
        <f>IF(OR(G52&gt;=0.2,G52&lt;=-0.2),"超过20%","")</f>
        <v/>
      </c>
      <c r="I52" s="499">
        <f>IF(I47&lt;E47,E47/I47-1,I47/E47-1)</f>
        <v>0.14885145482388973</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2.7027027027026973E-2</v>
      </c>
      <c r="F53" s="500" t="str">
        <f>IF(OR(E53&gt;=0.3,E53&lt;=-0.3),"超过30%","")</f>
        <v/>
      </c>
      <c r="G53" s="499">
        <f>IF(G46&lt;I46,I46/G46-1,G46/I46-1)</f>
        <v>0.10810810810810811</v>
      </c>
      <c r="H53" s="500" t="str">
        <f>IF(OR(G53&gt;=0.3,G53&lt;=-0.3),"超过30%","")</f>
        <v/>
      </c>
      <c r="I53" s="499">
        <f>IF(I46&lt;E46,E46/I46-1,I46/E46-1)</f>
        <v>7.8947368421052655E-2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10" t="s">
        <v>2759</v>
      </c>
      <c r="D55" s="2711" t="s">
        <v>2760</v>
      </c>
      <c r="E55" s="686" t="s">
        <v>2761</v>
      </c>
      <c r="F55" s="1110" t="s">
        <v>2762</v>
      </c>
      <c r="G55" s="3193" t="s">
        <v>2763</v>
      </c>
      <c r="H55" s="3242"/>
      <c r="I55" s="144" t="s">
        <v>2764</v>
      </c>
      <c r="J55" s="2712">
        <f>项目基本情况!F35</f>
        <v>0</v>
      </c>
      <c r="K55" s="2713" t="s">
        <v>2765</v>
      </c>
      <c r="L55" s="1109"/>
      <c r="M55" s="1147"/>
      <c r="N55" s="1147"/>
      <c r="O55" s="1147"/>
    </row>
    <row r="56" spans="1:15" s="692" customFormat="1">
      <c r="A56" s="688" t="s">
        <v>2766</v>
      </c>
      <c r="B56" s="689">
        <f>C48</f>
        <v>3487</v>
      </c>
      <c r="C56" s="690">
        <v>1</v>
      </c>
      <c r="D56" s="1166">
        <v>1</v>
      </c>
      <c r="E56" s="690">
        <f>'数据-汇总表'!E8+'数据-汇总表'!E9</f>
        <v>28584</v>
      </c>
      <c r="F56" s="1106">
        <f t="shared" ref="F56:F65" si="15">ROUND(B56*E56/10000,0)</f>
        <v>9967</v>
      </c>
      <c r="G56" s="3192"/>
      <c r="H56" s="3210"/>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v>19220</v>
      </c>
      <c r="F57" s="1106">
        <f t="shared" si="15"/>
        <v>0</v>
      </c>
      <c r="G57" s="3243"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243"/>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243"/>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243"/>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14"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0</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14"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15"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47804</v>
      </c>
      <c r="F66" s="697">
        <f>IF(B46="楼面地价",SUM(F56:F65),ROUND(C48*E66/10000,0))</f>
        <v>9967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2781</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2782</v>
      </c>
      <c r="B71" s="332" t="str">
        <f>"北京市平均增长率"&amp;TEXT(SUMIF(基准地价修正!N21:N25,A71,基准地价修正!P21:P25),"0.00%")</f>
        <v>北京市平均增长率2.45%</v>
      </c>
      <c r="C71" s="603">
        <v>100</v>
      </c>
      <c r="D71" s="595">
        <v>99.5</v>
      </c>
      <c r="E71" s="595">
        <v>99</v>
      </c>
      <c r="F71" s="2957">
        <v>98.5</v>
      </c>
      <c r="G71" s="595">
        <v>98</v>
      </c>
      <c r="H71" s="595">
        <v>97.5</v>
      </c>
      <c r="I71" s="2957">
        <v>97</v>
      </c>
      <c r="J71" s="595">
        <v>96.5</v>
      </c>
      <c r="K71" s="595">
        <v>96</v>
      </c>
      <c r="L71" s="2957">
        <v>95.5</v>
      </c>
      <c r="M71" s="595">
        <v>95</v>
      </c>
      <c r="N71" s="595">
        <v>94.5</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53" t="s">
        <v>3153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1（含）-1.5</v>
      </c>
      <c r="E79" s="547" t="str">
        <f t="shared" si="20"/>
        <v>1.5（含）-2</v>
      </c>
      <c r="F79" s="547" t="str">
        <f t="shared" si="20"/>
        <v>2（含）-2.5</v>
      </c>
      <c r="G79" s="547" t="str">
        <f t="shared" si="20"/>
        <v>2.5（含）-3</v>
      </c>
      <c r="H79" s="547" t="str">
        <f t="shared" si="20"/>
        <v>3（含）-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1.5</v>
      </c>
      <c r="F80" s="549">
        <v>2</v>
      </c>
      <c r="G80" s="549">
        <v>2.5</v>
      </c>
      <c r="H80" s="549">
        <v>3</v>
      </c>
      <c r="I80" s="549"/>
      <c r="J80" s="549"/>
      <c r="K80" s="550"/>
      <c r="L80" s="551"/>
      <c r="M80" s="552"/>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55" t="s">
        <v>3159</v>
      </c>
      <c r="D106" s="2955" t="s">
        <v>3160</v>
      </c>
      <c r="E106" s="2955" t="s">
        <v>3161</v>
      </c>
      <c r="F106" s="2955" t="s">
        <v>3162</v>
      </c>
      <c r="G106" s="2955" t="s">
        <v>3163</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2790</v>
      </c>
      <c r="C116" s="529" t="str">
        <f>C117&amp;"(含)"&amp;"-"&amp;D117</f>
        <v>0(含)-5000</v>
      </c>
      <c r="D116" s="529" t="str">
        <f t="shared" ref="D116:M116" si="25">D117&amp;"(含)"&amp;"-"&amp;E117</f>
        <v>5000(含)-10000</v>
      </c>
      <c r="E116" s="529" t="str">
        <f t="shared" si="25"/>
        <v>10000(含)-20000</v>
      </c>
      <c r="F116" s="529" t="str">
        <f t="shared" si="25"/>
        <v>20000(含)-50000</v>
      </c>
      <c r="G116" s="529" t="str">
        <f t="shared" si="25"/>
        <v>50000(含)-80000</v>
      </c>
      <c r="H116" s="529" t="str">
        <f t="shared" si="25"/>
        <v>80000(含)-100000</v>
      </c>
      <c r="I116" s="529" t="str">
        <f t="shared" si="25"/>
        <v>100000(含)-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v>
      </c>
      <c r="E117" s="595">
        <v>10000</v>
      </c>
      <c r="F117" s="595">
        <v>20000</v>
      </c>
      <c r="G117" s="595">
        <v>50000</v>
      </c>
      <c r="H117" s="595">
        <v>80000</v>
      </c>
      <c r="I117" s="595">
        <v>100000</v>
      </c>
      <c r="J117" s="596"/>
      <c r="K117" s="596"/>
      <c r="L117" s="597"/>
      <c r="M117" s="598"/>
      <c r="N117" s="1155"/>
      <c r="O117" s="1155"/>
      <c r="P117" s="45"/>
      <c r="Q117" s="504"/>
    </row>
    <row r="118" spans="1:17" ht="15.75" thickBot="1">
      <c r="A118" s="534"/>
      <c r="B118" s="543"/>
      <c r="C118" s="570">
        <v>100</v>
      </c>
      <c r="D118" s="591">
        <v>98</v>
      </c>
      <c r="E118" s="591">
        <v>96</v>
      </c>
      <c r="F118" s="570">
        <v>94</v>
      </c>
      <c r="G118" s="591">
        <v>92</v>
      </c>
      <c r="H118" s="591">
        <v>90</v>
      </c>
      <c r="I118" s="570">
        <v>88</v>
      </c>
      <c r="J118" s="591"/>
      <c r="K118" s="591"/>
      <c r="L118" s="591"/>
      <c r="M118" s="592"/>
      <c r="N118" s="1156"/>
      <c r="O118" s="1156"/>
      <c r="P118" s="45"/>
      <c r="Q118" s="504"/>
    </row>
    <row r="119" spans="1:17" ht="15" thickTop="1">
      <c r="A119" s="599"/>
      <c r="B119" s="538" t="s">
        <v>2791</v>
      </c>
      <c r="C119" s="2954" t="s">
        <v>3157</v>
      </c>
      <c r="D119" s="2954" t="s">
        <v>3158</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48" sqref="M4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3" t="s">
        <v>2645</v>
      </c>
      <c r="D4" s="3194"/>
      <c r="E4" s="3195" t="s">
        <v>2646</v>
      </c>
      <c r="F4" s="3196"/>
      <c r="G4" s="3193" t="s">
        <v>2647</v>
      </c>
      <c r="H4" s="3194"/>
      <c r="I4" s="3193" t="s">
        <v>2648</v>
      </c>
      <c r="J4" s="3194"/>
      <c r="K4" s="610" t="s">
        <v>2649</v>
      </c>
      <c r="L4" s="1133"/>
      <c r="M4" s="1134"/>
      <c r="N4" s="1134"/>
      <c r="O4" s="1134"/>
      <c r="P4" s="3197" t="s">
        <v>2650</v>
      </c>
      <c r="Q4" s="3198"/>
      <c r="R4" s="3180" t="s">
        <v>2646</v>
      </c>
      <c r="S4" s="3181"/>
      <c r="T4" s="3180" t="s">
        <v>2647</v>
      </c>
      <c r="U4" s="3181"/>
      <c r="V4" s="3205" t="s">
        <v>2648</v>
      </c>
      <c r="W4" s="3205"/>
      <c r="X4" s="1816"/>
      <c r="Y4" s="3180" t="s">
        <v>2650</v>
      </c>
      <c r="Z4" s="3181"/>
      <c r="AA4" s="3175" t="s">
        <v>2646</v>
      </c>
      <c r="AB4" s="3176" t="s">
        <v>2647</v>
      </c>
      <c r="AC4" s="3175" t="s">
        <v>2648</v>
      </c>
    </row>
    <row r="5" spans="1:29" ht="15">
      <c r="A5" s="404"/>
      <c r="B5" s="405"/>
      <c r="C5" s="3186" t="s">
        <v>2541</v>
      </c>
      <c r="D5" s="3187"/>
      <c r="E5" s="3221" t="s">
        <v>2542</v>
      </c>
      <c r="F5" s="3185"/>
      <c r="G5" s="3186" t="s">
        <v>2543</v>
      </c>
      <c r="H5" s="3187"/>
      <c r="I5" s="3186" t="s">
        <v>2544</v>
      </c>
      <c r="J5" s="3187"/>
      <c r="K5" s="610"/>
      <c r="L5" s="1133"/>
      <c r="M5" s="1134"/>
      <c r="N5" s="1134"/>
      <c r="O5" s="1134"/>
      <c r="P5" s="3199"/>
      <c r="Q5" s="3200"/>
      <c r="R5" s="3182"/>
      <c r="S5" s="3183"/>
      <c r="T5" s="3182"/>
      <c r="U5" s="3183"/>
      <c r="V5" s="3205"/>
      <c r="W5" s="3205"/>
      <c r="X5" s="1816"/>
      <c r="Y5" s="3182"/>
      <c r="Z5" s="3183"/>
      <c r="AA5" s="3176"/>
      <c r="AB5" s="3176"/>
      <c r="AC5" s="3176"/>
    </row>
    <row r="6" spans="1:29" ht="15.75" thickBot="1">
      <c r="A6" s="406"/>
      <c r="B6" s="407"/>
      <c r="C6" s="3244" t="s">
        <v>2796</v>
      </c>
      <c r="D6" s="3245"/>
      <c r="E6" s="3246" t="s">
        <v>2796</v>
      </c>
      <c r="F6" s="3247"/>
      <c r="G6" s="3244" t="s">
        <v>2796</v>
      </c>
      <c r="H6" s="3245"/>
      <c r="I6" s="3244" t="s">
        <v>2796</v>
      </c>
      <c r="J6" s="3245"/>
      <c r="K6" s="610" t="s">
        <v>2546</v>
      </c>
      <c r="L6" s="1133"/>
      <c r="M6" s="1134"/>
      <c r="N6" s="1134"/>
      <c r="O6" s="1134"/>
      <c r="P6" s="3201"/>
      <c r="Q6" s="3202"/>
      <c r="R6" s="3182"/>
      <c r="S6" s="3183"/>
      <c r="T6" s="3203"/>
      <c r="U6" s="3204"/>
      <c r="V6" s="3205"/>
      <c r="W6" s="3205"/>
      <c r="X6" s="1816"/>
      <c r="Y6" s="3203"/>
      <c r="Z6" s="3204"/>
      <c r="AA6" s="3177"/>
      <c r="AB6" s="3177"/>
      <c r="AC6" s="3177"/>
    </row>
    <row r="7" spans="1:29" s="117" customFormat="1" ht="15.75" thickBot="1">
      <c r="A7" s="408" t="s">
        <v>2547</v>
      </c>
      <c r="B7" s="409"/>
      <c r="C7" s="410">
        <f>'数据-取费表'!B2</f>
        <v>43343</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78" t="s">
        <v>2548</v>
      </c>
      <c r="Q7" s="3206"/>
      <c r="R7" s="770" t="s">
        <v>17</v>
      </c>
      <c r="S7" s="771">
        <f t="shared" ref="S7:S15" si="0">F7</f>
        <v>0</v>
      </c>
      <c r="T7" s="770" t="s">
        <v>17</v>
      </c>
      <c r="U7" s="771">
        <f t="shared" ref="U7:U15" si="1">H7</f>
        <v>0</v>
      </c>
      <c r="V7" s="770" t="s">
        <v>17</v>
      </c>
      <c r="W7" s="771">
        <f t="shared" ref="W7:W15" si="2">J7</f>
        <v>0</v>
      </c>
      <c r="X7" s="772"/>
      <c r="Y7" s="3178" t="s">
        <v>2548</v>
      </c>
      <c r="Z7" s="3179"/>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8" t="s">
        <v>2551</v>
      </c>
      <c r="Q8" s="3179"/>
      <c r="R8" s="770" t="s">
        <v>17</v>
      </c>
      <c r="S8" s="771">
        <f t="shared" si="0"/>
        <v>0</v>
      </c>
      <c r="T8" s="770" t="s">
        <v>17</v>
      </c>
      <c r="U8" s="771">
        <f t="shared" si="1"/>
        <v>0</v>
      </c>
      <c r="V8" s="770" t="s">
        <v>17</v>
      </c>
      <c r="W8" s="771">
        <f t="shared" si="2"/>
        <v>0</v>
      </c>
      <c r="X8" s="772"/>
      <c r="Y8" s="3178" t="s">
        <v>2551</v>
      </c>
      <c r="Z8" s="3179"/>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10" t="s">
        <v>2554</v>
      </c>
      <c r="Q9" s="1798" t="str">
        <f t="shared" ref="Q9:Q15" si="6">B9</f>
        <v>用途</v>
      </c>
      <c r="R9" s="770" t="s">
        <v>17</v>
      </c>
      <c r="S9" s="771">
        <f t="shared" si="0"/>
        <v>100</v>
      </c>
      <c r="T9" s="770" t="s">
        <v>17</v>
      </c>
      <c r="U9" s="771">
        <f t="shared" si="1"/>
        <v>100</v>
      </c>
      <c r="V9" s="770" t="s">
        <v>17</v>
      </c>
      <c r="W9" s="771">
        <f t="shared" si="2"/>
        <v>100</v>
      </c>
      <c r="X9" s="772"/>
      <c r="Y9" s="3025"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210"/>
      <c r="Q10" s="1798" t="str">
        <f t="shared" si="6"/>
        <v>土地使用年限（年）</v>
      </c>
      <c r="R10" s="770" t="s">
        <v>17</v>
      </c>
      <c r="S10" s="771">
        <f t="shared" si="0"/>
        <v>107</v>
      </c>
      <c r="T10" s="770" t="s">
        <v>17</v>
      </c>
      <c r="U10" s="771">
        <f t="shared" si="1"/>
        <v>107</v>
      </c>
      <c r="V10" s="770" t="s">
        <v>17</v>
      </c>
      <c r="W10" s="771">
        <f t="shared" si="2"/>
        <v>107</v>
      </c>
      <c r="X10" s="772"/>
      <c r="Y10" s="3025"/>
      <c r="Z10" s="55" t="str">
        <f t="shared" si="7"/>
        <v>土地使用年限（年）</v>
      </c>
      <c r="AA10" s="773">
        <f t="shared" si="3"/>
        <v>0.93457943925233644</v>
      </c>
      <c r="AB10" s="773">
        <f t="shared" si="4"/>
        <v>0.93457943925233644</v>
      </c>
      <c r="AC10" s="773">
        <f t="shared" si="5"/>
        <v>0.93457943925233644</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0"/>
      <c r="Q11" s="1798"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0"/>
      <c r="Q12" s="1798">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0"/>
      <c r="Q13" s="1798">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0"/>
      <c r="Q14" s="1798">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57">
      <c r="A15" s="440" t="s">
        <v>2558</v>
      </c>
      <c r="B15" s="629" t="s">
        <v>2797</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2" t="s">
        <v>2559</v>
      </c>
      <c r="Q15" s="1813" t="str">
        <f t="shared" si="6"/>
        <v>产业集聚程度</v>
      </c>
      <c r="R15" s="774" t="s">
        <v>17</v>
      </c>
      <c r="S15" s="775">
        <f t="shared" si="0"/>
        <v>100</v>
      </c>
      <c r="T15" s="774" t="s">
        <v>17</v>
      </c>
      <c r="U15" s="775">
        <f t="shared" si="1"/>
        <v>100</v>
      </c>
      <c r="V15" s="774" t="s">
        <v>17</v>
      </c>
      <c r="W15" s="775">
        <f t="shared" si="2"/>
        <v>100</v>
      </c>
      <c r="X15" s="1816"/>
      <c r="Y15" s="3212"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13"/>
      <c r="Q16" s="1813"/>
      <c r="R16" s="774"/>
      <c r="S16" s="775"/>
      <c r="T16" s="774"/>
      <c r="U16" s="775"/>
      <c r="V16" s="774"/>
      <c r="W16" s="775"/>
      <c r="X16" s="1816"/>
      <c r="Y16" s="3213"/>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3"/>
      <c r="Q17" s="1813" t="str">
        <f>B17</f>
        <v>交通便捷度</v>
      </c>
      <c r="R17" s="774" t="s">
        <v>17</v>
      </c>
      <c r="S17" s="775">
        <f>F17</f>
        <v>100</v>
      </c>
      <c r="T17" s="774" t="s">
        <v>17</v>
      </c>
      <c r="U17" s="775">
        <f>H17</f>
        <v>100</v>
      </c>
      <c r="V17" s="774" t="s">
        <v>17</v>
      </c>
      <c r="W17" s="775">
        <f>J17</f>
        <v>100</v>
      </c>
      <c r="X17" s="1816"/>
      <c r="Y17" s="3213"/>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13"/>
      <c r="Q18" s="1813"/>
      <c r="R18" s="774"/>
      <c r="S18" s="775"/>
      <c r="T18" s="774"/>
      <c r="U18" s="775"/>
      <c r="V18" s="774"/>
      <c r="W18" s="775"/>
      <c r="X18" s="1816"/>
      <c r="Y18" s="3213"/>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3"/>
      <c r="Q19" s="1813" t="str">
        <f t="shared" ref="Q19:Q33" si="8">B19</f>
        <v>区域土地利用方向</v>
      </c>
      <c r="R19" s="774" t="s">
        <v>17</v>
      </c>
      <c r="S19" s="775">
        <f>F19</f>
        <v>100</v>
      </c>
      <c r="T19" s="774" t="s">
        <v>17</v>
      </c>
      <c r="U19" s="775">
        <f>H19</f>
        <v>100</v>
      </c>
      <c r="V19" s="774" t="s">
        <v>17</v>
      </c>
      <c r="W19" s="775">
        <f>J19</f>
        <v>100</v>
      </c>
      <c r="X19" s="1816"/>
      <c r="Y19" s="3213"/>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13"/>
      <c r="Q20" s="1813"/>
      <c r="R20" s="774"/>
      <c r="S20" s="775"/>
      <c r="T20" s="774"/>
      <c r="U20" s="775"/>
      <c r="V20" s="774"/>
      <c r="W20" s="775"/>
      <c r="X20" s="1816"/>
      <c r="Y20" s="3213"/>
      <c r="Z20" s="1817"/>
      <c r="AA20" s="1814"/>
      <c r="AB20" s="1814"/>
      <c r="AC20" s="1814"/>
    </row>
    <row r="21" spans="1:29" ht="71.25">
      <c r="A21" s="404"/>
      <c r="B21" s="631" t="s">
        <v>2798</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3"/>
      <c r="Q21" s="1813" t="str">
        <f t="shared" si="8"/>
        <v>环境状况</v>
      </c>
      <c r="R21" s="774" t="s">
        <v>17</v>
      </c>
      <c r="S21" s="775">
        <f>F21</f>
        <v>100</v>
      </c>
      <c r="T21" s="774" t="s">
        <v>17</v>
      </c>
      <c r="U21" s="775">
        <f>H21</f>
        <v>100</v>
      </c>
      <c r="V21" s="774" t="s">
        <v>17</v>
      </c>
      <c r="W21" s="775">
        <f>J21</f>
        <v>100</v>
      </c>
      <c r="X21" s="1816"/>
      <c r="Y21" s="3213"/>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13"/>
      <c r="Q22" s="1813"/>
      <c r="R22" s="774"/>
      <c r="S22" s="775"/>
      <c r="T22" s="774"/>
      <c r="U22" s="775"/>
      <c r="V22" s="774"/>
      <c r="W22" s="775"/>
      <c r="X22" s="1816"/>
      <c r="Y22" s="3213"/>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3"/>
      <c r="Q23" s="1798" t="str">
        <f t="shared" si="8"/>
        <v>公共配套设施</v>
      </c>
      <c r="R23" s="770" t="s">
        <v>17</v>
      </c>
      <c r="S23" s="771">
        <f>F23</f>
        <v>100</v>
      </c>
      <c r="T23" s="770" t="s">
        <v>17</v>
      </c>
      <c r="U23" s="771">
        <f>H23</f>
        <v>100</v>
      </c>
      <c r="V23" s="770" t="s">
        <v>17</v>
      </c>
      <c r="W23" s="771">
        <f>J23</f>
        <v>100</v>
      </c>
      <c r="X23" s="772"/>
      <c r="Y23" s="3213"/>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13"/>
      <c r="Q24" s="1798"/>
      <c r="R24" s="770"/>
      <c r="S24" s="771"/>
      <c r="T24" s="770"/>
      <c r="U24" s="771"/>
      <c r="V24" s="770"/>
      <c r="W24" s="771"/>
      <c r="X24" s="772"/>
      <c r="Y24" s="3213"/>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3"/>
      <c r="Q25" s="1798" t="str">
        <f t="shared" ref="Q25" si="9">B25</f>
        <v>基础设施水平</v>
      </c>
      <c r="R25" s="770" t="s">
        <v>17</v>
      </c>
      <c r="S25" s="771">
        <f>F25</f>
        <v>100</v>
      </c>
      <c r="T25" s="770" t="s">
        <v>17</v>
      </c>
      <c r="U25" s="771">
        <f>H25</f>
        <v>100</v>
      </c>
      <c r="V25" s="770" t="s">
        <v>17</v>
      </c>
      <c r="W25" s="771">
        <f>J25</f>
        <v>100</v>
      </c>
      <c r="X25" s="772"/>
      <c r="Y25" s="3213"/>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13"/>
      <c r="Q26" s="1798"/>
      <c r="R26" s="770"/>
      <c r="S26" s="771"/>
      <c r="T26" s="770"/>
      <c r="U26" s="771"/>
      <c r="V26" s="770"/>
      <c r="W26" s="771"/>
      <c r="X26" s="772"/>
      <c r="Y26" s="321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3"/>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3"/>
      <c r="Q28" s="1813" t="str">
        <f t="shared" si="8"/>
        <v>毗邻道路的类型与等级</v>
      </c>
      <c r="R28" s="774" t="s">
        <v>17</v>
      </c>
      <c r="S28" s="775">
        <f t="shared" si="10"/>
        <v>100</v>
      </c>
      <c r="T28" s="774" t="s">
        <v>17</v>
      </c>
      <c r="U28" s="775">
        <f t="shared" si="11"/>
        <v>100</v>
      </c>
      <c r="V28" s="774" t="s">
        <v>17</v>
      </c>
      <c r="W28" s="775">
        <f t="shared" si="12"/>
        <v>100</v>
      </c>
      <c r="X28" s="1816"/>
      <c r="Y28" s="3213"/>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13"/>
      <c r="Q29" s="1813"/>
      <c r="R29" s="774"/>
      <c r="S29" s="775"/>
      <c r="T29" s="774"/>
      <c r="U29" s="775"/>
      <c r="V29" s="774"/>
      <c r="W29" s="775"/>
      <c r="X29" s="1816"/>
      <c r="Y29" s="3213"/>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3"/>
      <c r="Q30" s="1813" t="str">
        <f t="shared" si="8"/>
        <v>土地级别</v>
      </c>
      <c r="R30" s="774" t="s">
        <v>17</v>
      </c>
      <c r="S30" s="775">
        <f t="shared" si="10"/>
        <v>100</v>
      </c>
      <c r="T30" s="774" t="s">
        <v>17</v>
      </c>
      <c r="U30" s="775">
        <f t="shared" si="11"/>
        <v>100</v>
      </c>
      <c r="V30" s="774" t="s">
        <v>17</v>
      </c>
      <c r="W30" s="775">
        <f t="shared" si="12"/>
        <v>100</v>
      </c>
      <c r="X30" s="1816"/>
      <c r="Y30" s="3213"/>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3"/>
      <c r="Q31" s="1813">
        <f t="shared" si="8"/>
        <v>111</v>
      </c>
      <c r="R31" s="774" t="s">
        <v>17</v>
      </c>
      <c r="S31" s="775">
        <f t="shared" si="10"/>
        <v>100</v>
      </c>
      <c r="T31" s="774" t="s">
        <v>17</v>
      </c>
      <c r="U31" s="775">
        <f t="shared" si="11"/>
        <v>100</v>
      </c>
      <c r="V31" s="774" t="s">
        <v>17</v>
      </c>
      <c r="W31" s="775">
        <f t="shared" si="12"/>
        <v>100</v>
      </c>
      <c r="X31" s="1816"/>
      <c r="Y31" s="3213"/>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7" t="s">
        <v>2564</v>
      </c>
      <c r="Q32" s="1813">
        <f t="shared" si="8"/>
        <v>111</v>
      </c>
      <c r="R32" s="774" t="s">
        <v>17</v>
      </c>
      <c r="S32" s="775">
        <f t="shared" si="10"/>
        <v>100</v>
      </c>
      <c r="T32" s="774" t="s">
        <v>17</v>
      </c>
      <c r="U32" s="775">
        <f t="shared" si="11"/>
        <v>100</v>
      </c>
      <c r="V32" s="774" t="s">
        <v>17</v>
      </c>
      <c r="W32" s="775">
        <f t="shared" si="12"/>
        <v>100</v>
      </c>
      <c r="X32" s="1816"/>
      <c r="Y32" s="3217"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7"/>
      <c r="Q33" s="1813">
        <f t="shared" si="8"/>
        <v>111</v>
      </c>
      <c r="R33" s="777" t="s">
        <v>17</v>
      </c>
      <c r="S33" s="778">
        <f t="shared" si="10"/>
        <v>100</v>
      </c>
      <c r="T33" s="777" t="s">
        <v>17</v>
      </c>
      <c r="U33" s="778">
        <f t="shared" si="11"/>
        <v>100</v>
      </c>
      <c r="V33" s="777" t="s">
        <v>17</v>
      </c>
      <c r="W33" s="778">
        <f t="shared" si="12"/>
        <v>100</v>
      </c>
      <c r="X33" s="779"/>
      <c r="Y33" s="3217"/>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7"/>
      <c r="Q34" s="1813" t="str">
        <f>B34</f>
        <v>宗地面积</v>
      </c>
      <c r="R34" s="774" t="s">
        <v>17</v>
      </c>
      <c r="S34" s="775" t="e">
        <f t="shared" si="10"/>
        <v>#N/A</v>
      </c>
      <c r="T34" s="774" t="s">
        <v>17</v>
      </c>
      <c r="U34" s="775" t="e">
        <f t="shared" si="11"/>
        <v>#N/A</v>
      </c>
      <c r="V34" s="774" t="s">
        <v>17</v>
      </c>
      <c r="W34" s="775" t="e">
        <f t="shared" si="12"/>
        <v>#N/A</v>
      </c>
      <c r="X34" s="1816"/>
      <c r="Y34" s="3217"/>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17"/>
      <c r="Q35" s="1813" t="str">
        <f t="shared" ref="Q35:Q40" si="14">B35</f>
        <v>宗地形状</v>
      </c>
      <c r="R35" s="774" t="s">
        <v>17</v>
      </c>
      <c r="S35" s="775">
        <f t="shared" si="10"/>
        <v>100</v>
      </c>
      <c r="T35" s="774" t="s">
        <v>17</v>
      </c>
      <c r="U35" s="775">
        <f t="shared" si="11"/>
        <v>100</v>
      </c>
      <c r="V35" s="774" t="s">
        <v>17</v>
      </c>
      <c r="W35" s="775">
        <f t="shared" si="12"/>
        <v>100</v>
      </c>
      <c r="X35" s="1816"/>
      <c r="Y35" s="3217"/>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17"/>
      <c r="Q36" s="1813"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17" t="s">
        <v>2564</v>
      </c>
      <c r="Q37" s="1813" t="str">
        <f t="shared" si="14"/>
        <v>工程地质条件</v>
      </c>
      <c r="R37" s="774" t="s">
        <v>17</v>
      </c>
      <c r="S37" s="775">
        <f t="shared" si="10"/>
        <v>100</v>
      </c>
      <c r="T37" s="774" t="s">
        <v>17</v>
      </c>
      <c r="U37" s="775">
        <f t="shared" si="11"/>
        <v>100</v>
      </c>
      <c r="V37" s="774" t="s">
        <v>17</v>
      </c>
      <c r="W37" s="775">
        <f t="shared" si="12"/>
        <v>100</v>
      </c>
      <c r="X37" s="1816"/>
      <c r="Y37" s="3217"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7"/>
      <c r="Q38" s="1813">
        <f t="shared" si="14"/>
        <v>111</v>
      </c>
      <c r="R38" s="774" t="s">
        <v>17</v>
      </c>
      <c r="S38" s="775">
        <f t="shared" si="10"/>
        <v>100</v>
      </c>
      <c r="T38" s="774" t="s">
        <v>17</v>
      </c>
      <c r="U38" s="775">
        <f t="shared" si="11"/>
        <v>100</v>
      </c>
      <c r="V38" s="774" t="s">
        <v>17</v>
      </c>
      <c r="W38" s="775">
        <f t="shared" si="12"/>
        <v>100</v>
      </c>
      <c r="X38" s="1816"/>
      <c r="Y38" s="321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7"/>
      <c r="Q39" s="1813">
        <f t="shared" si="14"/>
        <v>111</v>
      </c>
      <c r="R39" s="774" t="s">
        <v>17</v>
      </c>
      <c r="S39" s="775">
        <f t="shared" si="10"/>
        <v>100</v>
      </c>
      <c r="T39" s="774" t="s">
        <v>17</v>
      </c>
      <c r="U39" s="775">
        <f t="shared" si="11"/>
        <v>100</v>
      </c>
      <c r="V39" s="774" t="s">
        <v>17</v>
      </c>
      <c r="W39" s="775">
        <f t="shared" si="12"/>
        <v>100</v>
      </c>
      <c r="X39" s="1816"/>
      <c r="Y39" s="3217"/>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7"/>
      <c r="Q40" s="1813">
        <f t="shared" si="14"/>
        <v>111</v>
      </c>
      <c r="R40" s="777" t="s">
        <v>17</v>
      </c>
      <c r="S40" s="778">
        <f t="shared" si="10"/>
        <v>100</v>
      </c>
      <c r="T40" s="777" t="s">
        <v>17</v>
      </c>
      <c r="U40" s="778">
        <f t="shared" si="11"/>
        <v>100</v>
      </c>
      <c r="V40" s="777" t="s">
        <v>17</v>
      </c>
      <c r="W40" s="778">
        <f t="shared" si="12"/>
        <v>100</v>
      </c>
      <c r="X40" s="779"/>
      <c r="Y40" s="3217"/>
      <c r="Z40" s="780">
        <f t="shared" si="13"/>
        <v>111</v>
      </c>
      <c r="AA40" s="1814">
        <f t="shared" si="3"/>
        <v>1</v>
      </c>
      <c r="AB40" s="1814">
        <f t="shared" si="4"/>
        <v>1</v>
      </c>
      <c r="AC40" s="1814">
        <f t="shared" si="5"/>
        <v>1</v>
      </c>
    </row>
    <row r="41" spans="1:29" ht="15">
      <c r="A41" s="479" t="s">
        <v>2719</v>
      </c>
      <c r="B41" s="2709" t="s">
        <v>2799</v>
      </c>
      <c r="C41" s="682" t="s">
        <v>1</v>
      </c>
      <c r="D41" s="481"/>
      <c r="E41" s="482"/>
      <c r="F41" s="483"/>
      <c r="G41" s="484"/>
      <c r="H41" s="485"/>
      <c r="I41" s="482"/>
      <c r="J41" s="485"/>
      <c r="K41" s="783"/>
      <c r="L41" s="1146"/>
      <c r="M41" s="1134"/>
      <c r="N41" s="1134"/>
      <c r="O41" s="1147"/>
      <c r="P41" s="3210" t="str">
        <f>A41</f>
        <v>成交单价</v>
      </c>
      <c r="Q41" s="3210"/>
      <c r="R41" s="3205">
        <f>E41</f>
        <v>0</v>
      </c>
      <c r="S41" s="3205"/>
      <c r="T41" s="3205">
        <f>G41</f>
        <v>0</v>
      </c>
      <c r="U41" s="3205"/>
      <c r="V41" s="3205">
        <f>I41</f>
        <v>0</v>
      </c>
      <c r="W41" s="3205"/>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10" t="str">
        <f>A42</f>
        <v>比较价值（元/平方米）</v>
      </c>
      <c r="Q42" s="3210"/>
      <c r="R42" s="3240" t="e">
        <f>ROUND(PRODUCT(R41,AA7:AA40),0)</f>
        <v>#DIV/0!</v>
      </c>
      <c r="S42" s="3240"/>
      <c r="T42" s="3240" t="e">
        <f>ROUND(PRODUCT(T41,AB7:AB40),0)</f>
        <v>#DIV/0!</v>
      </c>
      <c r="U42" s="3240"/>
      <c r="V42" s="3240" t="e">
        <f>ROUND(PRODUCT(V41,AC7:AC40),0)</f>
        <v>#DIV/0!</v>
      </c>
      <c r="W42" s="3240"/>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07" t="str">
        <f>A43</f>
        <v>估价对象XX用房的比较价值（楼面单价，元/平方米）</v>
      </c>
      <c r="Q43" s="3208"/>
      <c r="R43" s="3241" t="e">
        <f>ROUND(AVERAGE(R42:V42),0)</f>
        <v>#DIV/0!</v>
      </c>
      <c r="S43" s="3241"/>
      <c r="T43" s="3241"/>
      <c r="U43" s="3241"/>
      <c r="V43" s="3241"/>
      <c r="W43" s="324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10" t="s">
        <v>2759</v>
      </c>
      <c r="D50" s="2711" t="s">
        <v>2760</v>
      </c>
      <c r="E50" s="686" t="s">
        <v>2761</v>
      </c>
      <c r="F50" s="687" t="s">
        <v>2762</v>
      </c>
      <c r="G50" s="3193" t="s">
        <v>2763</v>
      </c>
      <c r="H50" s="3242"/>
      <c r="I50" s="1817" t="s">
        <v>2800</v>
      </c>
      <c r="J50" s="1817">
        <f>项目基本情况!F35</f>
        <v>0</v>
      </c>
      <c r="K50" s="2713" t="s">
        <v>2765</v>
      </c>
      <c r="L50" s="1109"/>
      <c r="M50" s="1147"/>
      <c r="N50" s="1147"/>
      <c r="O50" s="1147"/>
    </row>
    <row r="51" spans="1:17" s="692" customFormat="1">
      <c r="A51" s="688" t="s">
        <v>2766</v>
      </c>
      <c r="B51" s="689" t="e">
        <f>C43</f>
        <v>#DIV/0!</v>
      </c>
      <c r="C51" s="690">
        <v>1</v>
      </c>
      <c r="D51" s="1166">
        <v>1</v>
      </c>
      <c r="E51" s="690">
        <f>'数据-汇总表'!E8+'数据-汇总表'!E9</f>
        <v>28584</v>
      </c>
      <c r="F51" s="691" t="e">
        <f t="shared" ref="F51:F60" si="15">ROUND(B51*E51/10000,0)</f>
        <v>#DIV/0!</v>
      </c>
      <c r="G51" s="3192"/>
      <c r="H51" s="3210"/>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43"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43"/>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43"/>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43"/>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4"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4"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5"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11433.6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2781</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2801</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M48" sqref="M4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2803</v>
      </c>
      <c r="B1" s="241"/>
      <c r="C1" s="245" t="s">
        <v>2804</v>
      </c>
      <c r="D1" s="388">
        <f>SUM(D29:D30,D33:D39)</f>
        <v>0</v>
      </c>
      <c r="E1" s="2722"/>
      <c r="F1" s="2722"/>
      <c r="G1" s="2722"/>
      <c r="H1" s="2722"/>
      <c r="I1" s="2722"/>
      <c r="J1" s="2722"/>
      <c r="K1" s="1373"/>
      <c r="L1" s="2723" t="s">
        <v>2805</v>
      </c>
      <c r="M1" s="1083">
        <f>SUMPRODUCT((区片价!B5:B9=I2)*(区片价!C3:F3=E2)*(区片价!C5:F9))</f>
        <v>0</v>
      </c>
      <c r="N1" s="1086">
        <f>SUMPRODUCT((因素修正幅度!B5:B9=I2)*(因素修正幅度!C3:F3=E2)*(因素修正幅度!C5:F9))</f>
        <v>0</v>
      </c>
      <c r="O1" s="2724"/>
      <c r="P1" s="2724"/>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6" t="s">
        <v>2812</v>
      </c>
      <c r="D2" s="2727" t="s">
        <v>2813</v>
      </c>
      <c r="E2" s="2728"/>
      <c r="F2" s="2727" t="s">
        <v>2814</v>
      </c>
      <c r="G2" s="2729">
        <f>IF(E2="商业",项目基本情况!B37,IF(E2="办公",项目基本情况!C37,IF(E2="住宅",项目基本情况!D37,项目基本情况!E37)))</f>
        <v>0</v>
      </c>
      <c r="H2" s="2727" t="s">
        <v>2815</v>
      </c>
      <c r="I2" s="2729">
        <f>IF(E2="商业",项目基本情况!B38,IF(E2="办公",项目基本情况!C38,IF(E2="住宅",项目基本情况!D38,项目基本情况!E38)))</f>
        <v>0</v>
      </c>
      <c r="J2" s="2730"/>
      <c r="K2" s="1373"/>
      <c r="L2" s="2731"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6" t="s">
        <v>2818</v>
      </c>
      <c r="D3" s="2727" t="s">
        <v>2819</v>
      </c>
      <c r="E3" s="2732"/>
      <c r="F3" s="2733" t="s">
        <v>2820</v>
      </c>
      <c r="G3" s="916">
        <f>IF(F3="宗地容积率",'数据-汇总表'!I4,IF(F3="估价对象容积率",'数据-汇总表'!I6,'数据-汇总表'!I7))</f>
        <v>2.5</v>
      </c>
      <c r="H3" s="198" t="s">
        <v>2821</v>
      </c>
      <c r="I3" s="947"/>
      <c r="J3" s="2730" t="s">
        <v>2822</v>
      </c>
      <c r="K3" s="1373"/>
      <c r="L3" s="2731"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2"/>
      <c r="B4" s="3263"/>
      <c r="C4" s="3263"/>
      <c r="D4" s="3264"/>
      <c r="E4" s="3264"/>
      <c r="F4" s="3264"/>
      <c r="G4" s="3264"/>
      <c r="H4" s="3264"/>
      <c r="I4" s="3264"/>
      <c r="J4" s="3265"/>
      <c r="K4" s="1373"/>
      <c r="L4" s="2731"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2825</v>
      </c>
      <c r="C5" s="917" t="e">
        <f>ROUND(IF(E2="商业",IF(F16="增加",C6*C7+C16,C6*C7-C16),IF(E2="住宅",IF(F16="增加",C6*C12+C16,C6*C12-C16),IF(F16="增加",C6+C16,C6-C16))),0)</f>
        <v>#DIV/0!</v>
      </c>
      <c r="D5" s="1790">
        <f>ROUND(IF(E2="商业",IF(F16="增加",C6+C16,C6-C16)),0)</f>
        <v>0</v>
      </c>
      <c r="E5" s="2736"/>
      <c r="F5" s="2736"/>
      <c r="G5" s="2737"/>
      <c r="H5" s="2737"/>
      <c r="I5" s="2737"/>
      <c r="J5" s="2738"/>
      <c r="K5" s="2739"/>
      <c r="L5" s="2731"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2827</v>
      </c>
      <c r="B6" s="2745" t="s">
        <v>2828</v>
      </c>
      <c r="C6" s="918">
        <f>SUMIF(L1:L12,G2,M1:M12)</f>
        <v>0</v>
      </c>
      <c r="D6" s="2746" t="s">
        <v>2829</v>
      </c>
      <c r="E6" s="2747"/>
      <c r="F6" s="2747"/>
      <c r="G6" s="2748"/>
      <c r="H6" s="2748"/>
      <c r="I6" s="2748"/>
      <c r="J6" s="2749"/>
      <c r="K6" s="1845"/>
      <c r="L6" s="2731"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48" t="str">
        <f>IF(E2="商业",IF(C8="不临58条商业街","",2),"")</f>
        <v/>
      </c>
      <c r="B7" s="2750" t="s">
        <v>2831</v>
      </c>
      <c r="C7" s="919" t="e">
        <f>IF(C8="不临58条商业街",1,ROUND(1+(1.6*E8+1.2*E9+0.8*E10+0.4*E11)*C9,4))</f>
        <v>#DIV/0!</v>
      </c>
      <c r="D7" s="2751" t="s">
        <v>2832</v>
      </c>
      <c r="E7" s="948"/>
      <c r="F7" s="2752"/>
      <c r="G7" s="2753"/>
      <c r="H7" s="2753"/>
      <c r="I7" s="2753"/>
      <c r="J7" s="2754"/>
      <c r="K7" s="1845"/>
      <c r="L7" s="2731"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2.5</v>
      </c>
      <c r="AA7" s="1609"/>
      <c r="AB7" s="1609"/>
      <c r="AC7" s="1610"/>
      <c r="AD7" s="1611"/>
      <c r="AE7" s="1611"/>
      <c r="AF7" s="1611"/>
      <c r="AG7" s="1611"/>
      <c r="AH7" s="1611"/>
      <c r="AI7" s="1611"/>
      <c r="AJ7" s="1612"/>
    </row>
    <row r="8" spans="1:36" ht="15">
      <c r="A8" s="3249"/>
      <c r="B8" s="198" t="s">
        <v>2836</v>
      </c>
      <c r="C8" s="2755"/>
      <c r="D8" s="920" t="s">
        <v>139</v>
      </c>
      <c r="E8" s="921" t="e">
        <f>ROUND(C11/E7,4)</f>
        <v>#DIV/0!</v>
      </c>
      <c r="F8" s="2756" t="s">
        <v>2837</v>
      </c>
      <c r="G8" s="2757"/>
      <c r="H8" s="2757"/>
      <c r="I8" s="2757"/>
      <c r="J8" s="2758"/>
      <c r="K8" s="1373"/>
      <c r="L8" s="2731"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9" t="s">
        <v>2839</v>
      </c>
      <c r="X8" s="3260"/>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49"/>
      <c r="B9" s="198" t="s">
        <v>2852</v>
      </c>
      <c r="C9" s="922">
        <f>SUMIF(修正!C59:C119,C8,修正!E59:E119)</f>
        <v>0</v>
      </c>
      <c r="D9" s="200" t="s">
        <v>140</v>
      </c>
      <c r="E9" s="200" t="e">
        <f>ROUND(C11/E7,4)</f>
        <v>#DIV/0!</v>
      </c>
      <c r="F9" s="2756" t="s">
        <v>2853</v>
      </c>
      <c r="G9" s="2757"/>
      <c r="H9" s="2757"/>
      <c r="I9" s="2757"/>
      <c r="J9" s="2758"/>
      <c r="K9" s="1373"/>
      <c r="L9" s="2731"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1"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9"/>
      <c r="B10" s="198" t="s">
        <v>2857</v>
      </c>
      <c r="C10" s="200">
        <f>SUMIF(修正!C59:C119,C8,修正!F59:F119)</f>
        <v>0</v>
      </c>
      <c r="D10" s="200" t="s">
        <v>141</v>
      </c>
      <c r="E10" s="200" t="e">
        <f>ROUND(C11/E7,4)</f>
        <v>#DIV/0!</v>
      </c>
      <c r="F10" s="2756" t="s">
        <v>2858</v>
      </c>
      <c r="G10" s="2757"/>
      <c r="H10" s="2757"/>
      <c r="I10" s="2757"/>
      <c r="J10" s="2758"/>
      <c r="K10" s="1373"/>
      <c r="L10" s="2731"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9"/>
      <c r="B11" s="2759" t="s">
        <v>2860</v>
      </c>
      <c r="C11" s="923">
        <f>C10/4</f>
        <v>0</v>
      </c>
      <c r="D11" s="923" t="s">
        <v>142</v>
      </c>
      <c r="E11" s="923" t="e">
        <f>ROUND(C11/E7,4)</f>
        <v>#DIV/0!</v>
      </c>
      <c r="F11" s="2760" t="s">
        <v>2861</v>
      </c>
      <c r="G11" s="2761"/>
      <c r="H11" s="2761"/>
      <c r="I11" s="2761"/>
      <c r="J11" s="2762"/>
      <c r="K11" s="1373"/>
      <c r="L11" s="2731"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1" t="s">
        <v>2863</v>
      </c>
      <c r="X11" s="1617" t="s">
        <v>2864</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48" t="s">
        <v>2865</v>
      </c>
      <c r="B12" s="2763" t="s">
        <v>2866</v>
      </c>
      <c r="C12" s="919">
        <f>ROUND(C15*D15*E15*F15*G15*H15*I15*J15,4)</f>
        <v>1</v>
      </c>
      <c r="D12" s="2764" t="s">
        <v>2867</v>
      </c>
      <c r="E12" s="2765"/>
      <c r="F12" s="2765"/>
      <c r="G12" s="2766"/>
      <c r="H12" s="2766"/>
      <c r="I12" s="2766"/>
      <c r="J12" s="2767"/>
      <c r="K12" s="1373"/>
      <c r="L12" s="2768"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1"/>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6"/>
      <c r="B13" s="2769" t="s">
        <v>2870</v>
      </c>
      <c r="C13" s="2770" t="s">
        <v>2871</v>
      </c>
      <c r="D13" s="1811" t="s">
        <v>2872</v>
      </c>
      <c r="E13" s="1811" t="s">
        <v>2873</v>
      </c>
      <c r="F13" s="30" t="s">
        <v>2874</v>
      </c>
      <c r="G13" s="2771" t="s">
        <v>2875</v>
      </c>
      <c r="H13" s="2771" t="s">
        <v>2875</v>
      </c>
      <c r="I13" s="2771" t="s">
        <v>2875</v>
      </c>
      <c r="J13" s="2772" t="s">
        <v>2875</v>
      </c>
      <c r="K13" s="1373"/>
      <c r="L13" s="1373"/>
      <c r="M13" s="1373"/>
      <c r="N13" s="1373"/>
      <c r="O13" s="1373"/>
      <c r="P13" s="1373"/>
      <c r="Q13" s="1373"/>
      <c r="R13" s="1605">
        <v>12</v>
      </c>
      <c r="S13" s="1606"/>
      <c r="T13" s="1605" t="e">
        <f t="shared" si="0"/>
        <v>#DIV/0!</v>
      </c>
      <c r="U13" s="1606"/>
      <c r="V13" s="1605" t="e">
        <f t="shared" si="1"/>
        <v>#DIV/0!</v>
      </c>
      <c r="W13" s="3261"/>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66"/>
      <c r="B14" s="2773"/>
      <c r="C14" s="2774"/>
      <c r="D14" s="2775"/>
      <c r="E14" s="2775"/>
      <c r="F14" s="2776"/>
      <c r="G14" s="2777" t="s">
        <v>2876</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7"/>
      <c r="B15" s="2781" t="s">
        <v>2877</v>
      </c>
      <c r="C15" s="229">
        <f>IF(C14="有",1.1,1)</f>
        <v>1</v>
      </c>
      <c r="D15" s="229">
        <f>IF(D14="有",1.1,1)</f>
        <v>1</v>
      </c>
      <c r="E15" s="229">
        <f>IF(E14="有",1.1,1)</f>
        <v>1</v>
      </c>
      <c r="F15" s="229">
        <f>IF(F14="500米范围内",1.2,IF(F14="500-1000米",1.1,1))</f>
        <v>1</v>
      </c>
      <c r="G15" s="949">
        <v>1</v>
      </c>
      <c r="H15" s="949">
        <v>1</v>
      </c>
      <c r="I15" s="949">
        <v>1</v>
      </c>
      <c r="J15" s="950">
        <v>1</v>
      </c>
      <c r="K15" s="1373"/>
      <c r="L15" s="2782" t="s">
        <v>2813</v>
      </c>
      <c r="M15" s="920" t="s">
        <v>2878</v>
      </c>
      <c r="N15" s="920" t="s">
        <v>2879</v>
      </c>
      <c r="O15" s="920" t="s">
        <v>2880</v>
      </c>
      <c r="P15" s="2783"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8" t="s">
        <v>2882</v>
      </c>
      <c r="B16" s="2750" t="s">
        <v>2883</v>
      </c>
      <c r="C16" s="1804" t="e">
        <f>ROUND(SUM(G17:J17)/C17,0)</f>
        <v>#DIV/0!</v>
      </c>
      <c r="D16" s="2784" t="s">
        <v>2884</v>
      </c>
      <c r="E16" s="2785"/>
      <c r="F16" s="2786"/>
      <c r="G16" s="2787"/>
      <c r="H16" s="2787"/>
      <c r="I16" s="2787"/>
      <c r="J16" s="2788"/>
      <c r="K16" s="1373"/>
      <c r="L16" s="2789"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9"/>
      <c r="B17" s="2790" t="s">
        <v>2886</v>
      </c>
      <c r="C17" s="924">
        <f>SUMPRODUCT((修正!A2:A5=E2)*(修正!B1:M1=G2)*(修正!B2:M5))</f>
        <v>0</v>
      </c>
      <c r="D17" s="2791"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2890</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2891</v>
      </c>
      <c r="C19" s="927" t="e">
        <f>ROUND(IF(H19="按公示增长率计算",SUMPRODUCT((地价!A3:A23=YEAR(G19)&amp;"-"&amp;ROUNDUP(MONTH(G19)/3,0))*(地价!X2:AB2=E2)*(地价!X3:AB23)),IF(H19="地价指数",M20/M19,(1+I19)^O19)),4)</f>
        <v>#DIV/0!</v>
      </c>
      <c r="D19" s="2802" t="s">
        <v>2892</v>
      </c>
      <c r="E19" s="928">
        <v>41640</v>
      </c>
      <c r="F19" s="2802" t="s">
        <v>2893</v>
      </c>
      <c r="G19" s="929">
        <f>'数据-取费表'!B2</f>
        <v>43343</v>
      </c>
      <c r="H19" s="2803" t="s">
        <v>2894</v>
      </c>
      <c r="I19" s="930" t="str">
        <f>IF(H19="季度增幅（自定义）",SUMIF(N21:N24,E2,O21:O24),"")</f>
        <v/>
      </c>
      <c r="J19" s="2800"/>
      <c r="K19" s="1380"/>
      <c r="L19" s="2804" t="s">
        <v>2895</v>
      </c>
      <c r="M19" s="1737">
        <f>ROUND(SUMIF(地价!B2:F2,E2,地价!B23:F23),0)</f>
        <v>0</v>
      </c>
      <c r="N19" s="2805" t="s">
        <v>2896</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t="e">
        <f>ROUND(POWER(1+G20,J20-I20)*(POWER(1+G20,I20)-1)/(POWER(1+G20,J20)-1),4)</f>
        <v>#DIV/0!</v>
      </c>
      <c r="D20" s="2811" t="s">
        <v>2898</v>
      </c>
      <c r="E20" s="1771">
        <f ca="1">存贷款利率!D4/100</f>
        <v>4.3499999999999997E-2</v>
      </c>
      <c r="F20" s="2811" t="s">
        <v>2889</v>
      </c>
      <c r="G20" s="937">
        <f>SUMIF(M15:P15,E2,M17:P17)</f>
        <v>0</v>
      </c>
      <c r="H20" s="2811" t="s">
        <v>2899</v>
      </c>
      <c r="I20" s="938" t="e">
        <f>SUMIF('数据-取费表'!C6:C15,E2,'数据-取费表'!F6:F15)/COUNTIF('数据-取费表'!C6:C15,E2)</f>
        <v>#DIV/0!</v>
      </c>
      <c r="J20" s="939">
        <f>IF(E2="住宅",70,IF(E2="商业",40,50))</f>
        <v>50</v>
      </c>
      <c r="K20" s="1380"/>
      <c r="L20" s="2812" t="s">
        <v>2900</v>
      </c>
      <c r="M20" s="1738">
        <f>ROUND(SUMPRODUCT((地价!A4:A23=YEAR(G19)&amp;"-"&amp;ROUNDUP(MONTH(G19)/3,0))*(地价!B2:F2=E2)*(地价!B4:F23)),0)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2904</v>
      </c>
      <c r="C21" s="940">
        <f>IF(B21="容积率修正",IF(G3&lt;=10,D22,J22),C23)</f>
        <v>0</v>
      </c>
      <c r="D21" s="2818"/>
      <c r="E21" s="2818"/>
      <c r="F21" s="2818"/>
      <c r="G21" s="2818"/>
      <c r="H21" s="2818"/>
      <c r="I21" s="2818"/>
      <c r="J21" s="2819"/>
      <c r="K21" s="1380"/>
      <c r="N21" s="2820" t="s">
        <v>2905</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3" customFormat="1" ht="14.25">
      <c r="A22" s="2669" t="s">
        <v>2906</v>
      </c>
      <c r="B22" s="2821" t="s">
        <v>2907</v>
      </c>
      <c r="C22" s="1813" t="s">
        <v>2908</v>
      </c>
      <c r="D22" s="1813" t="b">
        <f>IF(E22=G22,F22,IF(G3&lt;=10,ROUND(F22+(H22-F22)*(G3-E22)/(G22-E22),4),"——"))</f>
        <v>0</v>
      </c>
      <c r="E22" s="916">
        <f>ROUNDDOWN(G3,1)</f>
        <v>2.5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2909</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9" t="s">
        <v>2910</v>
      </c>
      <c r="B23" s="2822" t="s">
        <v>2911</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2912</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2913</v>
      </c>
      <c r="C24" s="927">
        <f>SUMIF(A45:A88,E2,B45:B88)</f>
        <v>0</v>
      </c>
      <c r="D24" s="2798"/>
      <c r="E24" s="2828"/>
      <c r="F24" s="2828"/>
      <c r="G24" s="2828"/>
      <c r="H24" s="2828"/>
      <c r="I24" s="2828"/>
      <c r="J24" s="2829"/>
      <c r="K24" s="1380"/>
      <c r="N24" s="2830" t="s">
        <v>2914</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2915</v>
      </c>
      <c r="C25" s="933"/>
      <c r="D25" s="2753"/>
      <c r="E25" s="2753"/>
      <c r="F25" s="2832"/>
      <c r="G25" s="2753"/>
      <c r="H25" s="2753"/>
      <c r="I25" s="2753"/>
      <c r="J25" s="2754"/>
      <c r="K25" s="1373"/>
      <c r="N25" s="2833" t="s">
        <v>2916</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4"/>
      <c r="B26" s="2821" t="s">
        <v>2917</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2918</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2919</v>
      </c>
      <c r="C28" s="2845" t="s">
        <v>2920</v>
      </c>
      <c r="D28" s="2845" t="s">
        <v>2921</v>
      </c>
      <c r="E28" s="2846" t="s">
        <v>2922</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2923</v>
      </c>
      <c r="C29" s="206" t="e">
        <f>ROUND(C5*C18*C19*C20*C21*C24,0)</f>
        <v>#DIV/0!</v>
      </c>
      <c r="D29" s="2850"/>
      <c r="E29" s="945" t="e">
        <f>ROUND(C29*D29/10000,0)</f>
        <v>#DIV/0!</v>
      </c>
      <c r="F29" s="2851" t="s">
        <v>2924</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2925</v>
      </c>
      <c r="C30" s="229" t="e">
        <f>ROUND(IF(E2="工业",C29*M39,C29*M38),0)</f>
        <v>#DIV/0!</v>
      </c>
      <c r="D30" s="2856"/>
      <c r="E30" s="945" t="e">
        <f>ROUND(C30*D30/10000,0)</f>
        <v>#DIV/0!</v>
      </c>
      <c r="F30" s="2857" t="s">
        <v>2926</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2920</v>
      </c>
      <c r="D32" s="498" t="s">
        <v>2921</v>
      </c>
      <c r="E32" s="498" t="s">
        <v>2922</v>
      </c>
      <c r="F32" s="388" t="s">
        <v>2930</v>
      </c>
      <c r="G32" s="2865" t="s">
        <v>2920</v>
      </c>
      <c r="H32" s="2865" t="s">
        <v>2921</v>
      </c>
      <c r="I32" s="2865"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6" t="s">
        <v>2931</v>
      </c>
      <c r="B33" s="2866" t="s">
        <v>2932</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7"/>
      <c r="B34" s="2770" t="s">
        <v>2933</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7"/>
      <c r="B35" s="2770" t="s">
        <v>2934</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58"/>
      <c r="B36" s="2770" t="s">
        <v>2935</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2936</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2937</v>
      </c>
      <c r="M37" s="2870"/>
      <c r="N37" s="1373"/>
      <c r="O37" s="1373"/>
      <c r="P37" s="1373"/>
      <c r="Q37" s="1373"/>
      <c r="R37" s="1373"/>
      <c r="S37" s="1373"/>
      <c r="T37" s="1373"/>
      <c r="U37" s="1373"/>
      <c r="V37" s="1373"/>
      <c r="W37" s="1373"/>
      <c r="X37" s="1373"/>
      <c r="Y37" s="1373"/>
      <c r="Z37" s="1374"/>
    </row>
    <row r="38" spans="1:37">
      <c r="A38" s="2868"/>
      <c r="B38" s="2770" t="s">
        <v>2938</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2939</v>
      </c>
      <c r="M38" s="2871">
        <v>0.25</v>
      </c>
      <c r="N38" s="1373"/>
      <c r="O38" s="1373"/>
      <c r="P38" s="1373"/>
      <c r="Q38" s="1373"/>
      <c r="R38" s="1373"/>
      <c r="S38" s="1373"/>
      <c r="T38" s="1373"/>
      <c r="U38" s="1373"/>
      <c r="V38" s="1373"/>
      <c r="W38" s="1373"/>
      <c r="X38" s="1373"/>
      <c r="Y38" s="1373"/>
      <c r="Z38" s="1374"/>
    </row>
    <row r="39" spans="1:37" ht="13.5" thickBot="1">
      <c r="A39" s="2854"/>
      <c r="B39" s="2872" t="s">
        <v>2940</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2881</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2941</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2942</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2943</v>
      </c>
      <c r="B47" s="1812" t="s">
        <v>2944</v>
      </c>
      <c r="C47" s="1812" t="s">
        <v>2945</v>
      </c>
      <c r="D47" s="1812" t="s">
        <v>2946</v>
      </c>
      <c r="E47" s="819" t="s">
        <v>2947</v>
      </c>
      <c r="F47" s="2884" t="s">
        <v>2948</v>
      </c>
      <c r="G47" s="1812" t="s">
        <v>754</v>
      </c>
      <c r="H47" s="2885"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2951</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2952</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2953</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2954</v>
      </c>
      <c r="B51" s="2888" t="s">
        <v>2955</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2956</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2957</v>
      </c>
      <c r="B53" s="2889" t="s">
        <v>2958</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2959</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2960</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2961</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2962</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2943</v>
      </c>
      <c r="B58" s="1812"/>
      <c r="C58" s="1812" t="s">
        <v>2945</v>
      </c>
      <c r="D58" s="1812" t="s">
        <v>2946</v>
      </c>
      <c r="E58" s="819" t="s">
        <v>2947</v>
      </c>
      <c r="F58" s="2884" t="s">
        <v>2963</v>
      </c>
      <c r="G58" s="1812" t="s">
        <v>754</v>
      </c>
      <c r="H58" s="2885"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2964</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2952</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2953</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2954</v>
      </c>
      <c r="B62" s="2888" t="s">
        <v>2955</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2956</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2957</v>
      </c>
      <c r="B64" s="2889" t="s">
        <v>2958</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2959</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2960</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2961</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2965</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2943</v>
      </c>
      <c r="B69" s="1812"/>
      <c r="C69" s="1812" t="s">
        <v>2945</v>
      </c>
      <c r="D69" s="1812" t="s">
        <v>2946</v>
      </c>
      <c r="E69" s="819" t="s">
        <v>2947</v>
      </c>
      <c r="F69" s="2884" t="s">
        <v>2963</v>
      </c>
      <c r="G69" s="1812" t="s">
        <v>754</v>
      </c>
      <c r="H69" s="2885"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2966</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2952</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2953</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2967</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2959</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2960</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2957</v>
      </c>
      <c r="B76" s="2889" t="s">
        <v>2958</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2961</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2968</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2969</v>
      </c>
      <c r="B79" s="2880">
        <f>1+E81</f>
        <v>1</v>
      </c>
      <c r="C79" s="814"/>
      <c r="D79" s="814"/>
      <c r="E79" s="815"/>
      <c r="F79" s="2882"/>
      <c r="G79" s="6"/>
      <c r="H79" s="6"/>
      <c r="I79" s="6"/>
      <c r="J79" s="7"/>
      <c r="K79" s="7"/>
      <c r="L79" s="7"/>
      <c r="M79" s="7"/>
      <c r="N79" s="7"/>
      <c r="Z79" s="2725"/>
      <c r="AA79" s="2801"/>
      <c r="AG79" s="1375"/>
      <c r="AK79" s="2801"/>
    </row>
    <row r="80" spans="1:37" ht="24.75">
      <c r="A80" s="2883" t="s">
        <v>2943</v>
      </c>
      <c r="B80" s="1812"/>
      <c r="C80" s="1812" t="s">
        <v>2945</v>
      </c>
      <c r="D80" s="1812" t="s">
        <v>2946</v>
      </c>
      <c r="E80" s="819" t="s">
        <v>2947</v>
      </c>
      <c r="F80" s="2884" t="s">
        <v>2963</v>
      </c>
      <c r="G80" s="1812" t="s">
        <v>754</v>
      </c>
      <c r="H80" s="2885" t="s">
        <v>2949</v>
      </c>
      <c r="I80" s="1812" t="s">
        <v>2950</v>
      </c>
      <c r="J80" s="603" t="s">
        <v>2596</v>
      </c>
      <c r="K80" s="603" t="s">
        <v>2597</v>
      </c>
      <c r="L80" s="603" t="s">
        <v>2598</v>
      </c>
      <c r="M80" s="603" t="s">
        <v>2599</v>
      </c>
      <c r="N80" s="603" t="s">
        <v>2600</v>
      </c>
      <c r="Z80" s="2725"/>
      <c r="AA80" s="2801"/>
      <c r="AG80" s="1375"/>
      <c r="AK80" s="2801"/>
    </row>
    <row r="81" spans="1:37" ht="38.25">
      <c r="A81" s="2883" t="s">
        <v>2970</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2952</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2953</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2967</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2959</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2960</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2957</v>
      </c>
      <c r="B87" s="2889" t="s">
        <v>2971</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2972</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50" t="s">
        <v>2973</v>
      </c>
      <c r="B90" s="3250"/>
      <c r="C90" s="3250"/>
      <c r="D90" s="3250"/>
      <c r="E90" s="3250"/>
      <c r="F90" s="3250"/>
      <c r="G90" s="3250"/>
      <c r="H90" s="3250"/>
      <c r="I90" s="3250"/>
      <c r="J90" s="3250"/>
      <c r="K90" s="2897"/>
      <c r="L90" s="2897"/>
      <c r="M90" s="2897"/>
      <c r="N90" s="2897"/>
    </row>
    <row r="91" spans="1:37">
      <c r="A91" s="3252" t="s">
        <v>2974</v>
      </c>
      <c r="B91" s="3252" t="s">
        <v>2975</v>
      </c>
      <c r="C91" s="2851" t="s">
        <v>2976</v>
      </c>
      <c r="D91" s="2852"/>
      <c r="E91" s="2852"/>
      <c r="F91" s="2852"/>
      <c r="G91" s="2852"/>
      <c r="H91" s="2852"/>
      <c r="I91" s="2852"/>
      <c r="J91" s="2898"/>
      <c r="K91" s="2899"/>
      <c r="L91" s="2899"/>
      <c r="M91" s="2899"/>
      <c r="N91" s="2899"/>
    </row>
    <row r="92" spans="1:37">
      <c r="A92" s="3252"/>
      <c r="B92" s="3252"/>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53"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4"/>
      <c r="B99" s="2900" t="s">
        <v>2856</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3" t="s">
        <v>2978</v>
      </c>
      <c r="B101" s="2904" t="s">
        <v>2979</v>
      </c>
      <c r="C101" s="2905">
        <f>$G$3</f>
        <v>2.5</v>
      </c>
      <c r="D101" s="2905">
        <f t="shared" ref="D101:N101" si="31">$G$3</f>
        <v>2.5</v>
      </c>
      <c r="E101" s="2905">
        <f t="shared" si="31"/>
        <v>2.5</v>
      </c>
      <c r="F101" s="2905">
        <f t="shared" si="31"/>
        <v>2.5</v>
      </c>
      <c r="G101" s="2905">
        <f t="shared" si="31"/>
        <v>2.5</v>
      </c>
      <c r="H101" s="2905">
        <f t="shared" si="31"/>
        <v>2.5</v>
      </c>
      <c r="I101" s="2905">
        <f t="shared" si="31"/>
        <v>2.5</v>
      </c>
      <c r="J101" s="2905">
        <f t="shared" si="31"/>
        <v>2.5</v>
      </c>
      <c r="K101" s="2905">
        <f t="shared" si="31"/>
        <v>2.5</v>
      </c>
      <c r="L101" s="2905">
        <f t="shared" si="31"/>
        <v>2.5</v>
      </c>
      <c r="M101" s="2905">
        <f t="shared" si="31"/>
        <v>2.5</v>
      </c>
      <c r="N101" s="2905">
        <f t="shared" si="31"/>
        <v>2.5</v>
      </c>
    </row>
    <row r="102" spans="1:14">
      <c r="A102" s="3254"/>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54"/>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54"/>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54"/>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54"/>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54"/>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54"/>
      <c r="B108" s="3079" t="s">
        <v>2980</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5"/>
      <c r="B109" s="3080"/>
      <c r="C109" s="2903">
        <f>(-0.163*(C108^2)-0.59*C108+7617)*(10^(-4))/C101</f>
        <v>0.30468000000000001</v>
      </c>
      <c r="D109" s="2903">
        <f>(-0.163*(D108^2)-0.59*D108+7617)*(10^(-4))/D101</f>
        <v>0.30468000000000001</v>
      </c>
      <c r="E109" s="2903">
        <f>(-0.161*(E108^2)-7.509*E108+6533)*(10^(-4))/E101</f>
        <v>0.26132</v>
      </c>
      <c r="F109" s="2903">
        <f>(-0.161*(F108^2)-7.509*F108+6533)*(10^(-4))/F101</f>
        <v>0.26132</v>
      </c>
      <c r="G109" s="2903">
        <f>(-0.161*(G108^2)-7.509*G108+6533)*(10^(-4))/G101</f>
        <v>0.26132</v>
      </c>
      <c r="H109" s="2903">
        <f>(-0.161*(H108^2)-7.509*H108+6533)*(10^(-4))/H101</f>
        <v>0.26132</v>
      </c>
      <c r="I109" s="2903">
        <f>(-0.161*(I108^2)-7.509*I108+6533)*(10^(-4))/I101</f>
        <v>0.26132</v>
      </c>
      <c r="J109" s="2903">
        <f>(-0.214*(J108^2)-21.991*J108+4665)*(10^(-4))/J101</f>
        <v>0.18660000000000002</v>
      </c>
      <c r="K109" s="2903">
        <f>(-0.214*(K108^2)-21.991*K108+4665)*(10^(-4))/K101</f>
        <v>0.18660000000000002</v>
      </c>
      <c r="L109" s="2903">
        <f>(-0.214*(L108^2)-21.991*L108+4665)*(10^(-4))/L101</f>
        <v>0.18660000000000002</v>
      </c>
      <c r="M109" s="2903">
        <f>(-0.214*(M108^2)-21.991*M108+4665)*(10^(-4))/M101</f>
        <v>0.18660000000000002</v>
      </c>
      <c r="N109" s="2903">
        <f>(-0.214*(N108^2)-21.991*N108+4665)*(10^(-4))/N101</f>
        <v>0.18660000000000002</v>
      </c>
    </row>
    <row r="110" spans="1:14">
      <c r="A110" s="3251" t="s">
        <v>2981</v>
      </c>
      <c r="B110" s="3251"/>
      <c r="C110" s="3251"/>
      <c r="D110" s="3251"/>
      <c r="E110" s="3251"/>
      <c r="F110" s="3251"/>
      <c r="G110" s="3251"/>
      <c r="H110" s="3251"/>
      <c r="I110" s="3251"/>
      <c r="J110" s="3251"/>
      <c r="K110" s="2906"/>
      <c r="L110" s="2906"/>
      <c r="M110" s="2906"/>
      <c r="N110" s="2906"/>
    </row>
    <row r="112" spans="1:14" ht="13.5" thickBot="1"/>
    <row r="113" spans="1:13" ht="25.5" thickBot="1">
      <c r="A113" s="903" t="s">
        <v>2982</v>
      </c>
      <c r="B113" s="1290">
        <f>G3</f>
        <v>2.5</v>
      </c>
      <c r="C113" s="904" t="s">
        <v>2983</v>
      </c>
      <c r="D113" s="905">
        <f>SUMPRODUCT((A115:A118=F113)*(B114:M114=H113)*B115:M118)</f>
        <v>0</v>
      </c>
      <c r="E113" s="2729" t="s">
        <v>2813</v>
      </c>
      <c r="F113" s="2908">
        <f>E2</f>
        <v>0</v>
      </c>
      <c r="G113" s="2729" t="s">
        <v>2814</v>
      </c>
      <c r="H113" s="2908">
        <f>G2</f>
        <v>0</v>
      </c>
      <c r="I113" s="2729"/>
      <c r="J113" s="2909"/>
      <c r="K113" s="2909"/>
      <c r="L113" s="2909"/>
      <c r="M113" s="2909"/>
    </row>
    <row r="114" spans="1:13">
      <c r="A114" s="908"/>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9" t="s">
        <v>2878</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2879</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2880</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2881</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48" sqref="M48"/>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3004</v>
      </c>
    </row>
    <row r="2" spans="1:5" ht="15.75">
      <c r="A2" s="2915" t="s">
        <v>2996</v>
      </c>
      <c r="B2" s="2916" t="e">
        <f ca="1">SUMIF(B6:B13,"&lt;&gt;#ref!",B6:B13)</f>
        <v>#DIV/0!</v>
      </c>
      <c r="C2" s="2915" t="s">
        <v>2997</v>
      </c>
      <c r="D2" s="2915" t="s">
        <v>2998</v>
      </c>
      <c r="E2" s="2916">
        <f ca="1">SUMIF(E6:E13,"&lt;&gt;#ref!",E6:E13)</f>
        <v>0</v>
      </c>
    </row>
    <row r="3" spans="1:5" ht="15.75">
      <c r="A3" s="2915" t="s">
        <v>2999</v>
      </c>
      <c r="B3" s="2916" t="e">
        <f ca="1">ROUND(B2*10000/E2,0)</f>
        <v>#DIV/0!</v>
      </c>
      <c r="C3" s="2915" t="s">
        <v>3005</v>
      </c>
      <c r="D3" s="2917"/>
      <c r="E3" s="2917"/>
    </row>
    <row r="4" spans="1:5" ht="15.75">
      <c r="A4" s="2918"/>
      <c r="B4" s="2917"/>
      <c r="C4" s="2917"/>
      <c r="D4" s="2917"/>
      <c r="E4" s="2917"/>
    </row>
    <row r="5" spans="1:5" ht="28.5">
      <c r="A5" s="2919" t="s">
        <v>3000</v>
      </c>
      <c r="B5" s="2915" t="s">
        <v>3001</v>
      </c>
      <c r="C5" s="2916"/>
      <c r="D5" s="2917"/>
      <c r="E5" s="2915" t="s">
        <v>3002</v>
      </c>
    </row>
    <row r="6" spans="1:5" ht="15.75">
      <c r="A6" s="2920" t="s">
        <v>3003</v>
      </c>
      <c r="B6" s="2916" t="e">
        <f ca="1">SUMIF(INDIRECT("'"&amp;A6&amp;"'"&amp;"!A:A"),"总价",INDIRECT("'"&amp;A6&amp;"'"&amp;"!B:B"))</f>
        <v>#DIV/0!</v>
      </c>
      <c r="C6" s="2915" t="s">
        <v>2997</v>
      </c>
      <c r="D6" s="2917"/>
      <c r="E6" s="2580">
        <f ca="1">SUMIF(INDIRECT("'"&amp;A6&amp;"'"&amp;"!C:C"),"建筑面积",INDIRECT("'"&amp;A6&amp;"'"&amp;"!D:D"))</f>
        <v>0</v>
      </c>
    </row>
    <row r="7" spans="1:5" ht="15.75">
      <c r="A7" s="2920"/>
      <c r="B7" s="2916" t="e">
        <f ca="1">SUMIF(INDIRECT("'"&amp;A7&amp;"'"&amp;"!A:A"),"总价",INDIRECT("'"&amp;A7&amp;"'"&amp;"!B:B"))</f>
        <v>#REF!</v>
      </c>
      <c r="C7" s="2915" t="s">
        <v>2997</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2997</v>
      </c>
      <c r="D8" s="2917"/>
      <c r="E8" s="2580" t="e">
        <f t="shared" ca="1" si="0"/>
        <v>#REF!</v>
      </c>
    </row>
    <row r="9" spans="1:5" ht="15.75">
      <c r="A9" s="2920"/>
      <c r="B9" s="2916" t="e">
        <f t="shared" ca="1" si="1"/>
        <v>#REF!</v>
      </c>
      <c r="C9" s="2915" t="s">
        <v>2997</v>
      </c>
      <c r="D9" s="2917"/>
      <c r="E9" s="2580" t="e">
        <f t="shared" ca="1" si="0"/>
        <v>#REF!</v>
      </c>
    </row>
    <row r="10" spans="1:5" ht="15.75">
      <c r="A10" s="2920"/>
      <c r="B10" s="2916" t="e">
        <f t="shared" ca="1" si="1"/>
        <v>#REF!</v>
      </c>
      <c r="C10" s="2915" t="s">
        <v>2997</v>
      </c>
      <c r="D10" s="2917"/>
      <c r="E10" s="2580" t="e">
        <f t="shared" ca="1" si="0"/>
        <v>#REF!</v>
      </c>
    </row>
    <row r="11" spans="1:5" ht="15.75">
      <c r="A11" s="2920"/>
      <c r="B11" s="2916" t="e">
        <f t="shared" ca="1" si="1"/>
        <v>#REF!</v>
      </c>
      <c r="C11" s="2915" t="s">
        <v>2997</v>
      </c>
      <c r="D11" s="2917"/>
      <c r="E11" s="2580" t="e">
        <f t="shared" ca="1" si="0"/>
        <v>#REF!</v>
      </c>
    </row>
    <row r="12" spans="1:5" ht="15.75">
      <c r="A12" s="2920"/>
      <c r="B12" s="2916" t="e">
        <f t="shared" ca="1" si="1"/>
        <v>#REF!</v>
      </c>
      <c r="C12" s="2915" t="s">
        <v>2997</v>
      </c>
      <c r="D12" s="2917"/>
      <c r="E12" s="2580" t="e">
        <f t="shared" ca="1" si="0"/>
        <v>#REF!</v>
      </c>
    </row>
    <row r="13" spans="1:5" ht="15.75">
      <c r="A13" s="2920"/>
      <c r="B13" s="2916" t="e">
        <f t="shared" ca="1" si="1"/>
        <v>#REF!</v>
      </c>
      <c r="C13" s="2915" t="s">
        <v>2997</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M48" sqref="M4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4" t="s">
        <v>1143</v>
      </c>
      <c r="C1" s="3274"/>
      <c r="D1" s="3274"/>
      <c r="E1" s="3274"/>
      <c r="F1" s="3274"/>
      <c r="G1" s="3270" t="s">
        <v>1144</v>
      </c>
      <c r="H1" s="3270"/>
      <c r="I1" s="3270"/>
      <c r="J1" s="3270"/>
      <c r="K1" s="3270"/>
      <c r="L1" s="3270"/>
      <c r="N1" s="3270" t="s">
        <v>1145</v>
      </c>
      <c r="O1" s="3270"/>
      <c r="P1" s="3270"/>
      <c r="Q1" s="3270"/>
      <c r="R1" s="1449"/>
      <c r="S1" s="3270" t="s">
        <v>1146</v>
      </c>
      <c r="T1" s="3270"/>
      <c r="U1" s="3270"/>
      <c r="V1" s="3270"/>
      <c r="X1" s="3269" t="s">
        <v>1147</v>
      </c>
      <c r="Y1" s="3270"/>
      <c r="Z1" s="3270"/>
      <c r="AA1" s="3270"/>
      <c r="AB1" s="3270"/>
      <c r="AD1" s="3269" t="s">
        <v>1148</v>
      </c>
      <c r="AE1" s="3270"/>
      <c r="AF1" s="3270"/>
      <c r="AG1" s="3270"/>
      <c r="AH1" s="3270"/>
    </row>
    <row r="2" spans="1:34" s="1450" customFormat="1" ht="14.25" thickBot="1">
      <c r="B2" s="1451" t="s">
        <v>1149</v>
      </c>
      <c r="C2" s="1451" t="s">
        <v>1150</v>
      </c>
      <c r="D2" s="1452" t="s">
        <v>1151</v>
      </c>
      <c r="E2" s="1452" t="s">
        <v>1152</v>
      </c>
      <c r="F2" s="1451" t="s">
        <v>1153</v>
      </c>
      <c r="G2" s="1453"/>
      <c r="H2" s="1454"/>
      <c r="I2" s="1451" t="s">
        <v>1149</v>
      </c>
      <c r="J2" s="1452" t="s">
        <v>1378</v>
      </c>
      <c r="K2" s="1452" t="s">
        <v>751</v>
      </c>
      <c r="L2" s="1451" t="s">
        <v>1153</v>
      </c>
      <c r="N2" s="1451" t="s">
        <v>1149</v>
      </c>
      <c r="O2" s="1452" t="s">
        <v>1378</v>
      </c>
      <c r="P2" s="1452" t="s">
        <v>751</v>
      </c>
      <c r="Q2" s="1451" t="s">
        <v>1153</v>
      </c>
      <c r="R2" s="1455"/>
      <c r="S2" s="1451" t="s">
        <v>1149</v>
      </c>
      <c r="T2" s="1452" t="s">
        <v>1378</v>
      </c>
      <c r="U2" s="1452" t="s">
        <v>751</v>
      </c>
      <c r="V2" s="1451" t="s">
        <v>1153</v>
      </c>
      <c r="X2" s="1451" t="s">
        <v>1149</v>
      </c>
      <c r="Y2" s="1451" t="s">
        <v>1150</v>
      </c>
      <c r="Z2" s="1452" t="s">
        <v>1151</v>
      </c>
      <c r="AA2" s="1452" t="s">
        <v>1152</v>
      </c>
      <c r="AB2" s="1451" t="s">
        <v>1153</v>
      </c>
      <c r="AD2" s="1451" t="s">
        <v>1149</v>
      </c>
      <c r="AE2" s="1451" t="s">
        <v>1150</v>
      </c>
      <c r="AF2" s="1452" t="s">
        <v>1151</v>
      </c>
      <c r="AG2" s="1452" t="s">
        <v>1152</v>
      </c>
      <c r="AH2" s="1451" t="s">
        <v>1153</v>
      </c>
    </row>
    <row r="3" spans="1:34" s="2934" customFormat="1" ht="14.25">
      <c r="A3" s="2943" t="s">
        <v>3039</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1379</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1154</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5">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2"/>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2"/>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3"/>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1">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2"/>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2"/>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3"/>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1">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2"/>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2"/>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3"/>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1155</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1156</v>
      </c>
      <c r="B24" s="1472">
        <v>299</v>
      </c>
      <c r="C24" s="1472">
        <v>252</v>
      </c>
      <c r="D24" s="1472">
        <f t="shared" si="54"/>
        <v>252</v>
      </c>
      <c r="E24" s="1472">
        <v>409</v>
      </c>
      <c r="F24" s="1473">
        <v>227</v>
      </c>
      <c r="G24" s="3276">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1157</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7"/>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1158</v>
      </c>
      <c r="B26" s="1480">
        <f t="shared" si="63"/>
        <v>288.2649053828776</v>
      </c>
      <c r="C26" s="1480">
        <f t="shared" si="63"/>
        <v>243.64564425013293</v>
      </c>
      <c r="D26" s="1480">
        <f t="shared" si="54"/>
        <v>243.64564425013293</v>
      </c>
      <c r="E26" s="1480">
        <f t="shared" si="64"/>
        <v>393.31080825986544</v>
      </c>
      <c r="F26" s="1480">
        <f t="shared" si="64"/>
        <v>223.07903790551154</v>
      </c>
      <c r="G26" s="3277"/>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1159</v>
      </c>
      <c r="B27" s="1480">
        <f t="shared" si="63"/>
        <v>282.50186729015837</v>
      </c>
      <c r="C27" s="1480">
        <f t="shared" si="63"/>
        <v>238.09796174155468</v>
      </c>
      <c r="D27" s="1480">
        <f t="shared" si="54"/>
        <v>238.09796174155468</v>
      </c>
      <c r="E27" s="1480">
        <f t="shared" si="64"/>
        <v>385.33438646014054</v>
      </c>
      <c r="F27" s="1480">
        <f t="shared" si="64"/>
        <v>221.55034055567739</v>
      </c>
      <c r="G27" s="3278"/>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1160</v>
      </c>
      <c r="B28" s="1514">
        <v>278</v>
      </c>
      <c r="C28" s="1514">
        <v>234</v>
      </c>
      <c r="D28" s="1514">
        <f t="shared" si="54"/>
        <v>234</v>
      </c>
      <c r="E28" s="1514">
        <v>379</v>
      </c>
      <c r="F28" s="1515">
        <v>220</v>
      </c>
      <c r="G28" s="3271">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1161</v>
      </c>
      <c r="B29" s="1480">
        <f>B28/(1+N28)</f>
        <v>275.49301357645425</v>
      </c>
      <c r="C29" s="1480">
        <f>C28/(1+O28)</f>
        <v>232.41954707985698</v>
      </c>
      <c r="D29" s="1480">
        <f t="shared" si="54"/>
        <v>232.41954707985698</v>
      </c>
      <c r="E29" s="1480">
        <f t="shared" ref="E29:F31" si="65">E28/(1+P28)</f>
        <v>375.32184591008121</v>
      </c>
      <c r="F29" s="1480">
        <f t="shared" si="65"/>
        <v>218.03766105054513</v>
      </c>
      <c r="G29" s="3272"/>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1162</v>
      </c>
      <c r="B30" s="1480">
        <f>B29/(1+N29)</f>
        <v>275.24529281292263</v>
      </c>
      <c r="C30" s="1480">
        <f>C29/(1+O29)</f>
        <v>231.74747938962707</v>
      </c>
      <c r="D30" s="1480">
        <f t="shared" si="54"/>
        <v>231.74747938962707</v>
      </c>
      <c r="E30" s="1480">
        <f t="shared" si="65"/>
        <v>375.35938184826603</v>
      </c>
      <c r="F30" s="1480">
        <f t="shared" si="65"/>
        <v>216.78033510692495</v>
      </c>
      <c r="G30" s="3272"/>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1163</v>
      </c>
      <c r="B31" s="1480">
        <f>B30/(1+N30)</f>
        <v>275.19025476197027</v>
      </c>
      <c r="C31" s="1516">
        <v>232</v>
      </c>
      <c r="D31" s="1516">
        <f t="shared" si="54"/>
        <v>232</v>
      </c>
      <c r="E31" s="1480">
        <f t="shared" si="65"/>
        <v>375.65990977608692</v>
      </c>
      <c r="F31" s="1480">
        <f t="shared" si="65"/>
        <v>214.12518283971252</v>
      </c>
      <c r="G31" s="3273"/>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1164</v>
      </c>
      <c r="B32" s="1472">
        <v>275</v>
      </c>
      <c r="C32" s="1472">
        <v>232</v>
      </c>
      <c r="D32" s="1472">
        <f t="shared" si="54"/>
        <v>232</v>
      </c>
      <c r="E32" s="1472">
        <v>376</v>
      </c>
      <c r="F32" s="1473">
        <v>213</v>
      </c>
      <c r="G32" s="3271">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1165</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2">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1166</v>
      </c>
      <c r="B34" s="1480">
        <f t="shared" si="66"/>
        <v>275.19335084830601</v>
      </c>
      <c r="C34" s="1480">
        <f t="shared" si="66"/>
        <v>230.18088050139744</v>
      </c>
      <c r="D34" s="1480">
        <f t="shared" si="54"/>
        <v>230.18088050139744</v>
      </c>
      <c r="E34" s="1480">
        <f t="shared" si="67"/>
        <v>377.58482925212331</v>
      </c>
      <c r="F34" s="1480">
        <f t="shared" si="67"/>
        <v>210.90687997847917</v>
      </c>
      <c r="G34" s="3272">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1167</v>
      </c>
      <c r="B35" s="1480">
        <f t="shared" si="66"/>
        <v>276.29854502841971</v>
      </c>
      <c r="C35" s="1480">
        <f t="shared" si="66"/>
        <v>229.79023709833027</v>
      </c>
      <c r="D35" s="1480">
        <f t="shared" si="54"/>
        <v>229.79023709833027</v>
      </c>
      <c r="E35" s="1480">
        <f t="shared" si="67"/>
        <v>379.78759731655936</v>
      </c>
      <c r="F35" s="1480">
        <f t="shared" si="67"/>
        <v>211.32953905659235</v>
      </c>
      <c r="G35" s="3273">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1168</v>
      </c>
      <c r="B36" s="1472">
        <v>269</v>
      </c>
      <c r="C36" s="1472">
        <v>221</v>
      </c>
      <c r="D36" s="1472">
        <f t="shared" si="54"/>
        <v>221</v>
      </c>
      <c r="E36" s="1472">
        <v>373</v>
      </c>
      <c r="F36" s="1473">
        <v>196</v>
      </c>
      <c r="G36" s="3271">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1169</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2">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1170</v>
      </c>
      <c r="B38" s="1480">
        <f t="shared" si="68"/>
        <v>242.95398227588385</v>
      </c>
      <c r="C38" s="1480">
        <f t="shared" si="68"/>
        <v>199.59137053614126</v>
      </c>
      <c r="D38" s="1480">
        <f t="shared" si="54"/>
        <v>199.59137053614126</v>
      </c>
      <c r="E38" s="1480">
        <f t="shared" si="69"/>
        <v>335.92189522342125</v>
      </c>
      <c r="F38" s="1480">
        <f t="shared" si="69"/>
        <v>183.10139991109489</v>
      </c>
      <c r="G38" s="3272">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1171</v>
      </c>
      <c r="B39" s="1480">
        <f t="shared" si="68"/>
        <v>232.06990378821649</v>
      </c>
      <c r="C39" s="1480">
        <f t="shared" si="68"/>
        <v>192.74878854286936</v>
      </c>
      <c r="D39" s="1480">
        <f t="shared" si="54"/>
        <v>192.74878854286936</v>
      </c>
      <c r="E39" s="1480">
        <f t="shared" si="69"/>
        <v>319.71247284992984</v>
      </c>
      <c r="F39" s="1480">
        <f t="shared" si="69"/>
        <v>175.67053622862409</v>
      </c>
      <c r="G39" s="3273">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1172</v>
      </c>
      <c r="B40" s="1472">
        <v>220</v>
      </c>
      <c r="C40" s="1472">
        <v>187</v>
      </c>
      <c r="D40" s="1472">
        <f t="shared" si="54"/>
        <v>187</v>
      </c>
      <c r="E40" s="1472">
        <v>301</v>
      </c>
      <c r="F40" s="1473">
        <v>168</v>
      </c>
      <c r="G40" s="3271">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1173</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2">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1174</v>
      </c>
      <c r="B42" s="1480">
        <f t="shared" si="70"/>
        <v>210.630522469011</v>
      </c>
      <c r="C42" s="1480">
        <f t="shared" si="70"/>
        <v>181.69567812247232</v>
      </c>
      <c r="D42" s="1480">
        <f t="shared" si="54"/>
        <v>181.69567812247232</v>
      </c>
      <c r="E42" s="1480">
        <f t="shared" si="71"/>
        <v>286.13517466736738</v>
      </c>
      <c r="F42" s="1480">
        <f t="shared" si="71"/>
        <v>165.47535084591149</v>
      </c>
      <c r="G42" s="3272">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1175</v>
      </c>
      <c r="B43" s="1480">
        <f t="shared" si="70"/>
        <v>208.83454537875372</v>
      </c>
      <c r="C43" s="1480">
        <f t="shared" si="70"/>
        <v>183.77230517090351</v>
      </c>
      <c r="D43" s="1480">
        <f t="shared" si="54"/>
        <v>183.77230517090351</v>
      </c>
      <c r="E43" s="1480">
        <f t="shared" si="71"/>
        <v>281.10342338870947</v>
      </c>
      <c r="F43" s="1480">
        <f t="shared" si="71"/>
        <v>168.97309388942256</v>
      </c>
      <c r="G43" s="3273">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1176</v>
      </c>
      <c r="B44" s="1514">
        <v>214</v>
      </c>
      <c r="C44" s="1514">
        <v>188</v>
      </c>
      <c r="D44" s="1514">
        <f t="shared" si="54"/>
        <v>188</v>
      </c>
      <c r="E44" s="1514">
        <v>289</v>
      </c>
      <c r="F44" s="1515">
        <v>166</v>
      </c>
      <c r="G44" s="3271">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1177</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2">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1178</v>
      </c>
      <c r="B46" s="1480">
        <f t="shared" si="72"/>
        <v>206.31694671589116</v>
      </c>
      <c r="C46" s="1480">
        <f t="shared" si="72"/>
        <v>183.61041121036101</v>
      </c>
      <c r="D46" s="1480">
        <f t="shared" si="54"/>
        <v>183.61041121036101</v>
      </c>
      <c r="E46" s="1480">
        <f t="shared" si="73"/>
        <v>276.66850301795557</v>
      </c>
      <c r="F46" s="1480">
        <f t="shared" si="73"/>
        <v>165.1360938278614</v>
      </c>
      <c r="G46" s="3272">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1179</v>
      </c>
      <c r="B47" s="1517">
        <f t="shared" si="72"/>
        <v>196.62341248059772</v>
      </c>
      <c r="C47" s="1517">
        <f t="shared" si="72"/>
        <v>170.99125648199012</v>
      </c>
      <c r="D47" s="1517">
        <f t="shared" si="54"/>
        <v>170.99125648199012</v>
      </c>
      <c r="E47" s="1517">
        <f t="shared" si="73"/>
        <v>266.07857570490052</v>
      </c>
      <c r="F47" s="1517">
        <f t="shared" si="73"/>
        <v>154.53499328828505</v>
      </c>
      <c r="G47" s="3273">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1180</v>
      </c>
      <c r="B48" s="1472">
        <v>188</v>
      </c>
      <c r="C48" s="1472">
        <v>165</v>
      </c>
      <c r="D48" s="1472">
        <f t="shared" si="54"/>
        <v>165</v>
      </c>
      <c r="E48" s="1472">
        <v>254</v>
      </c>
      <c r="F48" s="1473">
        <v>148</v>
      </c>
      <c r="G48" s="3271">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1181</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2">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1182</v>
      </c>
      <c r="B50" s="1480">
        <f t="shared" si="76"/>
        <v>168.82017748715555</v>
      </c>
      <c r="C50" s="1480">
        <f t="shared" si="76"/>
        <v>148.06267029972753</v>
      </c>
      <c r="D50" s="1480">
        <f t="shared" si="54"/>
        <v>148.06267029972753</v>
      </c>
      <c r="E50" s="1480">
        <f t="shared" si="77"/>
        <v>216.46288379323747</v>
      </c>
      <c r="F50" s="1480">
        <f t="shared" si="77"/>
        <v>134.23529411764704</v>
      </c>
      <c r="G50" s="3272">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1183</v>
      </c>
      <c r="B51" s="1480">
        <f t="shared" si="76"/>
        <v>163.84913591779542</v>
      </c>
      <c r="C51" s="1480">
        <f t="shared" si="76"/>
        <v>145.0283378746594</v>
      </c>
      <c r="D51" s="1480">
        <f t="shared" si="54"/>
        <v>145.0283378746594</v>
      </c>
      <c r="E51" s="1480">
        <f t="shared" si="77"/>
        <v>204.95180722891567</v>
      </c>
      <c r="F51" s="1480">
        <f t="shared" si="77"/>
        <v>125.95920303605313</v>
      </c>
      <c r="G51" s="3273">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1184</v>
      </c>
      <c r="B52" s="1493">
        <v>159</v>
      </c>
      <c r="C52" s="1493">
        <v>141</v>
      </c>
      <c r="D52" s="1493">
        <f t="shared" si="54"/>
        <v>141</v>
      </c>
      <c r="E52" s="1493">
        <v>195</v>
      </c>
      <c r="F52" s="1494">
        <v>122</v>
      </c>
      <c r="G52" s="3271">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1185</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2">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1186</v>
      </c>
      <c r="B54" s="1480">
        <f t="shared" si="80"/>
        <v>146.57412060301507</v>
      </c>
      <c r="C54" s="1480">
        <f t="shared" si="80"/>
        <v>136.46831955922866</v>
      </c>
      <c r="D54" s="1480">
        <f t="shared" si="54"/>
        <v>136.46831955922866</v>
      </c>
      <c r="E54" s="1480">
        <f t="shared" si="81"/>
        <v>166.73864894795128</v>
      </c>
      <c r="F54" s="1480">
        <f t="shared" si="81"/>
        <v>115.05882352941177</v>
      </c>
      <c r="G54" s="3272">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1187</v>
      </c>
      <c r="B55" s="1480">
        <f t="shared" si="80"/>
        <v>144.04145728643215</v>
      </c>
      <c r="C55" s="1480">
        <f t="shared" si="80"/>
        <v>136.12396694214877</v>
      </c>
      <c r="D55" s="1480">
        <f t="shared" si="54"/>
        <v>136.12396694214877</v>
      </c>
      <c r="E55" s="1480">
        <f t="shared" si="81"/>
        <v>158.32225913621264</v>
      </c>
      <c r="F55" s="1480">
        <f t="shared" si="81"/>
        <v>114.04278074866311</v>
      </c>
      <c r="G55" s="3273">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1188</v>
      </c>
      <c r="B56" s="1493">
        <v>138</v>
      </c>
      <c r="C56" s="1493">
        <v>131</v>
      </c>
      <c r="D56" s="1493">
        <f t="shared" si="54"/>
        <v>131</v>
      </c>
      <c r="E56" s="1493">
        <v>155</v>
      </c>
      <c r="F56" s="1494">
        <v>114</v>
      </c>
      <c r="G56" s="3271">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1189</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2">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1190</v>
      </c>
      <c r="B58" s="1480">
        <f t="shared" si="84"/>
        <v>124.29032258064517</v>
      </c>
      <c r="C58" s="1480">
        <f t="shared" si="84"/>
        <v>123.8968609865471</v>
      </c>
      <c r="D58" s="1480">
        <f t="shared" si="54"/>
        <v>123.8968609865471</v>
      </c>
      <c r="E58" s="1480">
        <f t="shared" si="85"/>
        <v>138.00507614213197</v>
      </c>
      <c r="F58" s="1480">
        <f t="shared" si="85"/>
        <v>107.96106557377048</v>
      </c>
      <c r="G58" s="3272">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1191</v>
      </c>
      <c r="B59" s="1480">
        <f t="shared" si="84"/>
        <v>122.57204301075269</v>
      </c>
      <c r="C59" s="1480">
        <f t="shared" si="84"/>
        <v>123.4932735426009</v>
      </c>
      <c r="D59" s="1480">
        <f t="shared" si="54"/>
        <v>123.4932735426009</v>
      </c>
      <c r="E59" s="1480">
        <f t="shared" si="85"/>
        <v>129.82233502538071</v>
      </c>
      <c r="F59" s="1480">
        <f t="shared" si="85"/>
        <v>107.39446721311475</v>
      </c>
      <c r="G59" s="3273">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1192</v>
      </c>
      <c r="B60" s="1514">
        <v>121</v>
      </c>
      <c r="C60" s="1514">
        <v>122</v>
      </c>
      <c r="D60" s="1514">
        <f t="shared" si="54"/>
        <v>122</v>
      </c>
      <c r="E60" s="1514">
        <v>124</v>
      </c>
      <c r="F60" s="1515">
        <v>107</v>
      </c>
      <c r="G60" s="3271">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1193</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2">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1194</v>
      </c>
      <c r="B62" s="1480">
        <f t="shared" si="88"/>
        <v>116.99099099099099</v>
      </c>
      <c r="C62" s="1480">
        <f t="shared" si="88"/>
        <v>118.84848484848486</v>
      </c>
      <c r="D62" s="1480">
        <f t="shared" si="54"/>
        <v>118.84848484848486</v>
      </c>
      <c r="E62" s="1480">
        <f t="shared" si="89"/>
        <v>117.60960960960961</v>
      </c>
      <c r="F62" s="1480">
        <f t="shared" si="89"/>
        <v>104</v>
      </c>
      <c r="G62" s="3272">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1195</v>
      </c>
      <c r="B63" s="1517">
        <f t="shared" si="88"/>
        <v>112.48648648648648</v>
      </c>
      <c r="C63" s="1517">
        <f t="shared" si="88"/>
        <v>115.21212121212122</v>
      </c>
      <c r="D63" s="1517">
        <f t="shared" si="54"/>
        <v>115.21212121212122</v>
      </c>
      <c r="E63" s="1517">
        <f t="shared" si="89"/>
        <v>110.4024024024024</v>
      </c>
      <c r="F63" s="1517">
        <f t="shared" si="89"/>
        <v>104</v>
      </c>
      <c r="G63" s="3273">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1196</v>
      </c>
      <c r="B64" s="1535">
        <v>111</v>
      </c>
      <c r="C64" s="1535">
        <v>114</v>
      </c>
      <c r="D64" s="1535">
        <f t="shared" si="54"/>
        <v>114</v>
      </c>
      <c r="E64" s="1535">
        <v>108</v>
      </c>
      <c r="F64" s="1536">
        <v>104</v>
      </c>
      <c r="G64" s="3271">
        <v>2003</v>
      </c>
      <c r="H64" s="1525">
        <v>4</v>
      </c>
      <c r="I64" s="1537"/>
      <c r="J64" s="1537"/>
      <c r="K64" s="1537"/>
      <c r="L64" s="1537"/>
      <c r="N64" s="1538"/>
      <c r="O64" s="1537"/>
      <c r="P64" s="1537"/>
      <c r="Q64" s="1537"/>
      <c r="S64" s="1538"/>
      <c r="T64" s="1537"/>
      <c r="U64" s="1537"/>
      <c r="V64" s="1537"/>
      <c r="X64" s="1529"/>
      <c r="Y64" s="1529"/>
      <c r="Z64" s="1529"/>
    </row>
    <row r="65" spans="1:26">
      <c r="A65" s="1464" t="s">
        <v>1197</v>
      </c>
      <c r="B65" s="1539">
        <f t="shared" ref="B65:C67" si="90">B66+(B$64-B$68)/4</f>
        <v>109.75</v>
      </c>
      <c r="C65" s="1539">
        <f t="shared" si="90"/>
        <v>112.25</v>
      </c>
      <c r="D65" s="1539">
        <f t="shared" si="54"/>
        <v>112.25</v>
      </c>
      <c r="E65" s="1539">
        <f t="shared" ref="E65:F67" si="91">E66+(E$64-E$68)/4</f>
        <v>107.25</v>
      </c>
      <c r="F65" s="1539">
        <f t="shared" si="91"/>
        <v>103.5</v>
      </c>
      <c r="G65" s="3272">
        <v>2003</v>
      </c>
      <c r="H65" s="1490">
        <v>3</v>
      </c>
      <c r="I65" s="1537"/>
      <c r="J65" s="1537"/>
      <c r="K65" s="1537"/>
      <c r="L65" s="1537"/>
      <c r="X65" s="1529"/>
      <c r="Y65" s="1529"/>
      <c r="Z65" s="1529"/>
    </row>
    <row r="66" spans="1:26">
      <c r="A66" s="1464" t="s">
        <v>1198</v>
      </c>
      <c r="B66" s="1539">
        <f t="shared" si="90"/>
        <v>108.5</v>
      </c>
      <c r="C66" s="1539">
        <f t="shared" si="90"/>
        <v>110.5</v>
      </c>
      <c r="D66" s="1539">
        <f t="shared" si="54"/>
        <v>110.5</v>
      </c>
      <c r="E66" s="1539">
        <f t="shared" si="91"/>
        <v>106.5</v>
      </c>
      <c r="F66" s="1539">
        <f t="shared" si="91"/>
        <v>103</v>
      </c>
      <c r="G66" s="3272">
        <v>2003</v>
      </c>
      <c r="H66" s="1468">
        <v>2</v>
      </c>
      <c r="I66" s="1537"/>
      <c r="J66" s="1537"/>
      <c r="K66" s="1537"/>
      <c r="L66" s="1537"/>
      <c r="X66" s="1529"/>
      <c r="Y66" s="1529"/>
      <c r="Z66" s="1529"/>
    </row>
    <row r="67" spans="1:26" ht="13.5" thickBot="1">
      <c r="A67" s="1464" t="s">
        <v>1199</v>
      </c>
      <c r="B67" s="1539">
        <f t="shared" si="90"/>
        <v>107.25</v>
      </c>
      <c r="C67" s="1539">
        <f t="shared" si="90"/>
        <v>108.75</v>
      </c>
      <c r="D67" s="1539">
        <f t="shared" si="54"/>
        <v>108.75</v>
      </c>
      <c r="E67" s="1539">
        <f t="shared" si="91"/>
        <v>105.75</v>
      </c>
      <c r="F67" s="1539">
        <f t="shared" si="91"/>
        <v>102.5</v>
      </c>
      <c r="G67" s="3273">
        <v>2003</v>
      </c>
      <c r="H67" s="1540">
        <v>1</v>
      </c>
      <c r="I67" s="1537"/>
      <c r="J67" s="1537"/>
      <c r="K67" s="1537"/>
      <c r="L67" s="1537"/>
      <c r="S67" s="1475"/>
      <c r="T67" s="1476"/>
      <c r="U67" s="1476"/>
      <c r="X67" s="1529"/>
      <c r="Y67" s="1529"/>
      <c r="Z67" s="1529"/>
    </row>
    <row r="68" spans="1:26" ht="13.5" thickBot="1">
      <c r="A68" s="1464" t="s">
        <v>1200</v>
      </c>
      <c r="B68" s="1541">
        <v>106</v>
      </c>
      <c r="C68" s="1541">
        <v>107</v>
      </c>
      <c r="D68" s="1541">
        <f t="shared" si="54"/>
        <v>107</v>
      </c>
      <c r="E68" s="1541">
        <v>105</v>
      </c>
      <c r="F68" s="1542">
        <v>102</v>
      </c>
      <c r="G68" s="3271">
        <v>2002</v>
      </c>
      <c r="H68" s="1485">
        <v>4</v>
      </c>
      <c r="I68" s="1537"/>
      <c r="J68" s="1537"/>
      <c r="K68" s="1537"/>
      <c r="L68" s="1537"/>
      <c r="N68" s="1538"/>
      <c r="O68" s="1537"/>
      <c r="P68" s="1537"/>
      <c r="Q68" s="1537"/>
      <c r="S68" s="1538"/>
      <c r="T68" s="1537"/>
      <c r="U68" s="1537"/>
      <c r="V68" s="1537"/>
      <c r="X68" s="1529"/>
      <c r="Y68" s="1529"/>
      <c r="Z68" s="1529"/>
    </row>
    <row r="69" spans="1:26">
      <c r="A69" s="1464" t="s">
        <v>1201</v>
      </c>
      <c r="B69" s="1539">
        <f t="shared" ref="B69:C71" si="92">B70+(B$68-B$72)/4</f>
        <v>105</v>
      </c>
      <c r="C69" s="1539">
        <f t="shared" si="92"/>
        <v>106</v>
      </c>
      <c r="D69" s="1539">
        <f t="shared" si="54"/>
        <v>106</v>
      </c>
      <c r="E69" s="1539">
        <f t="shared" ref="E69:F71" si="93">E70+(E$68-E$72)/4</f>
        <v>104.5</v>
      </c>
      <c r="F69" s="1539">
        <f t="shared" si="93"/>
        <v>101.5</v>
      </c>
      <c r="G69" s="3272">
        <v>2002</v>
      </c>
      <c r="H69" s="1490">
        <v>3</v>
      </c>
      <c r="I69" s="1537"/>
      <c r="J69" s="1537"/>
      <c r="K69" s="1537"/>
      <c r="L69" s="1537"/>
      <c r="X69" s="1529"/>
      <c r="Y69" s="1529"/>
      <c r="Z69" s="1529"/>
    </row>
    <row r="70" spans="1:26">
      <c r="A70" s="1464" t="s">
        <v>1202</v>
      </c>
      <c r="B70" s="1539">
        <f t="shared" si="92"/>
        <v>104</v>
      </c>
      <c r="C70" s="1539">
        <f t="shared" si="92"/>
        <v>105</v>
      </c>
      <c r="D70" s="1539">
        <f t="shared" si="54"/>
        <v>105</v>
      </c>
      <c r="E70" s="1539">
        <f t="shared" si="93"/>
        <v>104</v>
      </c>
      <c r="F70" s="1539">
        <f t="shared" si="93"/>
        <v>101</v>
      </c>
      <c r="G70" s="3272">
        <v>2002</v>
      </c>
      <c r="H70" s="1468">
        <v>2</v>
      </c>
      <c r="I70" s="1537"/>
      <c r="J70" s="1537"/>
      <c r="K70" s="1537"/>
      <c r="L70" s="1537"/>
      <c r="X70" s="1529"/>
      <c r="Y70" s="1529"/>
      <c r="Z70" s="1529"/>
    </row>
    <row r="71" spans="1:26" s="1501" customFormat="1" ht="13.5" thickBot="1">
      <c r="A71" s="1497" t="s">
        <v>1203</v>
      </c>
      <c r="B71" s="1543">
        <f t="shared" si="92"/>
        <v>103</v>
      </c>
      <c r="C71" s="1543">
        <f t="shared" si="92"/>
        <v>104</v>
      </c>
      <c r="D71" s="1543">
        <f t="shared" si="54"/>
        <v>104</v>
      </c>
      <c r="E71" s="1543">
        <f t="shared" si="93"/>
        <v>103.5</v>
      </c>
      <c r="F71" s="1543">
        <f t="shared" si="93"/>
        <v>100.5</v>
      </c>
      <c r="G71" s="3273">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1204</v>
      </c>
      <c r="G74" s="1553"/>
      <c r="N74" s="1553"/>
      <c r="S74" s="1553"/>
    </row>
    <row r="75" spans="1:26" s="1552" customFormat="1">
      <c r="A75" s="1552" t="s">
        <v>1205</v>
      </c>
      <c r="G75" s="1553"/>
      <c r="N75" s="1553"/>
      <c r="S75" s="1553"/>
    </row>
    <row r="76" spans="1:26" s="1552" customFormat="1">
      <c r="A76" s="1552" t="s">
        <v>1206</v>
      </c>
      <c r="G76" s="1553"/>
      <c r="I76" s="1554"/>
      <c r="J76" s="1554"/>
      <c r="K76" s="1554"/>
      <c r="L76" s="1554"/>
      <c r="N76" s="1555"/>
      <c r="O76" s="1554"/>
      <c r="P76" s="1554"/>
      <c r="Q76" s="1554"/>
      <c r="S76" s="1555"/>
      <c r="T76" s="1554"/>
      <c r="U76" s="1554"/>
      <c r="V76" s="1554"/>
    </row>
    <row r="77" spans="1:26" s="1552" customFormat="1">
      <c r="A77" s="1552" t="s">
        <v>1207</v>
      </c>
      <c r="G77" s="1553"/>
      <c r="N77" s="1553"/>
      <c r="S77" s="1553"/>
    </row>
    <row r="84" spans="7:22" ht="13.5" thickBot="1"/>
    <row r="85" spans="7:22">
      <c r="G85" s="1474"/>
      <c r="S85" s="1556" t="s">
        <v>1208</v>
      </c>
      <c r="T85" s="1557" t="s">
        <v>1209</v>
      </c>
      <c r="U85" s="1557" t="s">
        <v>1210</v>
      </c>
      <c r="V85" s="1557" t="s">
        <v>1211</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8" sqref="M48"/>
      <selection pane="bottomLeft" activeCell="M48" sqref="M4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80" t="s">
        <v>3007</v>
      </c>
      <c r="D1" s="3281"/>
      <c r="E1" s="3281"/>
      <c r="F1" s="3281"/>
      <c r="G1" s="3281"/>
      <c r="H1" s="3281"/>
      <c r="I1" s="3281"/>
      <c r="J1" s="3281"/>
      <c r="K1" s="3281"/>
      <c r="L1" s="3281"/>
      <c r="M1" s="3281"/>
      <c r="N1" s="3281"/>
      <c r="O1" s="3281"/>
      <c r="P1" s="3281"/>
      <c r="Q1" s="3281"/>
      <c r="R1" s="3281"/>
      <c r="S1" s="3282"/>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3016</v>
      </c>
      <c r="B17" s="2922"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4" t="s">
        <v>3020</v>
      </c>
      <c r="E20" s="1796"/>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60" t="s">
        <v>33</v>
      </c>
      <c r="D22" s="3061"/>
      <c r="E22" s="3061"/>
      <c r="F22" s="3061"/>
      <c r="G22" s="3061"/>
      <c r="H22" s="3061"/>
      <c r="I22" s="3061"/>
      <c r="J22" s="3061"/>
      <c r="K22" s="3061"/>
      <c r="L22" s="3061"/>
      <c r="M22" s="3061"/>
      <c r="N22" s="3061"/>
      <c r="O22" s="3061"/>
      <c r="P22" s="3061"/>
      <c r="Q22" s="327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1614</v>
      </c>
      <c r="B1" s="1962"/>
      <c r="C1" s="1962"/>
      <c r="D1" s="1962"/>
      <c r="E1" s="1962"/>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4"/>
      <c r="B4" s="2963" t="s">
        <v>1623</v>
      </c>
      <c r="C4" s="2963"/>
      <c r="D4" s="2963"/>
      <c r="E4" s="1964"/>
    </row>
    <row r="5" spans="1:5" ht="16.5" thickTop="1">
      <c r="A5" s="1962"/>
      <c r="B5" s="2961" t="s">
        <v>1615</v>
      </c>
      <c r="C5" s="1965" t="s">
        <v>1616</v>
      </c>
      <c r="D5" s="1043">
        <f ca="1">结果表!H101</f>
        <v>95591</v>
      </c>
      <c r="E5" s="1962"/>
    </row>
    <row r="6" spans="1:5" ht="15.75">
      <c r="A6" s="1962"/>
      <c r="B6" s="2961"/>
      <c r="C6" s="1965" t="s">
        <v>1617</v>
      </c>
      <c r="D6" s="1043" t="str">
        <f ca="1">NUMBERSTRING(INT(D5*10000),2)&amp;"元整"</f>
        <v>玖亿伍仟伍佰玖拾壹万元整</v>
      </c>
      <c r="E6" s="1962"/>
    </row>
    <row r="7" spans="1:5" ht="15.75">
      <c r="A7" s="1962"/>
      <c r="B7" s="2966"/>
      <c r="C7" s="1966" t="s">
        <v>1618</v>
      </c>
      <c r="D7" s="1044">
        <f ca="1">结果表!H102</f>
        <v>19996</v>
      </c>
      <c r="E7" s="1962"/>
    </row>
    <row r="8" spans="1:5" ht="15.75">
      <c r="A8" s="1962"/>
      <c r="B8" s="2967" t="str">
        <f>结果表!E103</f>
        <v>2.估价师知悉的法定优先受偿款</v>
      </c>
      <c r="C8" s="1967" t="s">
        <v>1619</v>
      </c>
      <c r="D8" s="1044">
        <f>结果表!H103</f>
        <v>0</v>
      </c>
      <c r="E8" s="1962"/>
    </row>
    <row r="9" spans="1:5" ht="15.75">
      <c r="A9" s="1962"/>
      <c r="B9" s="2969"/>
      <c r="C9" s="1965" t="s">
        <v>1617</v>
      </c>
      <c r="D9" s="1043" t="str">
        <f>NUMBERSTRING(INT(D8*10000),2)&amp;"元整"</f>
        <v>零元整</v>
      </c>
      <c r="E9" s="1962"/>
    </row>
    <row r="10" spans="1:5" ht="15">
      <c r="A10" s="1962"/>
      <c r="B10" s="1968" t="s">
        <v>1622</v>
      </c>
      <c r="C10" s="1969" t="s">
        <v>1620</v>
      </c>
      <c r="D10" s="1045">
        <f>结果表!H104</f>
        <v>0</v>
      </c>
      <c r="E10" s="1962"/>
    </row>
    <row r="11" spans="1:5" ht="15">
      <c r="A11" s="1962"/>
      <c r="B11" s="1968" t="s">
        <v>1624</v>
      </c>
      <c r="C11" s="1969" t="s">
        <v>1625</v>
      </c>
      <c r="D11" s="1045">
        <f>结果表!H105</f>
        <v>0</v>
      </c>
      <c r="E11" s="1962"/>
    </row>
    <row r="12" spans="1:5" ht="15">
      <c r="A12" s="1962"/>
      <c r="B12" s="1968" t="s">
        <v>1626</v>
      </c>
      <c r="C12" s="1969" t="s">
        <v>1625</v>
      </c>
      <c r="D12" s="1045">
        <f>结果表!H106</f>
        <v>0</v>
      </c>
      <c r="E12" s="1962"/>
    </row>
    <row r="13" spans="1:5" ht="15.75">
      <c r="A13" s="1962"/>
      <c r="B13" s="2960" t="str">
        <f>结果表!E107</f>
        <v>3.房地产抵押价值</v>
      </c>
      <c r="C13" s="1970" t="s">
        <v>1616</v>
      </c>
      <c r="D13" s="1046">
        <f ca="1">结果表!H107</f>
        <v>95591</v>
      </c>
      <c r="E13" s="1962"/>
    </row>
    <row r="14" spans="1:5" ht="15.75">
      <c r="A14" s="1962"/>
      <c r="B14" s="2961"/>
      <c r="C14" s="1965" t="s">
        <v>1617</v>
      </c>
      <c r="D14" s="1043" t="str">
        <f ca="1">NUMBERSTRING(INT(D13*10000),2)&amp;"元整"</f>
        <v>玖亿伍仟伍佰玖拾壹万元整</v>
      </c>
      <c r="E14" s="1962"/>
    </row>
    <row r="15" spans="1:5" ht="15">
      <c r="A15" s="1962"/>
      <c r="B15" s="2966"/>
      <c r="C15" s="1966" t="s">
        <v>1627</v>
      </c>
      <c r="D15" s="1055">
        <f ca="1">结果表!H108</f>
        <v>19996</v>
      </c>
      <c r="E15" s="1962"/>
    </row>
    <row r="16" spans="1:5" ht="15">
      <c r="A16" s="1962"/>
      <c r="B16" s="2967" t="str">
        <f>结果表!E109</f>
        <v>——</v>
      </c>
      <c r="C16" s="1970" t="s">
        <v>1628</v>
      </c>
      <c r="D16" s="1971" t="str">
        <f>结果表!H109</f>
        <v>——</v>
      </c>
      <c r="E16" s="1962"/>
    </row>
    <row r="17" spans="1:5" ht="15.75">
      <c r="A17" s="1962"/>
      <c r="B17" s="2968"/>
      <c r="C17" s="1965" t="s">
        <v>1629</v>
      </c>
      <c r="D17" s="1043" t="e">
        <f>NUMBERSTRING(INT(D16*10000),2)&amp;"元整"</f>
        <v>#VALUE!</v>
      </c>
      <c r="E17" s="1962"/>
    </row>
    <row r="18" spans="1:5" ht="15">
      <c r="A18" s="1962"/>
      <c r="B18" s="2969"/>
      <c r="C18" s="1966" t="s">
        <v>1618</v>
      </c>
      <c r="D18" s="1055" t="str">
        <f>结果表!H110</f>
        <v>——</v>
      </c>
      <c r="E18" s="1962"/>
    </row>
    <row r="19" spans="1:5" ht="15.75">
      <c r="A19" s="1962"/>
      <c r="B19" s="2960" t="str">
        <f>结果表!E111</f>
        <v>——</v>
      </c>
      <c r="C19" s="1970" t="s">
        <v>1616</v>
      </c>
      <c r="D19" s="1044" t="str">
        <f>结果表!H111</f>
        <v>——</v>
      </c>
      <c r="E19" s="1962"/>
    </row>
    <row r="20" spans="1:5" ht="15.75">
      <c r="A20" s="1962"/>
      <c r="B20" s="2961"/>
      <c r="C20" s="1965" t="s">
        <v>1629</v>
      </c>
      <c r="D20" s="1043" t="e">
        <f>NUMBERSTRING(INT(D19*10000),2)&amp;"元整"</f>
        <v>#VALUE!</v>
      </c>
      <c r="E20" s="1962"/>
    </row>
    <row r="21" spans="1:5" ht="15.75" thickBot="1">
      <c r="A21" s="1962"/>
      <c r="B21" s="2962"/>
      <c r="C21" s="1972" t="s">
        <v>1627</v>
      </c>
      <c r="D21" s="1056" t="str">
        <f>结果表!H112</f>
        <v>——</v>
      </c>
      <c r="E21" s="1962"/>
    </row>
    <row r="22" spans="1:5" ht="15" thickTop="1">
      <c r="A22" s="1962"/>
      <c r="B22" s="1973" t="s">
        <v>1630</v>
      </c>
      <c r="C22" s="1962"/>
      <c r="D22" s="1962"/>
      <c r="E22" s="1962"/>
    </row>
    <row r="23" spans="1:5">
      <c r="A23" s="1962"/>
      <c r="B23" s="1962"/>
      <c r="C23" s="1962"/>
      <c r="D23" s="1962"/>
      <c r="E23" s="1962"/>
    </row>
    <row r="24" spans="1:5" ht="18.75">
      <c r="A24" s="1974"/>
      <c r="B24" s="1975" t="s">
        <v>1621</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103577</v>
      </c>
      <c r="C2" s="2" t="s">
        <v>133</v>
      </c>
      <c r="D2" s="243"/>
      <c r="E2" s="243"/>
      <c r="F2" s="243"/>
      <c r="G2" s="243"/>
    </row>
    <row r="3" spans="1:7" s="244" customFormat="1" ht="18" customHeight="1" thickBot="1">
      <c r="A3" s="247" t="s">
        <v>85</v>
      </c>
      <c r="B3" s="248">
        <f ca="1">ROUND(B2*10000/'数据-汇总表'!E3,0)</f>
        <v>21667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1141</v>
      </c>
    </row>
    <row r="9" spans="1:7" s="258" customFormat="1" ht="13.5" customHeight="1">
      <c r="A9" s="953" t="s">
        <v>800</v>
      </c>
      <c r="B9" s="268" t="s">
        <v>93</v>
      </c>
      <c r="C9" s="269">
        <f>ROUND(D9*E9/10000,0)</f>
        <v>0</v>
      </c>
      <c r="D9" s="1035">
        <f>'数据-汇总表'!E5</f>
        <v>0</v>
      </c>
      <c r="E9" s="269">
        <f>'数据-取费表'!B27</f>
        <v>110</v>
      </c>
      <c r="F9" s="265"/>
      <c r="G9" s="270"/>
    </row>
    <row r="10" spans="1:7" s="258" customFormat="1" ht="13.5" customHeight="1">
      <c r="A10" s="953" t="s">
        <v>801</v>
      </c>
      <c r="B10" s="268" t="s">
        <v>94</v>
      </c>
      <c r="C10" s="269">
        <f>ROUND(D10*E10/10000,0)</f>
        <v>526</v>
      </c>
      <c r="D10" s="1035">
        <f>'数据-汇总表'!E6</f>
        <v>47804</v>
      </c>
      <c r="E10" s="269">
        <f>'数据-取费表'!B28</f>
        <v>110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813</v>
      </c>
      <c r="D19" s="1039">
        <f>'数据-汇总表'!E3</f>
        <v>47804</v>
      </c>
      <c r="E19" s="255">
        <f>'数据-取费表'!B31</f>
        <v>170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0.05</v>
      </c>
      <c r="D21" s="280" t="s">
        <v>126</v>
      </c>
      <c r="E21" s="276"/>
      <c r="F21" s="277">
        <f>'数据-取费表'!B38</f>
        <v>0.05</v>
      </c>
      <c r="G21" s="278" t="s">
        <v>106</v>
      </c>
    </row>
    <row r="22" spans="1:7" s="258" customFormat="1" ht="13.5" customHeight="1">
      <c r="A22" s="951" t="s">
        <v>786</v>
      </c>
      <c r="B22" s="254" t="s">
        <v>107</v>
      </c>
      <c r="C22" s="1357">
        <f ca="1">ROUND(SUM(C23:C25),0)</f>
        <v>2549</v>
      </c>
      <c r="D22" s="279">
        <f ca="1">C26</f>
        <v>2.8999999999999998E-3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2428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96</v>
      </c>
      <c r="D24" s="282"/>
      <c r="E24" s="282"/>
      <c r="F24" s="283"/>
      <c r="G24" s="284" t="s">
        <v>109</v>
      </c>
    </row>
    <row r="25" spans="1:7" s="258" customFormat="1" ht="24">
      <c r="A25" s="954" t="s">
        <v>793</v>
      </c>
      <c r="B25" s="259" t="s">
        <v>1058</v>
      </c>
      <c r="C25" s="1358">
        <f ca="1">ROUND(IF('数据-取费表'!B22&lt;=1,C20*F22*'数据-取费表'!B23/2,C20*(POWER((1+F22),'数据-取费表'!B23/2)-1)),0)</f>
        <v>25</v>
      </c>
      <c r="D25" s="282"/>
      <c r="E25" s="285"/>
      <c r="F25" s="283"/>
      <c r="G25" s="286" t="s">
        <v>110</v>
      </c>
    </row>
    <row r="26" spans="1:7" s="258" customFormat="1">
      <c r="A26" s="954" t="s">
        <v>795</v>
      </c>
      <c r="B26" s="259" t="s">
        <v>1060</v>
      </c>
      <c r="C26" s="282">
        <f ca="1">ROUND(IF('数据-取费表'!B22&lt;=1,F21*F22*'数据-取费表'!B23/2,F21*(POWER((1+F22),'数据-取费表'!B23/2)-1)),4)</f>
        <v>2.8999999999999998E-3</v>
      </c>
      <c r="D26" s="282"/>
      <c r="E26" s="285"/>
      <c r="F26" s="283"/>
      <c r="G26" s="287"/>
    </row>
    <row r="27" spans="1:7" s="258" customFormat="1" ht="24.75">
      <c r="A27" s="951" t="s">
        <v>787</v>
      </c>
      <c r="B27" s="288" t="s">
        <v>112</v>
      </c>
      <c r="C27" s="289">
        <f>C28</f>
        <v>5244</v>
      </c>
      <c r="D27" s="279">
        <f>C29</f>
        <v>1.2E-2</v>
      </c>
      <c r="E27" s="280" t="s">
        <v>126</v>
      </c>
      <c r="F27" s="290">
        <f>'数据-取费表'!Q16</f>
        <v>0.25</v>
      </c>
      <c r="G27" s="291" t="s">
        <v>1069</v>
      </c>
    </row>
    <row r="28" spans="1:7" s="258" customFormat="1" ht="13.5" customHeight="1">
      <c r="A28" s="954" t="s">
        <v>794</v>
      </c>
      <c r="B28" s="292" t="s">
        <v>1062</v>
      </c>
      <c r="C28" s="293">
        <f>ROUND((C5+C19+C20)*F27*'数据-取费表'!B21/'数据-取费表'!B20,0)</f>
        <v>5244</v>
      </c>
      <c r="D28" s="279"/>
      <c r="E28" s="280"/>
      <c r="F28" s="290"/>
      <c r="G28" s="291"/>
    </row>
    <row r="29" spans="1:7" s="258" customFormat="1" ht="13.5" customHeight="1">
      <c r="A29" s="954" t="s">
        <v>792</v>
      </c>
      <c r="B29" s="292" t="s">
        <v>1063</v>
      </c>
      <c r="C29" s="282">
        <f>ROUND(C21*F27*'数据-取费表'!B21/'数据-取费表'!B20,4)</f>
        <v>1.2E-2</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33583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46310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42594</v>
      </c>
      <c r="D34" s="261"/>
      <c r="E34" s="264"/>
      <c r="F34" s="301">
        <f>IF('数据-取费表'!B24=0,1,'数据-取费表'!N16)</f>
        <v>0.99</v>
      </c>
      <c r="G34" s="263" t="s">
        <v>116</v>
      </c>
    </row>
    <row r="35" spans="1:7" ht="13.5" customHeight="1">
      <c r="A35" s="954" t="s">
        <v>796</v>
      </c>
      <c r="B35" s="259" t="s">
        <v>60</v>
      </c>
      <c r="C35" s="264">
        <f>ROUND(C34*F35,0)</f>
        <v>2130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947</v>
      </c>
      <c r="D37" s="261">
        <f>'数据-汇总表'!E3</f>
        <v>47804</v>
      </c>
      <c r="E37" s="293">
        <f>'数据-取费表'!B35</f>
        <v>200</v>
      </c>
      <c r="F37" s="303"/>
      <c r="G37" s="305" t="s">
        <v>119</v>
      </c>
    </row>
    <row r="38" spans="1:7" ht="13.5" customHeight="1">
      <c r="A38" s="954" t="s">
        <v>799</v>
      </c>
      <c r="B38" s="259" t="s">
        <v>63</v>
      </c>
      <c r="C38" s="264">
        <f>ROUND(C34*F38,0)</f>
        <v>639</v>
      </c>
      <c r="D38" s="264"/>
      <c r="E38" s="264"/>
      <c r="F38" s="303">
        <f>'数据-取费表'!B36</f>
        <v>1.4999999999999999E-2</v>
      </c>
      <c r="G38" s="263" t="s">
        <v>117</v>
      </c>
    </row>
    <row r="39" spans="1:7" s="258" customFormat="1" ht="13.5" customHeight="1">
      <c r="A39" s="951" t="s">
        <v>783</v>
      </c>
      <c r="B39" s="254" t="s">
        <v>104</v>
      </c>
      <c r="C39" s="276">
        <f>ROUND(C33*F20,0)</f>
        <v>926</v>
      </c>
      <c r="D39" s="276"/>
      <c r="E39" s="276"/>
      <c r="F39" s="277"/>
      <c r="G39" s="1292" t="s">
        <v>1071</v>
      </c>
    </row>
    <row r="40" spans="1:7" s="258" customFormat="1" ht="13.5" customHeight="1">
      <c r="A40" s="951" t="s">
        <v>784</v>
      </c>
      <c r="B40" s="254" t="s">
        <v>105</v>
      </c>
      <c r="C40" s="306">
        <f>F21</f>
        <v>0.05</v>
      </c>
      <c r="D40" s="280" t="s">
        <v>129</v>
      </c>
      <c r="E40" s="276"/>
      <c r="F40" s="277"/>
      <c r="G40" s="278" t="s">
        <v>120</v>
      </c>
    </row>
    <row r="41" spans="1:7" s="258" customFormat="1" ht="13.5" customHeight="1">
      <c r="A41" s="951" t="s">
        <v>785</v>
      </c>
      <c r="B41" s="254" t="s">
        <v>107</v>
      </c>
      <c r="C41" s="276">
        <f ca="1">ROUND(SUM(C42:C43),0)</f>
        <v>2705</v>
      </c>
      <c r="D41" s="279">
        <f ca="1">C44</f>
        <v>2.8999999999999998E-3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2652</v>
      </c>
      <c r="D42" s="282"/>
      <c r="E42" s="282"/>
      <c r="F42" s="283"/>
      <c r="G42" s="3145" t="s">
        <v>121</v>
      </c>
    </row>
    <row r="43" spans="1:7" ht="13.5" customHeight="1">
      <c r="A43" s="954" t="s">
        <v>792</v>
      </c>
      <c r="B43" s="259" t="s">
        <v>1064</v>
      </c>
      <c r="C43" s="282">
        <f ca="1">ROUND(IF('数据-取费表'!B22&lt;=1,C39*F22*'数据-取费表'!B21/2,C39*(POWER((1+F22),'数据-取费表'!B21/2)-1)),0)</f>
        <v>53</v>
      </c>
      <c r="D43" s="282"/>
      <c r="E43" s="282"/>
      <c r="F43" s="283"/>
      <c r="G43" s="3146"/>
    </row>
    <row r="44" spans="1:7" ht="13.5" customHeight="1">
      <c r="A44" s="954" t="s">
        <v>793</v>
      </c>
      <c r="B44" s="259" t="s">
        <v>1066</v>
      </c>
      <c r="C44" s="282">
        <f ca="1">ROUND(IF('数据-取费表'!B22&lt;=1,C40*F22*'数据-取费表'!B21/2,C40*(POWER((1+F22),'数据-取费表'!B21/2)-1)),4)</f>
        <v>2.8999999999999998E-3</v>
      </c>
      <c r="D44" s="282"/>
      <c r="E44" s="282"/>
      <c r="F44" s="283"/>
      <c r="G44" s="3147"/>
    </row>
    <row r="45" spans="1:7" s="258" customFormat="1" ht="13.5" customHeight="1">
      <c r="A45" s="951" t="s">
        <v>786</v>
      </c>
      <c r="B45" s="288" t="s">
        <v>112</v>
      </c>
      <c r="C45" s="289">
        <f>C46</f>
        <v>11809</v>
      </c>
      <c r="D45" s="279">
        <f>C47</f>
        <v>1.2500000000000001E-2</v>
      </c>
      <c r="E45" s="280" t="s">
        <v>129</v>
      </c>
      <c r="F45" s="290"/>
      <c r="G45" s="291" t="s">
        <v>1072</v>
      </c>
    </row>
    <row r="46" spans="1:7" s="258" customFormat="1" ht="13.5" customHeight="1">
      <c r="A46" s="954" t="s">
        <v>794</v>
      </c>
      <c r="B46" s="292" t="s">
        <v>1065</v>
      </c>
      <c r="C46" s="293">
        <f>ROUND((C33+C39)*F27,0)</f>
        <v>11809</v>
      </c>
      <c r="D46" s="307"/>
      <c r="E46" s="280"/>
      <c r="F46" s="290"/>
      <c r="G46" s="291"/>
    </row>
    <row r="47" spans="1:7" s="258" customFormat="1" ht="13.5" customHeight="1">
      <c r="A47" s="954" t="s">
        <v>792</v>
      </c>
      <c r="B47" s="292" t="s">
        <v>1067</v>
      </c>
      <c r="C47" s="282">
        <f>ROUND(C40*F27,4)</f>
        <v>1.2500000000000001E-2</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69994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69994</v>
      </c>
      <c r="D51" s="276"/>
      <c r="E51" s="276"/>
      <c r="F51" s="308"/>
      <c r="G51" s="278" t="s">
        <v>64</v>
      </c>
    </row>
    <row r="52" spans="1:7" s="252" customFormat="1" ht="16.5" thickBot="1">
      <c r="A52" s="309" t="s">
        <v>65</v>
      </c>
      <c r="B52" s="310"/>
      <c r="C52" s="311">
        <f ca="1">C31+C51</f>
        <v>103577</v>
      </c>
      <c r="D52" s="310"/>
      <c r="E52" s="310"/>
      <c r="F52" s="310"/>
      <c r="G52" s="312"/>
    </row>
    <row r="55" spans="1:7" ht="15">
      <c r="B55" s="314" t="s">
        <v>66</v>
      </c>
      <c r="C55" s="315"/>
    </row>
    <row r="56" spans="1:7">
      <c r="B56" s="317" t="s">
        <v>67</v>
      </c>
      <c r="C56" s="318">
        <f ca="1">ROUND(C51/C52,3)</f>
        <v>0.67600000000000005</v>
      </c>
    </row>
    <row r="57" spans="1:7">
      <c r="B57" s="317" t="s">
        <v>68</v>
      </c>
      <c r="C57" s="319">
        <f ca="1">1-C56</f>
        <v>0.32399999999999995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871</v>
      </c>
      <c r="B1" s="328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1293</v>
      </c>
      <c r="C1" s="1697">
        <f>项目基本情况!D3</f>
        <v>43343</v>
      </c>
      <c r="D1" s="1703" t="s">
        <v>1294</v>
      </c>
      <c r="E1" s="1698">
        <f>'数据-取费表'!B22</f>
        <v>2.5</v>
      </c>
      <c r="F1" s="1703" t="s">
        <v>1295</v>
      </c>
      <c r="G1" s="1699">
        <f ca="1">INDIRECT("d"&amp;$K$1)/100</f>
        <v>4.7500000000000001E-2</v>
      </c>
      <c r="H1" s="1703" t="s">
        <v>1325</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1296</v>
      </c>
      <c r="E2" s="1639"/>
      <c r="F2" s="1639" t="s">
        <v>1297</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1298</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1299</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1300</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1301</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1302</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1303</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1304</v>
      </c>
      <c r="C10" s="1667"/>
      <c r="D10" s="1667"/>
      <c r="E10" s="1667"/>
      <c r="F10" s="1667"/>
      <c r="G10" s="1667"/>
      <c r="H10" s="1667"/>
      <c r="I10" s="1641"/>
      <c r="J10" s="1641"/>
      <c r="K10" s="1667"/>
      <c r="L10" s="1668" t="s">
        <v>1305</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1306</v>
      </c>
      <c r="C11" s="1672" t="s">
        <v>1307</v>
      </c>
      <c r="D11" s="1673" t="s">
        <v>1308</v>
      </c>
      <c r="E11" s="1674"/>
      <c r="F11" s="1673" t="s">
        <v>1309</v>
      </c>
      <c r="G11" s="1675"/>
      <c r="H11" s="1674"/>
      <c r="I11" s="1673" t="s">
        <v>1310</v>
      </c>
      <c r="J11" s="1674"/>
      <c r="K11" s="1670"/>
      <c r="L11" s="1671" t="s">
        <v>1306</v>
      </c>
      <c r="M11" s="1672" t="s">
        <v>1307</v>
      </c>
      <c r="N11" s="1671" t="s">
        <v>1311</v>
      </c>
      <c r="O11" s="1673" t="s">
        <v>1312</v>
      </c>
      <c r="P11" s="1675"/>
      <c r="Q11" s="1675"/>
      <c r="R11" s="1675"/>
      <c r="S11" s="1675"/>
      <c r="T11" s="1674"/>
      <c r="U11" s="1673" t="s">
        <v>1313</v>
      </c>
      <c r="V11" s="1675"/>
      <c r="W11" s="1674"/>
      <c r="X11" s="1671" t="s">
        <v>1314</v>
      </c>
      <c r="Y11" s="1671" t="s">
        <v>1315</v>
      </c>
      <c r="Z11" s="1671" t="s">
        <v>1316</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1317</v>
      </c>
      <c r="E12" s="1680" t="s">
        <v>1318</v>
      </c>
      <c r="F12" s="1680" t="s">
        <v>1319</v>
      </c>
      <c r="G12" s="1680" t="s">
        <v>1320</v>
      </c>
      <c r="H12" s="1680" t="s">
        <v>1302</v>
      </c>
      <c r="I12" s="1681" t="s">
        <v>1321</v>
      </c>
      <c r="J12" s="1681" t="s">
        <v>1321</v>
      </c>
      <c r="K12" s="1677"/>
      <c r="L12" s="1678"/>
      <c r="M12" s="1679"/>
      <c r="N12" s="1678"/>
      <c r="O12" s="1681" t="s">
        <v>1322</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1323</v>
      </c>
      <c r="C13" s="1685">
        <v>42301</v>
      </c>
      <c r="D13" s="1686">
        <v>4.3499999999999996</v>
      </c>
      <c r="E13" s="1686">
        <v>4.3499999999999996</v>
      </c>
      <c r="F13" s="1686">
        <v>4.75</v>
      </c>
      <c r="G13" s="1686">
        <v>4.75</v>
      </c>
      <c r="H13" s="1686">
        <v>4.9000000000000004</v>
      </c>
      <c r="I13" s="1686">
        <v>2.75</v>
      </c>
      <c r="J13" s="1686">
        <v>3.25</v>
      </c>
      <c r="K13" s="1683"/>
      <c r="L13" s="1684" t="s">
        <v>1323</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1324</v>
      </c>
      <c r="Y42" s="1690" t="s">
        <v>1324</v>
      </c>
      <c r="Z42" s="1690" t="s">
        <v>1324</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1324</v>
      </c>
      <c r="Y43" s="1690" t="s">
        <v>1324</v>
      </c>
      <c r="Z43" s="1690" t="s">
        <v>1324</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1324</v>
      </c>
      <c r="Y44" s="1690" t="s">
        <v>1324</v>
      </c>
      <c r="Z44" s="1690" t="s">
        <v>1324</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1324</v>
      </c>
      <c r="Y45" s="1690" t="s">
        <v>1324</v>
      </c>
      <c r="Z45" s="1690" t="s">
        <v>1324</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1324</v>
      </c>
      <c r="Y46" s="1690" t="s">
        <v>1324</v>
      </c>
      <c r="Z46" s="1690" t="s">
        <v>1324</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1324</v>
      </c>
      <c r="Y47" s="1690" t="s">
        <v>1324</v>
      </c>
      <c r="Z47" s="1690" t="s">
        <v>1324</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1324</v>
      </c>
      <c r="Y48" s="1690" t="s">
        <v>1324</v>
      </c>
      <c r="Z48" s="1690" t="s">
        <v>1324</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1324</v>
      </c>
      <c r="Y49" s="1690" t="s">
        <v>1324</v>
      </c>
      <c r="Z49" s="1690" t="s">
        <v>1324</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1324</v>
      </c>
      <c r="Y50" s="1690" t="s">
        <v>1324</v>
      </c>
      <c r="Z50" s="1690" t="s">
        <v>1324</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1324</v>
      </c>
      <c r="V51" s="1690" t="s">
        <v>1324</v>
      </c>
      <c r="W51" s="1690" t="s">
        <v>1324</v>
      </c>
      <c r="X51" s="1690" t="s">
        <v>1324</v>
      </c>
      <c r="Y51" s="1690" t="s">
        <v>1324</v>
      </c>
      <c r="Z51" s="1690" t="s">
        <v>1324</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1324</v>
      </c>
      <c r="J55" s="1690" t="s">
        <v>1324</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1365</v>
      </c>
      <c r="E1" s="1779" t="s">
        <v>1369</v>
      </c>
      <c r="F1" s="1780" t="s">
        <v>1373</v>
      </c>
    </row>
    <row r="2" spans="1:13" ht="20.25">
      <c r="A2" s="1786" t="s">
        <v>1366</v>
      </c>
    </row>
    <row r="3" spans="1:13" ht="16.5">
      <c r="A3" s="1787" t="s">
        <v>1367</v>
      </c>
    </row>
    <row r="4" spans="1:13" ht="14.25">
      <c r="A4" s="1777" t="s">
        <v>1368</v>
      </c>
      <c r="B4" s="1782" t="s">
        <v>1370</v>
      </c>
      <c r="C4" s="1783"/>
      <c r="D4" s="1784"/>
      <c r="E4" s="1782" t="s">
        <v>27</v>
      </c>
      <c r="F4" s="1783"/>
      <c r="G4" s="1784"/>
      <c r="H4" s="1782" t="s">
        <v>1371</v>
      </c>
      <c r="I4" s="1783"/>
      <c r="J4" s="1784"/>
      <c r="K4" s="1782" t="s">
        <v>6</v>
      </c>
      <c r="L4" s="1783"/>
      <c r="M4" s="1784"/>
    </row>
    <row r="5" spans="1:13" ht="14.25">
      <c r="A5" s="1778" t="s">
        <v>1372</v>
      </c>
      <c r="B5" s="1777" t="s">
        <v>1374</v>
      </c>
      <c r="C5" s="1777" t="s">
        <v>1375</v>
      </c>
      <c r="D5" s="1777" t="s">
        <v>1376</v>
      </c>
      <c r="E5" s="1777" t="s">
        <v>1374</v>
      </c>
      <c r="F5" s="1777" t="s">
        <v>1375</v>
      </c>
      <c r="G5" s="1777" t="s">
        <v>1376</v>
      </c>
      <c r="H5" s="1777" t="s">
        <v>1374</v>
      </c>
      <c r="I5" s="1777" t="s">
        <v>1375</v>
      </c>
      <c r="J5" s="1777" t="s">
        <v>1376</v>
      </c>
      <c r="K5" s="1777" t="s">
        <v>1374</v>
      </c>
      <c r="L5" s="1777" t="s">
        <v>1375</v>
      </c>
      <c r="M5" s="1777" t="s">
        <v>1376</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D11" sqref="D11"/>
    </sheetView>
  </sheetViews>
  <sheetFormatPr defaultRowHeight="13.5"/>
  <sheetData>
    <row r="1" spans="1:13">
      <c r="A1" s="2958" t="s">
        <v>3069</v>
      </c>
      <c r="B1" s="2958" t="s">
        <v>3070</v>
      </c>
      <c r="C1" s="2958" t="s">
        <v>3071</v>
      </c>
      <c r="D1" s="2958" t="s">
        <v>3072</v>
      </c>
      <c r="E1" s="2958" t="s">
        <v>3073</v>
      </c>
      <c r="F1" s="2958" t="s">
        <v>3074</v>
      </c>
      <c r="G1" s="2958" t="s">
        <v>3075</v>
      </c>
      <c r="H1" s="2958" t="s">
        <v>3076</v>
      </c>
      <c r="I1" s="2958" t="s">
        <v>3077</v>
      </c>
      <c r="J1" s="2958" t="s">
        <v>3078</v>
      </c>
      <c r="K1" s="2958" t="s">
        <v>3079</v>
      </c>
      <c r="L1" s="2958" t="s">
        <v>3080</v>
      </c>
      <c r="M1" s="2958" t="s">
        <v>3081</v>
      </c>
    </row>
    <row r="2" spans="1:13" s="2951" customFormat="1">
      <c r="A2" s="2952" t="s">
        <v>3168</v>
      </c>
      <c r="B2" s="2950" t="s">
        <v>3083</v>
      </c>
      <c r="C2" s="2950" t="s">
        <v>3084</v>
      </c>
      <c r="D2" s="2950">
        <v>99349.7</v>
      </c>
      <c r="E2" s="2950">
        <v>79479.759999999995</v>
      </c>
      <c r="F2" s="2950" t="s">
        <v>3165</v>
      </c>
      <c r="G2" s="2950" t="s">
        <v>3086</v>
      </c>
      <c r="H2" s="2950" t="s">
        <v>3166</v>
      </c>
      <c r="I2" s="2950">
        <v>30938</v>
      </c>
      <c r="J2" s="2950">
        <v>30938</v>
      </c>
      <c r="K2" s="2950">
        <v>3892.55</v>
      </c>
      <c r="L2" s="2950">
        <v>0</v>
      </c>
      <c r="M2" s="2950" t="s">
        <v>3167</v>
      </c>
    </row>
    <row r="3" spans="1:13">
      <c r="A3" s="2958" t="s">
        <v>3082</v>
      </c>
      <c r="B3" s="2958" t="s">
        <v>3083</v>
      </c>
      <c r="C3" s="2958" t="s">
        <v>3084</v>
      </c>
      <c r="D3" s="2958">
        <v>16302</v>
      </c>
      <c r="E3" s="2958">
        <v>32604</v>
      </c>
      <c r="F3" s="2958" t="s">
        <v>3085</v>
      </c>
      <c r="G3" s="2958" t="s">
        <v>3086</v>
      </c>
      <c r="H3" s="2958" t="s">
        <v>3087</v>
      </c>
      <c r="I3" s="2958">
        <v>6700</v>
      </c>
      <c r="J3" s="2958">
        <v>6700</v>
      </c>
      <c r="K3" s="2958">
        <v>2054.96</v>
      </c>
      <c r="L3" s="2958">
        <v>0</v>
      </c>
      <c r="M3" s="2958" t="s">
        <v>3088</v>
      </c>
    </row>
    <row r="4" spans="1:13">
      <c r="A4" s="2958" t="s">
        <v>3089</v>
      </c>
      <c r="B4" s="2958" t="s">
        <v>3083</v>
      </c>
      <c r="C4" s="2958" t="s">
        <v>3084</v>
      </c>
      <c r="D4" s="2958">
        <v>14565.1</v>
      </c>
      <c r="E4" s="2958">
        <v>26217.18</v>
      </c>
      <c r="F4" s="2958" t="s">
        <v>3090</v>
      </c>
      <c r="G4" s="2958" t="s">
        <v>3086</v>
      </c>
      <c r="H4" s="2958" t="s">
        <v>3091</v>
      </c>
      <c r="I4" s="2958">
        <v>3280</v>
      </c>
      <c r="J4" s="2958">
        <v>3280</v>
      </c>
      <c r="K4" s="2958">
        <v>1251.08</v>
      </c>
      <c r="L4" s="2958">
        <v>0</v>
      </c>
      <c r="M4" s="2958" t="s">
        <v>3092</v>
      </c>
    </row>
    <row r="5" spans="1:13">
      <c r="A5" s="2958" t="s">
        <v>3093</v>
      </c>
      <c r="B5" s="2958" t="s">
        <v>3083</v>
      </c>
      <c r="C5" s="2958" t="s">
        <v>3084</v>
      </c>
      <c r="D5" s="2958">
        <v>31210.7</v>
      </c>
      <c r="E5" s="2958">
        <v>62421.4</v>
      </c>
      <c r="F5" s="2958" t="s">
        <v>3085</v>
      </c>
      <c r="G5" s="2958" t="s">
        <v>3094</v>
      </c>
      <c r="H5" s="2958" t="s">
        <v>3095</v>
      </c>
      <c r="I5" s="2958">
        <v>9350</v>
      </c>
      <c r="J5" s="2958">
        <v>18100</v>
      </c>
      <c r="K5" s="2958">
        <v>2899.65</v>
      </c>
      <c r="L5" s="2958">
        <v>93.58</v>
      </c>
      <c r="M5" s="2958" t="s">
        <v>3096</v>
      </c>
    </row>
    <row r="6" spans="1:13">
      <c r="A6" s="2958" t="s">
        <v>3097</v>
      </c>
      <c r="B6" s="2958" t="s">
        <v>3083</v>
      </c>
      <c r="C6" s="2958" t="s">
        <v>3084</v>
      </c>
      <c r="D6" s="2958">
        <v>45036.7</v>
      </c>
      <c r="E6" s="2958">
        <v>112591.8</v>
      </c>
      <c r="F6" s="2958" t="s">
        <v>3098</v>
      </c>
      <c r="G6" s="2958" t="s">
        <v>3086</v>
      </c>
      <c r="H6" s="2958" t="s">
        <v>3099</v>
      </c>
      <c r="I6" s="2958">
        <v>6760</v>
      </c>
      <c r="J6" s="2958">
        <v>6760</v>
      </c>
      <c r="K6" s="2958">
        <v>600.39</v>
      </c>
      <c r="L6" s="2958">
        <v>0</v>
      </c>
      <c r="M6" s="2958" t="s">
        <v>3100</v>
      </c>
    </row>
    <row r="7" spans="1:13">
      <c r="A7" s="2958" t="s">
        <v>3101</v>
      </c>
      <c r="B7" s="2958" t="s">
        <v>3083</v>
      </c>
      <c r="C7" s="2958" t="s">
        <v>3084</v>
      </c>
      <c r="D7" s="2958">
        <v>46921.4</v>
      </c>
      <c r="E7" s="2958">
        <v>103227.1</v>
      </c>
      <c r="F7" s="2958" t="s">
        <v>3102</v>
      </c>
      <c r="G7" s="2958" t="s">
        <v>3086</v>
      </c>
      <c r="H7" s="2958" t="s">
        <v>3103</v>
      </c>
      <c r="I7" s="2958">
        <v>12680</v>
      </c>
      <c r="J7" s="2958">
        <v>12680</v>
      </c>
      <c r="K7" s="2958">
        <v>1228.3499999999999</v>
      </c>
      <c r="L7" s="2958">
        <v>0</v>
      </c>
      <c r="M7" s="2958" t="s">
        <v>3104</v>
      </c>
    </row>
    <row r="8" spans="1:13">
      <c r="A8" s="2958" t="s">
        <v>3105</v>
      </c>
      <c r="B8" s="2958" t="s">
        <v>3083</v>
      </c>
      <c r="C8" s="2958" t="s">
        <v>3084</v>
      </c>
      <c r="D8" s="2958">
        <v>19125.5</v>
      </c>
      <c r="E8" s="2958">
        <v>47813.75</v>
      </c>
      <c r="F8" s="2958" t="s">
        <v>3098</v>
      </c>
      <c r="G8" s="2958" t="s">
        <v>3086</v>
      </c>
      <c r="H8" s="2958" t="s">
        <v>3106</v>
      </c>
      <c r="I8" s="2958">
        <v>4550</v>
      </c>
      <c r="J8" s="2958">
        <v>12000</v>
      </c>
      <c r="K8" s="2958">
        <v>2509.73</v>
      </c>
      <c r="L8" s="2958">
        <v>163.74</v>
      </c>
      <c r="M8" s="2958" t="s">
        <v>3107</v>
      </c>
    </row>
    <row r="9" spans="1:13" s="2951" customFormat="1">
      <c r="A9" s="2952" t="s">
        <v>3170</v>
      </c>
      <c r="B9" s="2950" t="s">
        <v>3083</v>
      </c>
      <c r="C9" s="2950" t="s">
        <v>3084</v>
      </c>
      <c r="D9" s="2950">
        <v>7728.5</v>
      </c>
      <c r="E9" s="2950">
        <v>19321.25</v>
      </c>
      <c r="F9" s="2950" t="s">
        <v>3098</v>
      </c>
      <c r="G9" s="2950" t="s">
        <v>3086</v>
      </c>
      <c r="H9" s="2950" t="s">
        <v>3106</v>
      </c>
      <c r="I9" s="2950">
        <v>4640</v>
      </c>
      <c r="J9" s="2950">
        <v>7200</v>
      </c>
      <c r="K9" s="2950">
        <v>3726.46</v>
      </c>
      <c r="L9" s="2950">
        <v>55.17</v>
      </c>
      <c r="M9" s="2950" t="s">
        <v>3108</v>
      </c>
    </row>
    <row r="10" spans="1:13">
      <c r="A10" s="2958" t="s">
        <v>3109</v>
      </c>
      <c r="B10" s="2958" t="s">
        <v>3083</v>
      </c>
      <c r="C10" s="2958" t="s">
        <v>3084</v>
      </c>
      <c r="D10" s="2958">
        <v>82754.3</v>
      </c>
      <c r="E10" s="2958">
        <v>165508.6</v>
      </c>
      <c r="F10" s="2958" t="s">
        <v>3110</v>
      </c>
      <c r="G10" s="2958" t="s">
        <v>3086</v>
      </c>
      <c r="H10" s="2958" t="s">
        <v>3111</v>
      </c>
      <c r="I10" s="2958">
        <v>22340</v>
      </c>
      <c r="J10" s="2958">
        <v>22340</v>
      </c>
      <c r="K10" s="2958">
        <v>1349.77</v>
      </c>
      <c r="L10" s="2958">
        <v>0</v>
      </c>
      <c r="M10" s="2958" t="s">
        <v>3112</v>
      </c>
    </row>
    <row r="11" spans="1:13" s="2951" customFormat="1">
      <c r="A11" s="2952" t="s">
        <v>3172</v>
      </c>
      <c r="B11" s="2950" t="s">
        <v>3083</v>
      </c>
      <c r="C11" s="2950" t="s">
        <v>3084</v>
      </c>
      <c r="D11" s="2950">
        <v>97172.1</v>
      </c>
      <c r="E11" s="2950">
        <v>97172.1</v>
      </c>
      <c r="F11" s="2950" t="s">
        <v>3113</v>
      </c>
      <c r="G11" s="2950" t="s">
        <v>3086</v>
      </c>
      <c r="H11" s="2950" t="s">
        <v>3114</v>
      </c>
      <c r="I11" s="2950">
        <v>19200</v>
      </c>
      <c r="J11" s="2950">
        <v>40500</v>
      </c>
      <c r="K11" s="2950">
        <v>4167.8500000000004</v>
      </c>
      <c r="L11" s="2950">
        <v>110.94</v>
      </c>
      <c r="M11" s="2950" t="s">
        <v>3115</v>
      </c>
    </row>
    <row r="12" spans="1:13">
      <c r="A12" s="2958" t="s">
        <v>3116</v>
      </c>
      <c r="B12" s="2958" t="s">
        <v>3083</v>
      </c>
      <c r="C12" s="2958" t="s">
        <v>3084</v>
      </c>
      <c r="D12" s="2958">
        <v>77115</v>
      </c>
      <c r="E12" s="2958">
        <v>115672.5</v>
      </c>
      <c r="F12" s="2958" t="s">
        <v>3117</v>
      </c>
      <c r="G12" s="2958" t="s">
        <v>3086</v>
      </c>
      <c r="H12" s="2958" t="s">
        <v>3118</v>
      </c>
      <c r="I12" s="2958">
        <v>13890</v>
      </c>
      <c r="J12" s="2958">
        <v>13890</v>
      </c>
      <c r="K12" s="2958">
        <v>1200.79</v>
      </c>
      <c r="L12" s="2958">
        <v>0</v>
      </c>
      <c r="M12" s="2958" t="s">
        <v>3119</v>
      </c>
    </row>
    <row r="13" spans="1:13">
      <c r="A13" s="2958" t="s">
        <v>3120</v>
      </c>
      <c r="B13" s="2958" t="s">
        <v>3083</v>
      </c>
      <c r="C13" s="2958" t="s">
        <v>3084</v>
      </c>
      <c r="D13" s="2958">
        <v>108005.7</v>
      </c>
      <c r="E13" s="2958">
        <v>162008.5</v>
      </c>
      <c r="F13" s="2958" t="s">
        <v>3117</v>
      </c>
      <c r="G13" s="2958" t="s">
        <v>3086</v>
      </c>
      <c r="H13" s="2958" t="s">
        <v>3121</v>
      </c>
      <c r="I13" s="2958">
        <v>25300</v>
      </c>
      <c r="J13" s="2958">
        <v>25300</v>
      </c>
      <c r="K13" s="2958">
        <v>1561.65</v>
      </c>
      <c r="L13" s="2958">
        <v>0</v>
      </c>
      <c r="M13" s="2958" t="s">
        <v>3122</v>
      </c>
    </row>
    <row r="14" spans="1:13">
      <c r="A14" s="2958" t="s">
        <v>3123</v>
      </c>
      <c r="B14" s="2958" t="s">
        <v>3083</v>
      </c>
      <c r="C14" s="2958" t="s">
        <v>3084</v>
      </c>
      <c r="D14" s="2958">
        <v>49661.599999999999</v>
      </c>
      <c r="E14" s="2958">
        <v>79458.559999999998</v>
      </c>
      <c r="F14" s="2958" t="s">
        <v>3124</v>
      </c>
      <c r="G14" s="2958" t="s">
        <v>3094</v>
      </c>
      <c r="H14" s="2958" t="s">
        <v>3125</v>
      </c>
      <c r="I14" s="2958">
        <v>8950</v>
      </c>
      <c r="J14" s="2958">
        <v>8950</v>
      </c>
      <c r="K14" s="2958">
        <v>1126.3599999999999</v>
      </c>
      <c r="L14" s="2958">
        <v>0</v>
      </c>
      <c r="M14" s="2958" t="s">
        <v>3088</v>
      </c>
    </row>
    <row r="15" spans="1:13">
      <c r="A15" s="2958" t="s">
        <v>3123</v>
      </c>
      <c r="B15" s="2958" t="s">
        <v>3083</v>
      </c>
      <c r="C15" s="2958" t="s">
        <v>3084</v>
      </c>
      <c r="D15" s="2958">
        <v>34216.6</v>
      </c>
      <c r="E15" s="2958">
        <v>54746.559999999998</v>
      </c>
      <c r="F15" s="2958" t="s">
        <v>3124</v>
      </c>
      <c r="G15" s="2958" t="s">
        <v>3094</v>
      </c>
      <c r="H15" s="2958" t="s">
        <v>3125</v>
      </c>
      <c r="I15" s="2958">
        <v>6170</v>
      </c>
      <c r="J15" s="2958">
        <v>6170</v>
      </c>
      <c r="K15" s="2958">
        <v>1127</v>
      </c>
      <c r="L15" s="2958">
        <v>0</v>
      </c>
      <c r="M15" s="2958" t="s">
        <v>3088</v>
      </c>
    </row>
    <row r="16" spans="1:13">
      <c r="A16" s="2958" t="s">
        <v>3126</v>
      </c>
      <c r="B16" s="2958" t="s">
        <v>3083</v>
      </c>
      <c r="C16" s="2958" t="s">
        <v>3084</v>
      </c>
      <c r="D16" s="2958">
        <v>11178.2</v>
      </c>
      <c r="E16" s="2958">
        <v>22356.400000000001</v>
      </c>
      <c r="F16" s="2958" t="s">
        <v>3110</v>
      </c>
      <c r="G16" s="2958" t="s">
        <v>3086</v>
      </c>
      <c r="H16" s="2958" t="s">
        <v>3127</v>
      </c>
      <c r="I16" s="2958">
        <v>1350</v>
      </c>
      <c r="J16" s="2958">
        <v>1350</v>
      </c>
      <c r="K16" s="2958">
        <v>603.85</v>
      </c>
      <c r="L16" s="2958">
        <v>0</v>
      </c>
      <c r="M16" s="2958" t="s">
        <v>3128</v>
      </c>
    </row>
    <row r="17" spans="1:13">
      <c r="A17" s="2958" t="s">
        <v>3129</v>
      </c>
      <c r="B17" s="2958" t="s">
        <v>3083</v>
      </c>
      <c r="C17" s="2958" t="s">
        <v>3084</v>
      </c>
      <c r="D17" s="2958">
        <v>19865.7</v>
      </c>
      <c r="E17" s="2958">
        <v>25825.41</v>
      </c>
      <c r="F17" s="2958" t="s">
        <v>3130</v>
      </c>
      <c r="G17" s="2958" t="s">
        <v>3086</v>
      </c>
      <c r="H17" s="2958" t="s">
        <v>3131</v>
      </c>
      <c r="I17" s="2958">
        <v>4470</v>
      </c>
      <c r="J17" s="2958">
        <v>4470</v>
      </c>
      <c r="K17" s="2958">
        <v>1730.84</v>
      </c>
      <c r="L17" s="2958">
        <v>0</v>
      </c>
      <c r="M17" s="2958" t="s">
        <v>3132</v>
      </c>
    </row>
    <row r="18" spans="1:13">
      <c r="A18" s="2958" t="s">
        <v>3133</v>
      </c>
      <c r="B18" s="2958" t="s">
        <v>3083</v>
      </c>
      <c r="C18" s="2958" t="s">
        <v>3084</v>
      </c>
      <c r="D18" s="2958">
        <v>41087.9</v>
      </c>
      <c r="E18" s="2958">
        <v>53414.27</v>
      </c>
      <c r="F18" s="2958" t="s">
        <v>3130</v>
      </c>
      <c r="G18" s="2958" t="s">
        <v>3086</v>
      </c>
      <c r="H18" s="2958" t="s">
        <v>3131</v>
      </c>
      <c r="I18" s="2958">
        <v>9250</v>
      </c>
      <c r="J18" s="2958">
        <v>9250</v>
      </c>
      <c r="K18" s="2958">
        <v>1731.75</v>
      </c>
      <c r="L18" s="2958">
        <v>0</v>
      </c>
      <c r="M18" s="2958" t="s">
        <v>3132</v>
      </c>
    </row>
    <row r="19" spans="1:13">
      <c r="A19" s="2958" t="s">
        <v>3134</v>
      </c>
      <c r="B19" s="2958" t="s">
        <v>3083</v>
      </c>
      <c r="C19" s="2958" t="s">
        <v>3084</v>
      </c>
      <c r="D19" s="2958">
        <v>13619.7</v>
      </c>
      <c r="E19" s="2958">
        <v>27239.4</v>
      </c>
      <c r="F19" s="2958" t="s">
        <v>3110</v>
      </c>
      <c r="G19" s="2958" t="s">
        <v>3086</v>
      </c>
      <c r="H19" s="2958" t="s">
        <v>3135</v>
      </c>
      <c r="I19" s="2958">
        <v>3270</v>
      </c>
      <c r="J19" s="2958">
        <v>3270</v>
      </c>
      <c r="K19" s="2958">
        <v>1200.47</v>
      </c>
      <c r="L19" s="2958">
        <v>0</v>
      </c>
      <c r="M19" s="2958" t="s">
        <v>3136</v>
      </c>
    </row>
    <row r="20" spans="1:13">
      <c r="A20" s="2958" t="s">
        <v>3137</v>
      </c>
      <c r="B20" s="2958" t="s">
        <v>3083</v>
      </c>
      <c r="C20" s="2958" t="s">
        <v>3084</v>
      </c>
      <c r="D20" s="2958">
        <v>40540.5</v>
      </c>
      <c r="E20" s="2958">
        <v>72972.899999999994</v>
      </c>
      <c r="F20" s="2958" t="s">
        <v>3090</v>
      </c>
      <c r="G20" s="2958" t="s">
        <v>3086</v>
      </c>
      <c r="H20" s="2958" t="s">
        <v>3138</v>
      </c>
      <c r="I20" s="2958">
        <v>5980</v>
      </c>
      <c r="J20" s="2958">
        <v>5980</v>
      </c>
      <c r="K20" s="2958">
        <v>819.48</v>
      </c>
      <c r="L20" s="2958">
        <v>0</v>
      </c>
      <c r="M20" s="2958" t="s">
        <v>3139</v>
      </c>
    </row>
    <row r="21" spans="1:13">
      <c r="A21" s="2958" t="s">
        <v>3137</v>
      </c>
      <c r="B21" s="2958" t="s">
        <v>3083</v>
      </c>
      <c r="C21" s="2958" t="s">
        <v>3084</v>
      </c>
      <c r="D21" s="2958">
        <v>24584.3</v>
      </c>
      <c r="E21" s="2958">
        <v>44251.74</v>
      </c>
      <c r="F21" s="2958" t="s">
        <v>3090</v>
      </c>
      <c r="G21" s="2958" t="s">
        <v>3086</v>
      </c>
      <c r="H21" s="2958" t="s">
        <v>3138</v>
      </c>
      <c r="I21" s="2958">
        <v>3630</v>
      </c>
      <c r="J21" s="2958">
        <v>3630</v>
      </c>
      <c r="K21" s="2958">
        <v>820.3</v>
      </c>
      <c r="L21" s="2958">
        <v>0</v>
      </c>
      <c r="M21" s="2958" t="s">
        <v>3139</v>
      </c>
    </row>
    <row r="22" spans="1:13">
      <c r="A22" s="2958" t="s">
        <v>3134</v>
      </c>
      <c r="B22" s="2958" t="s">
        <v>3083</v>
      </c>
      <c r="C22" s="2958" t="s">
        <v>3084</v>
      </c>
      <c r="D22" s="2958">
        <v>8735.6</v>
      </c>
      <c r="E22" s="2958">
        <v>15724.08</v>
      </c>
      <c r="F22" s="2958" t="s">
        <v>3140</v>
      </c>
      <c r="G22" s="2958" t="s">
        <v>3086</v>
      </c>
      <c r="H22" s="2958" t="s">
        <v>3138</v>
      </c>
      <c r="I22" s="2958">
        <v>1620</v>
      </c>
      <c r="J22" s="2958">
        <v>1620</v>
      </c>
      <c r="K22" s="2958">
        <v>1030.26</v>
      </c>
      <c r="L22" s="2958">
        <v>0</v>
      </c>
      <c r="M22" s="2958" t="s">
        <v>3141</v>
      </c>
    </row>
    <row r="23" spans="1:13">
      <c r="A23" s="2958" t="s">
        <v>3142</v>
      </c>
      <c r="B23" s="2958" t="s">
        <v>3083</v>
      </c>
      <c r="C23" s="2958" t="s">
        <v>3084</v>
      </c>
      <c r="D23" s="2958">
        <v>16967.3</v>
      </c>
      <c r="E23" s="2958">
        <v>37328.06</v>
      </c>
      <c r="F23" s="2958" t="s">
        <v>3102</v>
      </c>
      <c r="G23" s="2958" t="s">
        <v>3086</v>
      </c>
      <c r="H23" s="2958" t="s">
        <v>3143</v>
      </c>
      <c r="I23" s="2958">
        <v>8400</v>
      </c>
      <c r="J23" s="2958">
        <v>8400</v>
      </c>
      <c r="K23" s="2958">
        <v>2250.3200000000002</v>
      </c>
      <c r="L23" s="2958">
        <v>0</v>
      </c>
      <c r="M23" s="2958" t="s">
        <v>3144</v>
      </c>
    </row>
    <row r="24" spans="1:13">
      <c r="A24" s="2958" t="s">
        <v>3145</v>
      </c>
      <c r="B24" s="2958" t="s">
        <v>3083</v>
      </c>
      <c r="C24" s="2958" t="s">
        <v>3084</v>
      </c>
      <c r="D24" s="2958">
        <v>6649</v>
      </c>
      <c r="E24" s="2958">
        <v>23271.5</v>
      </c>
      <c r="F24" s="2958" t="s">
        <v>3146</v>
      </c>
      <c r="G24" s="2958" t="s">
        <v>3086</v>
      </c>
      <c r="H24" s="2958" t="s">
        <v>3147</v>
      </c>
      <c r="I24" s="2958">
        <v>3000</v>
      </c>
      <c r="J24" s="2958">
        <v>3000</v>
      </c>
      <c r="K24" s="2958">
        <v>1289.1300000000001</v>
      </c>
      <c r="L24" s="2958">
        <v>0</v>
      </c>
      <c r="M24" s="2958" t="s">
        <v>3148</v>
      </c>
    </row>
    <row r="25" spans="1:13">
      <c r="A25" s="2958" t="s">
        <v>3149</v>
      </c>
      <c r="B25" s="2958" t="s">
        <v>3083</v>
      </c>
      <c r="C25" s="2958" t="s">
        <v>3084</v>
      </c>
      <c r="D25" s="2958">
        <v>26008.3</v>
      </c>
      <c r="E25" s="2958">
        <v>78024.899999999994</v>
      </c>
      <c r="F25" s="2958" t="s">
        <v>3150</v>
      </c>
      <c r="G25" s="2958" t="s">
        <v>3086</v>
      </c>
      <c r="H25" s="2958" t="s">
        <v>3147</v>
      </c>
      <c r="I25" s="2958">
        <v>5900</v>
      </c>
      <c r="J25" s="2958">
        <v>5900</v>
      </c>
      <c r="K25" s="2958">
        <v>756.16</v>
      </c>
      <c r="L25" s="2958">
        <v>0</v>
      </c>
      <c r="M25" s="2958" t="s">
        <v>3151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1634</v>
      </c>
      <c r="B2" s="2971" t="s">
        <v>1635</v>
      </c>
      <c r="C2" s="2971" t="s">
        <v>1636</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7" t="s">
        <v>1631</v>
      </c>
      <c r="E3" s="1047" t="s">
        <v>1637</v>
      </c>
      <c r="F3" s="1047" t="s">
        <v>1631</v>
      </c>
      <c r="G3" s="1047" t="s">
        <v>1632</v>
      </c>
      <c r="H3" s="1047" t="s">
        <v>1631</v>
      </c>
      <c r="I3" s="1047" t="s">
        <v>1632</v>
      </c>
    </row>
    <row r="4" spans="1:9" ht="30">
      <c r="A4" s="1976" t="str">
        <f>项目基本情况!S2</f>
        <v>北京市出让国有建设用地使用权及在建建筑物房地产</v>
      </c>
      <c r="B4" s="1047">
        <f>项目基本情况!C17</f>
        <v>47804</v>
      </c>
      <c r="C4" s="1047">
        <f>项目基本情况!C18</f>
        <v>11433.6</v>
      </c>
      <c r="D4" s="1047">
        <f ca="1">结果表!D118</f>
        <v>19692</v>
      </c>
      <c r="E4" s="1047">
        <f ca="1">结果表!E118</f>
        <v>4119</v>
      </c>
      <c r="F4" s="1047">
        <f ca="1">结果表!F118</f>
        <v>75899</v>
      </c>
      <c r="G4" s="1047">
        <f ca="1">结果表!G118</f>
        <v>15877</v>
      </c>
      <c r="H4" s="1047">
        <f ca="1">结果表!H118</f>
        <v>95591</v>
      </c>
      <c r="I4" s="1047">
        <f ca="1">结果表!I118</f>
        <v>19996</v>
      </c>
    </row>
    <row r="5" spans="1:9" ht="30" customHeight="1">
      <c r="A5" s="2972" t="s">
        <v>1633</v>
      </c>
      <c r="B5" s="2972"/>
      <c r="C5" s="2972"/>
      <c r="D5" s="2973" t="str">
        <f ca="1">结果表!D119</f>
        <v>壹亿玖仟陆佰玖拾贰万元整</v>
      </c>
      <c r="E5" s="2973"/>
      <c r="F5" s="2973" t="str">
        <f ca="1">结果表!F119</f>
        <v>柒亿伍仟捌佰玖拾玖万元整</v>
      </c>
      <c r="G5" s="2973"/>
      <c r="H5" s="2973" t="str">
        <f ca="1">结果表!H119</f>
        <v>玖亿伍仟伍佰玖拾壹万元整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1633</v>
      </c>
      <c r="B7" s="2972"/>
      <c r="C7" s="2972"/>
      <c r="D7" s="2975" t="str">
        <f>结果表!D121</f>
        <v>零元整</v>
      </c>
      <c r="E7" s="2976"/>
      <c r="F7" s="2976"/>
      <c r="G7" s="2976"/>
      <c r="H7" s="2976"/>
      <c r="I7" s="2977"/>
    </row>
    <row r="8" spans="1:9" ht="15.75">
      <c r="A8" s="2974" t="str">
        <f>结果表!A122</f>
        <v>房地产抵押价值</v>
      </c>
      <c r="B8" s="2974"/>
      <c r="C8" s="2974"/>
      <c r="D8" s="2974">
        <f ca="1">结果表!D122</f>
        <v>95591</v>
      </c>
      <c r="E8" s="2974"/>
      <c r="F8" s="2974"/>
      <c r="G8" s="2974"/>
      <c r="H8" s="2974"/>
      <c r="I8" s="2974"/>
    </row>
    <row r="9" spans="1:9" ht="15">
      <c r="A9" s="2972" t="s">
        <v>1633</v>
      </c>
      <c r="B9" s="2972"/>
      <c r="C9" s="2972"/>
      <c r="D9" s="2973" t="str">
        <f ca="1">结果表!D123</f>
        <v>玖亿伍仟伍佰玖拾壹万元整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1633</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1633</v>
      </c>
      <c r="B13" s="2978"/>
      <c r="C13" s="2978"/>
      <c r="D13" s="2979" t="e">
        <f>结果表!D127</f>
        <v>#VALUE!</v>
      </c>
      <c r="E13" s="2979"/>
      <c r="F13" s="2979"/>
      <c r="G13" s="2979"/>
      <c r="H13" s="2979"/>
      <c r="I13" s="2979"/>
    </row>
    <row r="14" spans="1:9" ht="15" thickTop="1">
      <c r="A14" s="2980" t="s">
        <v>1638</v>
      </c>
      <c r="B14" s="2980"/>
      <c r="C14" s="2980"/>
      <c r="D14" s="2980"/>
      <c r="E14" s="2980"/>
      <c r="F14" s="2980"/>
      <c r="G14" s="2980"/>
      <c r="H14" s="2980"/>
      <c r="I14" s="2980"/>
    </row>
    <row r="16" spans="1:9" ht="18.75">
      <c r="A16" s="1977" t="s">
        <v>1621</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1" t="s">
        <v>1655</v>
      </c>
      <c r="B1" s="2981"/>
      <c r="C1" s="2981"/>
      <c r="D1" s="2981"/>
    </row>
    <row r="2" spans="1:4" ht="18">
      <c r="A2" s="2982" t="s">
        <v>1639</v>
      </c>
      <c r="B2" s="2982"/>
      <c r="C2" s="2982"/>
      <c r="D2" s="2982"/>
    </row>
    <row r="3" spans="1:4" ht="18.75">
      <c r="A3" s="1980" t="s">
        <v>1640</v>
      </c>
      <c r="B3" s="1980" t="s">
        <v>1641</v>
      </c>
      <c r="C3" s="1980" t="s">
        <v>1642</v>
      </c>
      <c r="D3" s="1980" t="s">
        <v>1643</v>
      </c>
    </row>
    <row r="4" spans="1:4" ht="56.25" customHeight="1">
      <c r="A4" s="1981">
        <f>项目基本情况!B4</f>
        <v>0</v>
      </c>
      <c r="B4" s="1982">
        <f>项目基本情况!C4</f>
        <v>0</v>
      </c>
      <c r="C4" s="1983"/>
      <c r="D4" s="1984" t="s">
        <v>1644</v>
      </c>
    </row>
    <row r="5" spans="1:4" ht="56.25" customHeight="1">
      <c r="A5" s="1981">
        <f>项目基本情况!D4</f>
        <v>0</v>
      </c>
      <c r="B5" s="1982">
        <f>项目基本情况!E4</f>
        <v>0</v>
      </c>
      <c r="C5" s="1985"/>
      <c r="D5" s="1984" t="s">
        <v>1644</v>
      </c>
    </row>
    <row r="6" spans="1:4" ht="18">
      <c r="A6" s="2982" t="s">
        <v>1645</v>
      </c>
      <c r="B6" s="2982"/>
      <c r="C6" s="2982"/>
      <c r="D6" s="2982"/>
    </row>
    <row r="7" spans="1:4" ht="18.75">
      <c r="A7" s="1980" t="s">
        <v>1640</v>
      </c>
      <c r="B7" s="1982" t="s">
        <v>1646</v>
      </c>
      <c r="C7" s="1980" t="s">
        <v>1642</v>
      </c>
      <c r="D7" s="1980" t="s">
        <v>1643</v>
      </c>
    </row>
    <row r="8" spans="1:4" ht="56.25" customHeight="1">
      <c r="A8" s="1986" t="s">
        <v>869</v>
      </c>
      <c r="B8" s="1986" t="s">
        <v>1</v>
      </c>
      <c r="C8" s="1983"/>
      <c r="D8" s="1984" t="s">
        <v>1644</v>
      </c>
    </row>
    <row r="9" spans="1:4">
      <c r="A9" s="728"/>
      <c r="B9" s="728"/>
      <c r="C9" s="728"/>
      <c r="D9" s="728"/>
    </row>
    <row r="10" spans="1:4" ht="18.75">
      <c r="A10" s="1987" t="s">
        <v>1647</v>
      </c>
      <c r="B10" s="728"/>
      <c r="C10" s="728"/>
      <c r="D10" s="728"/>
    </row>
    <row r="11" spans="1:4" ht="30" customHeight="1">
      <c r="A11" s="2983" t="s">
        <v>1648</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7" t="s">
        <v>1649</v>
      </c>
      <c r="B16" s="2987"/>
      <c r="C16" s="2987"/>
      <c r="D16" s="2987"/>
    </row>
    <row r="17" spans="1:4" ht="144" customHeight="1">
      <c r="A17" s="2987" t="s">
        <v>1650</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1651</v>
      </c>
      <c r="B22" s="2989"/>
      <c r="C22" s="2989"/>
      <c r="D22" s="2989"/>
    </row>
    <row r="23" spans="1:4">
      <c r="A23" s="1988"/>
      <c r="B23" s="1960"/>
      <c r="C23" s="1960"/>
      <c r="D23" s="1960"/>
    </row>
    <row r="24" spans="1:4">
      <c r="A24" s="1988"/>
      <c r="B24" s="1960"/>
      <c r="C24" s="1960"/>
      <c r="D24" s="1960"/>
    </row>
    <row r="25" spans="1:4" ht="18.75">
      <c r="A25" s="1989" t="s">
        <v>1652</v>
      </c>
    </row>
    <row r="26" spans="1:4" ht="18">
      <c r="A26" s="1958"/>
    </row>
    <row r="27" spans="1:4" ht="18.75">
      <c r="A27" s="1958" t="s">
        <v>1653</v>
      </c>
    </row>
    <row r="30" spans="1:4" ht="18.75">
      <c r="D30" s="1989" t="s">
        <v>1654</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1656</v>
      </c>
    </row>
    <row r="3" spans="1:7">
      <c r="A3" s="1994" t="s">
        <v>82</v>
      </c>
      <c r="B3" s="1978" t="s">
        <v>1657</v>
      </c>
      <c r="G3" s="1995"/>
    </row>
    <row r="4" spans="1:7">
      <c r="G4" s="1995"/>
    </row>
    <row r="5" spans="1:7">
      <c r="A5" s="1997" t="s">
        <v>73</v>
      </c>
      <c r="B5" s="1978" t="s">
        <v>1658</v>
      </c>
      <c r="G5" s="1995"/>
    </row>
    <row r="6" spans="1:7">
      <c r="G6" s="1995"/>
    </row>
    <row r="7" spans="1:7">
      <c r="A7" s="1998" t="s">
        <v>135</v>
      </c>
      <c r="B7" s="1978" t="s">
        <v>1659</v>
      </c>
      <c r="G7" s="1995"/>
    </row>
    <row r="8" spans="1:7">
      <c r="G8" s="1995"/>
    </row>
    <row r="9" spans="1:7">
      <c r="A9" s="1999" t="s">
        <v>74</v>
      </c>
      <c r="B9" s="1978" t="s">
        <v>1660</v>
      </c>
    </row>
    <row r="11" spans="1:7">
      <c r="A11" s="2000" t="s">
        <v>75</v>
      </c>
      <c r="B11" s="2001" t="s">
        <v>72</v>
      </c>
    </row>
    <row r="13" spans="1:7">
      <c r="A13" s="2002" t="s">
        <v>1661</v>
      </c>
    </row>
    <row r="15" spans="1:7" ht="13.5">
      <c r="A15" s="2995" t="s">
        <v>1662</v>
      </c>
      <c r="B15" s="2990" t="s">
        <v>136</v>
      </c>
      <c r="C15" s="2991"/>
    </row>
    <row r="16" spans="1:7" ht="13.5">
      <c r="A16" s="2996"/>
      <c r="B16" s="2990" t="s">
        <v>69</v>
      </c>
      <c r="C16" s="2991"/>
    </row>
    <row r="17" spans="1:3" ht="13.5">
      <c r="A17" s="2996"/>
      <c r="B17" s="2993" t="s">
        <v>1663</v>
      </c>
      <c r="C17" s="2003" t="s">
        <v>1662</v>
      </c>
    </row>
    <row r="18" spans="1:3" ht="13.5">
      <c r="A18" s="2996"/>
      <c r="B18" s="2993"/>
      <c r="C18" s="2003" t="s">
        <v>1664</v>
      </c>
    </row>
    <row r="19" spans="1:3" ht="13.5">
      <c r="A19" s="2996"/>
      <c r="B19" s="2993"/>
      <c r="C19" s="2003" t="s">
        <v>1665</v>
      </c>
    </row>
    <row r="20" spans="1:3" ht="13.5">
      <c r="A20" s="2997"/>
      <c r="B20" s="2992" t="s">
        <v>1666</v>
      </c>
      <c r="C20" s="2991"/>
    </row>
    <row r="21" spans="1:3" ht="13.5">
      <c r="A21" s="2004" t="s">
        <v>1667</v>
      </c>
      <c r="B21" s="2005"/>
      <c r="C21" s="2006"/>
    </row>
    <row r="22" spans="1:3" ht="13.5">
      <c r="A22" s="2994" t="s">
        <v>1668</v>
      </c>
      <c r="B22" s="2992" t="s">
        <v>1669</v>
      </c>
      <c r="C22" s="2991"/>
    </row>
    <row r="23" spans="1:3" ht="13.5">
      <c r="A23" s="2994"/>
      <c r="B23" s="2992" t="s">
        <v>1670</v>
      </c>
      <c r="C23" s="2991"/>
    </row>
    <row r="24" spans="1:3" ht="13.5">
      <c r="A24" s="2994"/>
      <c r="B24" s="2992" t="s">
        <v>1671</v>
      </c>
      <c r="C24" s="2991"/>
    </row>
    <row r="25" spans="1:3" ht="13.5">
      <c r="A25" s="2994"/>
      <c r="B25" s="2993" t="s">
        <v>1672</v>
      </c>
      <c r="C25" s="2003" t="s">
        <v>1673</v>
      </c>
    </row>
    <row r="26" spans="1:3" ht="13.5">
      <c r="A26" s="2994"/>
      <c r="B26" s="2993"/>
      <c r="C26" s="2003" t="s">
        <v>1674</v>
      </c>
    </row>
    <row r="27" spans="1:3" ht="13.5">
      <c r="A27" s="2994"/>
      <c r="B27" s="2993"/>
      <c r="C27" s="2003" t="s">
        <v>1675</v>
      </c>
    </row>
    <row r="28" spans="1:3" ht="13.5">
      <c r="A28" s="2994"/>
      <c r="B28" s="2993"/>
      <c r="C28" s="2003" t="s">
        <v>1676</v>
      </c>
    </row>
    <row r="29" spans="1:3" ht="13.5">
      <c r="A29" s="2994"/>
      <c r="B29" s="2993"/>
      <c r="C29" s="2003" t="s">
        <v>1677</v>
      </c>
    </row>
    <row r="30" spans="1:3" ht="13.5">
      <c r="A30" s="2994"/>
      <c r="B30" s="2993"/>
      <c r="C30" s="2003" t="s">
        <v>1678</v>
      </c>
    </row>
    <row r="31" spans="1:3" ht="13.5">
      <c r="A31" s="2994"/>
      <c r="B31" s="2993"/>
      <c r="C31" s="2003" t="s">
        <v>1679</v>
      </c>
    </row>
    <row r="32" spans="1:3" ht="13.5">
      <c r="A32" s="2994"/>
      <c r="B32" s="2993"/>
      <c r="C32" s="2003" t="s">
        <v>1680</v>
      </c>
    </row>
    <row r="33" spans="1:3" ht="13.5">
      <c r="A33" s="2994"/>
      <c r="B33" s="2993"/>
      <c r="C33" s="2003" t="s">
        <v>1681</v>
      </c>
    </row>
    <row r="34" spans="1:3">
      <c r="A34" s="2007" t="s">
        <v>76</v>
      </c>
    </row>
    <row r="37" spans="1:3">
      <c r="A37" s="2007" t="s">
        <v>1682</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43350</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3045</v>
      </c>
      <c r="B12" s="1025">
        <v>1120110054</v>
      </c>
      <c r="C12" s="2945">
        <v>43937</v>
      </c>
      <c r="D12" s="1705" t="s">
        <v>3045</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1142</v>
      </c>
      <c r="B15" s="1025">
        <v>1120070085</v>
      </c>
      <c r="C15" s="2350">
        <v>43814</v>
      </c>
      <c r="D15" s="2354" t="s">
        <v>1142</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1326</v>
      </c>
      <c r="B24" s="1706" t="s">
        <v>1326</v>
      </c>
      <c r="C24" s="2351" t="s">
        <v>1326</v>
      </c>
      <c r="D24" s="2354" t="s">
        <v>1326</v>
      </c>
      <c r="E24" s="1706" t="s">
        <v>1326</v>
      </c>
      <c r="F24" s="1706" t="s">
        <v>1326</v>
      </c>
    </row>
    <row r="25" spans="1:7" ht="24" customHeight="1">
      <c r="A25" s="2998" t="s">
        <v>846</v>
      </c>
      <c r="B25" s="2998"/>
      <c r="C25" s="2998"/>
      <c r="D25" s="2998"/>
      <c r="E25" s="2998"/>
      <c r="F25" s="2998"/>
      <c r="G25" s="2998"/>
    </row>
    <row r="26" spans="1:7" s="1028" customFormat="1" ht="24" customHeight="1">
      <c r="A26" s="2999" t="s">
        <v>847</v>
      </c>
      <c r="B26" s="2999"/>
      <c r="C26" s="3000"/>
      <c r="D26" s="3001" t="s">
        <v>848</v>
      </c>
      <c r="E26" s="2999"/>
      <c r="F26" s="2999"/>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1377</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2018-09-07T02:32:51Z</cp:lastPrinted>
  <dcterms:created xsi:type="dcterms:W3CDTF">2015-07-13T07:17:23Z</dcterms:created>
  <dcterms:modified xsi:type="dcterms:W3CDTF">2018-09-07T05:23:09Z</dcterms:modified>
</cp:coreProperties>
</file>