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70" tabRatio="875" firstSheet="9"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Sheet3"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Sheet4"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65" l="1"/>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AZ5" i="3"/>
  <c r="E3" i="6"/>
  <c r="BB5" i="3"/>
  <c r="BC5" i="3"/>
  <c r="E5" i="6"/>
  <c r="E6" i="6"/>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B39" i="1"/>
  <c r="F11" i="15"/>
  <c r="C10" i="15"/>
  <c r="C5" i="15"/>
  <c r="C32" i="15"/>
  <c r="C33" i="15"/>
  <c r="H13" i="3"/>
  <c r="AC13" i="3"/>
  <c r="G13" i="3"/>
  <c r="G5" i="3"/>
  <c r="AT5" i="3"/>
  <c r="B3" i="3"/>
  <c r="AY6" i="3"/>
  <c r="D3" i="6"/>
  <c r="D21" i="6"/>
  <c r="BQ5" i="3"/>
  <c r="BS5" i="3"/>
  <c r="F28" i="6"/>
  <c r="BR5" i="3"/>
  <c r="BT5" i="3"/>
  <c r="G28" i="6"/>
  <c r="E28" i="6"/>
  <c r="BA5" i="3"/>
  <c r="E27" i="6"/>
  <c r="K21" i="6"/>
  <c r="L21" i="6"/>
  <c r="M21" i="6"/>
  <c r="I21" i="6"/>
  <c r="H21" i="6"/>
  <c r="R21" i="6"/>
  <c r="R8" i="1"/>
  <c r="F35" i="15"/>
  <c r="C34" i="15"/>
  <c r="C31" i="15"/>
  <c r="K8" i="1"/>
  <c r="M8" i="1"/>
  <c r="K14" i="1"/>
  <c r="M14" i="1"/>
  <c r="S8" i="1"/>
  <c r="K19" i="6"/>
  <c r="S6" i="1"/>
  <c r="K20" i="6"/>
  <c r="S7" i="1"/>
  <c r="S9" i="1"/>
  <c r="S10" i="1"/>
  <c r="S11" i="1"/>
  <c r="S12" i="1"/>
  <c r="S13" i="1"/>
  <c r="S16" i="1"/>
  <c r="T8" i="1"/>
  <c r="C14" i="15"/>
  <c r="C15" i="15"/>
  <c r="F16" i="15"/>
  <c r="C16" i="15"/>
  <c r="F43" i="15"/>
  <c r="C17" i="15"/>
  <c r="C18" i="15"/>
  <c r="C19" i="15"/>
  <c r="F20" i="15"/>
  <c r="C20" i="15"/>
  <c r="B40" i="1"/>
  <c r="F24" i="15"/>
  <c r="C23" i="15"/>
  <c r="F26" i="15"/>
  <c r="C26" i="15"/>
  <c r="F21"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57" i="15"/>
  <c r="J55" i="15"/>
  <c r="J58" i="15"/>
  <c r="J59" i="15"/>
  <c r="J60" i="15"/>
  <c r="F60" i="15"/>
  <c r="D60" i="15"/>
  <c r="Q59" i="15"/>
  <c r="K59" i="15"/>
  <c r="F59"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M20" i="15"/>
  <c r="M19" i="15"/>
  <c r="M18" i="15"/>
  <c r="F18" i="15"/>
  <c r="M17" i="15"/>
  <c r="F17" i="15"/>
  <c r="F15" i="15"/>
  <c r="B2" i="15"/>
  <c r="B3" i="15"/>
  <c r="G1" i="15"/>
  <c r="M8" i="44"/>
  <c r="M10" i="44"/>
  <c r="K9" i="1"/>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M9" i="1"/>
  <c r="T9" i="1"/>
  <c r="C16" i="44"/>
  <c r="C17" i="44"/>
  <c r="F18" i="44"/>
  <c r="C18" i="44"/>
  <c r="C19" i="44"/>
  <c r="C20" i="44"/>
  <c r="C21" i="44"/>
  <c r="F22" i="44"/>
  <c r="C22" i="44"/>
  <c r="F26" i="44"/>
  <c r="C25" i="44"/>
  <c r="F28" i="44"/>
  <c r="C28" i="44"/>
  <c r="F23" i="44"/>
  <c r="C26" i="44"/>
  <c r="C29" i="44"/>
  <c r="C31" i="44"/>
  <c r="F15" i="44"/>
  <c r="C15" i="44"/>
  <c r="Q72" i="44"/>
  <c r="C34" i="44"/>
  <c r="C35" i="44"/>
  <c r="R9"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M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G3" i="46"/>
  <c r="C23" i="46"/>
  <c r="C21"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P22" i="46"/>
  <c r="J22" i="46"/>
  <c r="H22" i="46"/>
  <c r="P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6" i="1"/>
  <c r="K7" i="1"/>
  <c r="K10" i="1"/>
  <c r="K11" i="1"/>
  <c r="K12" i="1"/>
  <c r="K13" i="1"/>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7" i="1"/>
  <c r="M10" i="1"/>
  <c r="M11" i="1"/>
  <c r="M12" i="1"/>
  <c r="M13" i="1"/>
  <c r="M16" i="1"/>
  <c r="C13" i="43"/>
  <c r="C14" i="43"/>
  <c r="C15" i="43"/>
  <c r="D16" i="43"/>
  <c r="C16" i="43"/>
  <c r="C17" i="43"/>
  <c r="C18" i="43"/>
  <c r="F19" i="43"/>
  <c r="C19" i="43"/>
  <c r="F21" i="43"/>
  <c r="C22" i="43"/>
  <c r="C21" i="43"/>
  <c r="F20" i="43"/>
  <c r="C23" i="43"/>
  <c r="D21" i="43"/>
  <c r="N16" i="1"/>
  <c r="C29" i="43"/>
  <c r="F31" i="43"/>
  <c r="C31" i="43"/>
  <c r="F27" i="43"/>
  <c r="C27" i="43"/>
  <c r="G23" i="43"/>
  <c r="G22" i="43"/>
  <c r="G21" i="43"/>
  <c r="C20" i="43"/>
  <c r="F17" i="43"/>
  <c r="E16" i="43"/>
  <c r="F15" i="43"/>
  <c r="F14" i="43"/>
  <c r="K9" i="43"/>
  <c r="J9" i="43"/>
  <c r="I9" i="43"/>
  <c r="H9" i="43"/>
  <c r="G9" i="43"/>
  <c r="F9" i="43"/>
  <c r="E9" i="43"/>
  <c r="D9" i="43"/>
  <c r="C9" i="43"/>
  <c r="C6" i="43"/>
  <c r="K1" i="43"/>
  <c r="E10" i="12"/>
  <c r="C9" i="12"/>
  <c r="C10" i="12"/>
  <c r="D9" i="12"/>
  <c r="D10" i="12"/>
  <c r="C6" i="12"/>
  <c r="O6" i="1"/>
  <c r="P6" i="1"/>
  <c r="O7" i="1"/>
  <c r="P7" i="1"/>
  <c r="O8" i="1"/>
  <c r="P8" i="1"/>
  <c r="O9" i="1"/>
  <c r="P9" i="1"/>
  <c r="O10" i="1"/>
  <c r="P10" i="1"/>
  <c r="O11" i="1"/>
  <c r="P11" i="1"/>
  <c r="O12" i="1"/>
  <c r="P12" i="1"/>
  <c r="O13" i="1"/>
  <c r="P13" i="1"/>
  <c r="O14" i="1"/>
  <c r="P14" i="1"/>
  <c r="P16" i="1"/>
  <c r="C13" i="12"/>
  <c r="C14" i="12"/>
  <c r="C15" i="12"/>
  <c r="D16" i="12"/>
  <c r="C16" i="12"/>
  <c r="C17" i="12"/>
  <c r="C18" i="12"/>
  <c r="D19" i="12"/>
  <c r="C19" i="12"/>
  <c r="D21" i="12"/>
  <c r="C21" i="12"/>
  <c r="D22" i="12"/>
  <c r="C22" i="12"/>
  <c r="C20" i="12"/>
  <c r="F23" i="12"/>
  <c r="C23" i="12"/>
  <c r="F24" i="12"/>
  <c r="C24" i="12"/>
  <c r="F26" i="12"/>
  <c r="C28" i="12"/>
  <c r="C26" i="12"/>
  <c r="C29" i="12"/>
  <c r="C31" i="12"/>
  <c r="C30" i="12"/>
  <c r="C27" i="12"/>
  <c r="D26" i="12"/>
  <c r="C32" i="12"/>
  <c r="D30" i="12"/>
  <c r="F29" i="12"/>
  <c r="G28" i="12"/>
  <c r="G27" i="12"/>
  <c r="G26" i="12"/>
  <c r="F25" i="12"/>
  <c r="C25" i="12"/>
  <c r="E22" i="12"/>
  <c r="E21" i="12"/>
  <c r="E19" i="12"/>
  <c r="F17" i="12"/>
  <c r="E16" i="12"/>
  <c r="F15" i="12"/>
  <c r="F14" i="12"/>
  <c r="N9" i="12"/>
  <c r="M9" i="12"/>
  <c r="K9" i="12"/>
  <c r="J9" i="12"/>
  <c r="I9" i="12"/>
  <c r="H9" i="12"/>
  <c r="G9" i="12"/>
  <c r="F9" i="12"/>
  <c r="E9" i="12"/>
  <c r="E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c r="F103" i="39"/>
  <c r="G103" i="39"/>
  <c r="G101" i="39"/>
  <c r="F101" i="39"/>
  <c r="E101" i="39"/>
  <c r="D101" i="39"/>
  <c r="G99" i="39"/>
  <c r="F99" i="39"/>
  <c r="E99" i="39"/>
  <c r="D99" i="39"/>
  <c r="G97" i="39"/>
  <c r="F97" i="39"/>
  <c r="E97" i="39"/>
  <c r="D97" i="39"/>
  <c r="G95" i="39"/>
  <c r="F95" i="39"/>
  <c r="E95" i="39"/>
  <c r="D95" i="39"/>
  <c r="G93" i="39"/>
  <c r="F93" i="39"/>
  <c r="E93" i="39"/>
  <c r="D93" i="39"/>
  <c r="D91" i="39"/>
  <c r="E91" i="39"/>
  <c r="F91" i="39"/>
  <c r="G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I5" i="3"/>
  <c r="K5" i="3"/>
  <c r="AL5" i="3"/>
  <c r="I4" i="6"/>
  <c r="C13" i="39"/>
  <c r="F13" i="39"/>
  <c r="AA13" i="39"/>
  <c r="C40" i="39"/>
  <c r="F40" i="39"/>
  <c r="AA40" i="39"/>
  <c r="F29" i="39"/>
  <c r="AA29" i="39"/>
  <c r="F17" i="39"/>
  <c r="AA17" i="39"/>
  <c r="R49" i="39"/>
  <c r="H12" i="39"/>
  <c r="AB12" i="39"/>
  <c r="H13" i="39"/>
  <c r="AB13" i="39"/>
  <c r="H40" i="39"/>
  <c r="AB40" i="39"/>
  <c r="H29" i="39"/>
  <c r="AB29" i="39"/>
  <c r="H17" i="39"/>
  <c r="AB17" i="39"/>
  <c r="T49" i="39"/>
  <c r="J12" i="39"/>
  <c r="AC12" i="39"/>
  <c r="J13" i="39"/>
  <c r="AC13" i="39"/>
  <c r="J40" i="39"/>
  <c r="AC40" i="39"/>
  <c r="J29" i="39"/>
  <c r="AC29" i="39"/>
  <c r="J17" i="39"/>
  <c r="AC17" i="39"/>
  <c r="V49" i="39"/>
  <c r="R50" i="39"/>
  <c r="C50" i="39"/>
  <c r="E68" i="39"/>
  <c r="F68" i="39"/>
  <c r="I67" i="39"/>
  <c r="H67" i="39"/>
  <c r="B67" i="39"/>
  <c r="E67" i="39"/>
  <c r="F67" i="39"/>
  <c r="C67" i="39"/>
  <c r="I66" i="39"/>
  <c r="H66" i="39"/>
  <c r="B66" i="39"/>
  <c r="E66" i="39"/>
  <c r="F66" i="39"/>
  <c r="C66" i="39"/>
  <c r="I65" i="39"/>
  <c r="H65" i="39"/>
  <c r="B65" i="39"/>
  <c r="E65" i="39"/>
  <c r="F65" i="39"/>
  <c r="C65" i="39"/>
  <c r="I64" i="39"/>
  <c r="H64" i="39"/>
  <c r="B64" i="39"/>
  <c r="E64" i="39"/>
  <c r="F64" i="39"/>
  <c r="C64" i="39"/>
  <c r="I63" i="39"/>
  <c r="H63" i="39"/>
  <c r="B63" i="39"/>
  <c r="E63" i="39"/>
  <c r="F63" i="39"/>
  <c r="C63" i="39"/>
  <c r="I62" i="39"/>
  <c r="H62" i="39"/>
  <c r="B62" i="39"/>
  <c r="F62" i="39"/>
  <c r="C62" i="39"/>
  <c r="I61" i="39"/>
  <c r="H61" i="39"/>
  <c r="B61" i="39"/>
  <c r="F61" i="39"/>
  <c r="C61" i="39"/>
  <c r="I60" i="39"/>
  <c r="H60" i="39"/>
  <c r="B60" i="39"/>
  <c r="F60" i="39"/>
  <c r="C60" i="39"/>
  <c r="I59" i="39"/>
  <c r="H59" i="39"/>
  <c r="B59" i="39"/>
  <c r="F59" i="39"/>
  <c r="C59" i="39"/>
  <c r="B58" i="39"/>
  <c r="E58" i="39"/>
  <c r="F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W29" i="39"/>
  <c r="U29" i="39"/>
  <c r="S29" i="39"/>
  <c r="Q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W17" i="39"/>
  <c r="U17" i="39"/>
  <c r="S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2" i="39"/>
  <c r="B5" i="39"/>
  <c r="B4" i="39"/>
  <c r="B3" i="39"/>
  <c r="C19" i="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L43" i="9"/>
  <c r="K43" i="9"/>
  <c r="C43" i="9"/>
  <c r="O41" i="9"/>
  <c r="K41" i="9"/>
  <c r="O40" i="9"/>
  <c r="K40" i="9"/>
  <c r="K39" i="9"/>
  <c r="L38" i="9"/>
  <c r="K38" i="9"/>
  <c r="K33" i="9"/>
  <c r="K34" i="9"/>
  <c r="K31" i="9"/>
  <c r="K32" i="9"/>
  <c r="C25" i="9"/>
  <c r="C24" i="9"/>
  <c r="C21" i="9"/>
  <c r="C20" i="9"/>
  <c r="D18" i="9"/>
  <c r="C18" i="9"/>
  <c r="D17" i="9"/>
  <c r="C17" i="9"/>
  <c r="M4" i="9"/>
  <c r="L4" i="9"/>
  <c r="A2" i="9"/>
  <c r="F23" i="66"/>
  <c r="E23" i="66"/>
  <c r="F22" i="66"/>
  <c r="E22" i="66"/>
  <c r="F21" i="66"/>
  <c r="E21" i="66"/>
  <c r="F20" i="66"/>
  <c r="E20" i="66"/>
  <c r="F19" i="66"/>
  <c r="E19" i="66"/>
  <c r="F18" i="66"/>
  <c r="E18" i="66"/>
  <c r="F17" i="66"/>
  <c r="E17" i="66"/>
  <c r="F16" i="66"/>
  <c r="E16" i="66"/>
  <c r="C15" i="66"/>
  <c r="B15" i="66"/>
  <c r="I14" i="66"/>
  <c r="H14" i="66"/>
  <c r="C14" i="66"/>
  <c r="B14" i="66"/>
  <c r="B8" i="66"/>
  <c r="B2" i="66"/>
  <c r="D8" i="66"/>
  <c r="B1" i="66"/>
  <c r="C8" i="66"/>
  <c r="B7" i="66"/>
  <c r="D7" i="66"/>
  <c r="C7" i="66"/>
  <c r="B3" i="66"/>
  <c r="C24" i="20"/>
  <c r="C22" i="20"/>
  <c r="C21" i="20"/>
  <c r="G20" i="20"/>
  <c r="C20" i="20"/>
  <c r="G19" i="20"/>
  <c r="G18" i="20"/>
  <c r="C18" i="20"/>
  <c r="C17" i="20"/>
  <c r="G16" i="20"/>
  <c r="C16" i="20"/>
  <c r="G15" i="20"/>
  <c r="C15" i="20"/>
  <c r="B52" i="1"/>
  <c r="B43" i="1"/>
  <c r="C42" i="1"/>
  <c r="B41" i="1"/>
  <c r="B31" i="1"/>
  <c r="B24" i="1"/>
  <c r="B23" i="1"/>
  <c r="B22" i="1"/>
  <c r="AH18" i="1"/>
  <c r="T6" i="1"/>
  <c r="T7" i="1"/>
  <c r="T10" i="1"/>
  <c r="T11" i="1"/>
  <c r="T12" i="1"/>
  <c r="T13" i="1"/>
  <c r="T16" i="1"/>
  <c r="D19" i="6"/>
  <c r="L19" i="6"/>
  <c r="M19" i="6"/>
  <c r="I19" i="6"/>
  <c r="H19" i="6"/>
  <c r="R19" i="6"/>
  <c r="R6" i="1"/>
  <c r="D20" i="6"/>
  <c r="L20" i="6"/>
  <c r="M20" i="6"/>
  <c r="I20" i="6"/>
  <c r="H20" i="6"/>
  <c r="R20" i="6"/>
  <c r="R7" i="1"/>
  <c r="R10" i="1"/>
  <c r="R11" i="1"/>
  <c r="R12" i="1"/>
  <c r="R13" i="1"/>
  <c r="R16" i="1"/>
  <c r="O16" i="1"/>
  <c r="L16" i="1"/>
  <c r="BM5" i="3"/>
  <c r="BO5" i="3"/>
  <c r="F29" i="6"/>
  <c r="BN5" i="3"/>
  <c r="BP5" i="3"/>
  <c r="G29" i="6"/>
  <c r="E29" i="6"/>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AG10" i="1"/>
  <c r="AE10" i="1"/>
  <c r="G10" i="1"/>
  <c r="F10" i="1"/>
  <c r="E10" i="1"/>
  <c r="D10" i="1"/>
  <c r="B10" i="1"/>
  <c r="A10" i="1"/>
  <c r="AP9" i="1"/>
  <c r="G9" i="1"/>
  <c r="F9" i="1"/>
  <c r="E9" i="1"/>
  <c r="D9" i="1"/>
  <c r="B9" i="1"/>
  <c r="A9" i="1"/>
  <c r="AP8" i="1"/>
  <c r="AH8" i="1"/>
  <c r="G8" i="1"/>
  <c r="F8" i="1"/>
  <c r="E8" i="1"/>
  <c r="D8" i="1"/>
  <c r="B8" i="1"/>
  <c r="A8" i="1"/>
  <c r="AP7" i="1"/>
  <c r="AG7" i="1"/>
  <c r="AE7" i="1"/>
  <c r="G7" i="1"/>
  <c r="F7" i="1"/>
  <c r="E7" i="1"/>
  <c r="D7" i="1"/>
  <c r="B7" i="1"/>
  <c r="A7" i="1"/>
  <c r="AP6" i="1"/>
  <c r="AG6" i="1"/>
  <c r="AE6" i="1"/>
  <c r="G6" i="1"/>
  <c r="F6" i="1"/>
  <c r="E6" i="1"/>
  <c r="D6" i="1"/>
  <c r="B6" i="1"/>
  <c r="A6" i="1"/>
  <c r="T4" i="1"/>
  <c r="B2" i="1"/>
  <c r="E34" i="6"/>
  <c r="E32"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G21" i="6"/>
  <c r="E21" i="6"/>
  <c r="P20" i="6"/>
  <c r="F20" i="6"/>
  <c r="E20" i="6"/>
  <c r="P19" i="6"/>
  <c r="F19" i="6"/>
  <c r="E19" i="6"/>
  <c r="E10" i="6"/>
  <c r="E16" i="6"/>
  <c r="D8" i="6"/>
  <c r="D9" i="6"/>
  <c r="D10" i="6"/>
  <c r="D11" i="6"/>
  <c r="D12" i="6"/>
  <c r="D13" i="6"/>
  <c r="D14" i="6"/>
  <c r="D15" i="6"/>
  <c r="D16" i="6"/>
  <c r="I6" i="6"/>
  <c r="D6" i="6"/>
  <c r="I5" i="6"/>
  <c r="D5" i="6"/>
  <c r="I3" i="6"/>
  <c r="C19" i="68"/>
  <c r="H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T14" i="3"/>
  <c r="AL14" i="3"/>
  <c r="AC14" i="3"/>
  <c r="M14" i="3"/>
  <c r="K14" i="3"/>
  <c r="I14" i="3"/>
  <c r="H14" i="3"/>
  <c r="G14" i="3"/>
  <c r="E14"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6" i="3"/>
  <c r="J6" i="3"/>
  <c r="I6" i="3"/>
  <c r="H6" i="3"/>
  <c r="E6" i="3"/>
  <c r="AS5" i="3"/>
  <c r="AR5" i="3"/>
  <c r="AQ5" i="3"/>
  <c r="AP5" i="3"/>
  <c r="AO5" i="3"/>
  <c r="AN5" i="3"/>
  <c r="AM5" i="3"/>
  <c r="AK5" i="3"/>
  <c r="AJ5" i="3"/>
  <c r="AI5" i="3"/>
  <c r="AH5" i="3"/>
  <c r="AG5" i="3"/>
  <c r="AF5" i="3"/>
  <c r="AE5" i="3"/>
  <c r="AD5" i="3"/>
  <c r="AC5" i="3"/>
  <c r="AB5" i="3"/>
  <c r="AA5" i="3"/>
  <c r="Z5" i="3"/>
  <c r="Y5" i="3"/>
  <c r="X5" i="3"/>
  <c r="W5" i="3"/>
  <c r="V5" i="3"/>
  <c r="U5" i="3"/>
  <c r="T5" i="3"/>
  <c r="S5" i="3"/>
  <c r="R5" i="3"/>
  <c r="Q5" i="3"/>
  <c r="P5" i="3"/>
  <c r="O5" i="3"/>
  <c r="N5" i="3"/>
  <c r="L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33" i="12"/>
  <c r="C35" i="12"/>
  <c r="C33" i="12"/>
  <c r="C34" i="12"/>
  <c r="D33" i="12"/>
  <c r="C36" i="12"/>
  <c r="B2" i="12"/>
  <c r="D19" i="9"/>
  <c r="G19" i="9"/>
  <c r="C32" i="9"/>
  <c r="C34" i="9"/>
  <c r="E42" i="9"/>
  <c r="P5" i="54"/>
  <c r="B46" i="63"/>
  <c r="C33" i="9"/>
  <c r="D42" i="9"/>
  <c r="Q5" i="54"/>
  <c r="B47" i="63"/>
  <c r="C42" i="9"/>
  <c r="R5" i="54"/>
  <c r="B48" i="63"/>
  <c r="C44" i="9"/>
  <c r="O39" i="9"/>
  <c r="R6" i="54"/>
  <c r="B50" i="63"/>
  <c r="D14" i="66"/>
  <c r="G14" i="66"/>
  <c r="E14" i="66"/>
  <c r="F14" i="66"/>
  <c r="B3" i="12"/>
  <c r="D20" i="9"/>
  <c r="G20" i="9"/>
  <c r="K20" i="9"/>
  <c r="L20" i="9"/>
  <c r="B4" i="12"/>
  <c r="D21" i="9"/>
  <c r="G21" i="9"/>
  <c r="D22" i="9"/>
  <c r="G22" i="9"/>
  <c r="O38" i="9"/>
  <c r="K25" i="9"/>
  <c r="K26" i="9"/>
  <c r="M38" i="9"/>
  <c r="K27" i="9"/>
  <c r="N38" i="9"/>
  <c r="K28" i="9"/>
  <c r="K29" i="9"/>
  <c r="K30" i="9"/>
  <c r="C35" i="9"/>
  <c r="F42" i="9"/>
  <c r="N43" i="9"/>
  <c r="O43" i="9"/>
  <c r="D44" i="9"/>
  <c r="E44" i="9"/>
  <c r="F44" i="9"/>
  <c r="L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12"/>
  <c r="F24" i="43"/>
  <c r="C25" i="43"/>
  <c r="C24" i="43"/>
  <c r="C26" i="43"/>
  <c r="D24" i="43"/>
  <c r="C28" i="43"/>
  <c r="C30" i="43"/>
  <c r="C32" i="43"/>
  <c r="B2" i="43"/>
  <c r="B3" i="43"/>
  <c r="B4" i="43"/>
  <c r="B5" i="43"/>
  <c r="F18" i="11"/>
  <c r="C18" i="11"/>
  <c r="C19" i="11"/>
  <c r="C20" i="11"/>
  <c r="C21" i="11"/>
  <c r="AP16" i="1"/>
  <c r="F22" i="11"/>
  <c r="C22" i="11"/>
  <c r="C23" i="11"/>
  <c r="B2" i="11"/>
  <c r="B3" i="11"/>
  <c r="B4" i="11"/>
  <c r="B5" i="11"/>
  <c r="D15" i="66"/>
  <c r="G15" i="66"/>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<sst xmlns="http://schemas.openxmlformats.org/spreadsheetml/2006/main" count="7690" uniqueCount="2596">
  <si>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</si>
  <si>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</si>
  <si>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</si>
  <si>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</si>
  <si>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</si>
  <si>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</si>
  <si>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</si>
  <si>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</si>
  <si>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</si>
  <si>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</si>
  <si>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</si>
  <si>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</si>
  <si>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</si>
  <si>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</si>
  <si>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</si>
  <si>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</si>
  <si>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</si>
  <si>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</si>
  <si>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</si>
  <si>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</si>
  <si>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</si>
  <si>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</si>
  <si>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</si>
  <si>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</si>
  <si>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</si>
  <si>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</si>
  <si>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</si>
  <si>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</si>
  <si>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</si>
  <si>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</si>
  <si>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</si>
  <si>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</si>
  <si>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</si>
  <si>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</si>
  <si>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</si>
  <si>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</si>
  <si>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</si>
  <si>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</si>
  <si>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</si>
  <si>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</si>
  <si>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</si>
  <si>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</si>
  <si>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</si>
  <si>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</si>
  <si>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</si>
  <si>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</si>
  <si>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</si>
  <si>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</si>
  <si>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</si>
  <si>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</si>
  <si>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</si>
  <si>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</si>
  <si>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</si>
  <si>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</si>
  <si>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</si>
  <si>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</si>
  <si>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</si>
  <si>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</si>
  <si>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</si>
  <si>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</si>
  <si>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</si>
  <si>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</si>
  <si>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</si>
  <si>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</si>
  <si>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</si>
  <si>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</si>
  <si>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</si>
  <si>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</si>
  <si>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</si>
  <si>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</si>
  <si>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</si>
  <si>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</si>
  <si>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</si>
  <si>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</si>
  <si>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</si>
  <si>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</si>
  <si>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</si>
  <si>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</si>
  <si>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</si>
  <si>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</si>
  <si>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</si>
  <si>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</si>
  <si>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</si>
  <si>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</si>
  <si>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</si>
  <si>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</si>
  <si>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</si>
  <si>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</si>
  <si>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</si>
  <si>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</si>
  <si>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</si>
  <si>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</si>
  <si>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</si>
  <si>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</si>
  <si>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</si>
  <si>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</si>
  <si>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</si>
  <si>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</si>
  <si>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</si>
  <si>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</si>
  <si>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</si>
  <si>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</si>
  <si>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</si>
  <si>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</si>
  <si>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</si>
  <si>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</si>
  <si>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</si>
  <si>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</si>
  <si>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</si>
  <si>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</si>
  <si>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</si>
  <si>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</si>
  <si>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</si>
  <si>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</si>
  <si>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</si>
  <si>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</si>
  <si>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</si>
  <si>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</si>
  <si>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</si>
  <si>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</si>
  <si>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</si>
  <si>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</si>
  <si>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</si>
  <si>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</si>
  <si>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</si>
  <si>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</si>
  <si>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</si>
  <si>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</si>
  <si>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</si>
  <si>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</si>
  <si>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</si>
  <si>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</si>
  <si>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</si>
  <si>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</si>
  <si>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</si>
  <si>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</si>
  <si>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</si>
  <si>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</si>
  <si>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</si>
  <si>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</si>
  <si>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</si>
  <si>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</si>
  <si>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</si>
  <si>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</si>
  <si>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</si>
  <si>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</si>
  <si>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</si>
  <si>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</si>
  <si>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</si>
  <si>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</si>
  <si>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</si>
  <si>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</si>
  <si>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</si>
  <si>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</si>
  <si>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</si>
  <si>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</si>
  <si>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</si>
  <si>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</si>
  <si>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</si>
  <si>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</si>
  <si>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</si>
  <si>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</si>
  <si>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</si>
  <si>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</si>
  <si>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</si>
  <si>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</si>
  <si>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</si>
  <si>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</si>
  <si>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</si>
  <si>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</si>
  <si>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</si>
  <si>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</si>
  <si>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</si>
  <si>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</si>
  <si>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</si>
  <si>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</si>
  <si>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</si>
  <si>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</si>
  <si>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</si>
  <si>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</si>
  <si>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</si>
  <si>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</si>
  <si>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</si>
  <si>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</si>
  <si>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</si>
  <si>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</si>
  <si>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</si>
  <si>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</si>
  <si>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</si>
  <si>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</si>
  <si>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</si>
  <si>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</si>
  <si>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</si>
  <si>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</si>
  <si>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</si>
  <si>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</si>
  <si>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</si>
  <si>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</si>
  <si>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</si>
  <si>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</si>
  <si>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</si>
  <si>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</si>
  <si>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</si>
  <si>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</si>
  <si>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</si>
  <si>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</si>
  <si>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</si>
  <si>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</si>
  <si>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</si>
  <si>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</si>
  <si>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</si>
  <si>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</si>
  <si>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</si>
  <si>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</si>
  <si>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</si>
  <si>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</si>
  <si>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</si>
  <si>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</si>
  <si>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</si>
  <si>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</si>
  <si>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</si>
  <si>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</si>
  <si>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</si>
  <si>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</si>
  <si>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</si>
  <si>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</si>
  <si>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</si>
  <si>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</si>
  <si>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</si>
  <si>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</si>
  <si>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</si>
  <si>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</si>
  <si>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</si>
  <si>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</si>
  <si>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</si>
  <si>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</si>
  <si>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</si>
  <si>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</si>
  <si>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</si>
  <si>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</si>
  <si>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</si>
  <si>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</si>
  <si>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</si>
  <si>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</si>
  <si>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</si>
  <si>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</si>
  <si>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</si>
  <si>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</si>
  <si>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</si>
  <si>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</si>
  <si>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</si>
  <si>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</si>
  <si>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</si>
  <si>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</si>
  <si>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</si>
  <si>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</si>
  <si>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</si>
  <si>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</si>
  <si>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</si>
  <si>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</si>
  <si>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</si>
  <si>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</si>
  <si>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</si>
  <si>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</si>
  <si>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</si>
  <si>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</si>
  <si>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</si>
  <si>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</si>
  <si>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</si>
  <si>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</si>
  <si>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</si>
  <si>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</si>
  <si>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</si>
  <si>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</si>
  <si>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</si>
  <si>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</si>
  <si>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</si>
  <si>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</si>
  <si>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</si>
  <si>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</si>
  <si>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</si>
  <si>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</si>
  <si>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</si>
  <si>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</si>
  <si>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</si>
  <si>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</si>
  <si>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</si>
  <si>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</si>
  <si>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</si>
  <si>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</si>
  <si>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</si>
  <si>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</si>
  <si>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</si>
  <si>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</si>
  <si>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</si>
  <si>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</si>
  <si>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</si>
  <si>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</si>
  <si>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</si>
  <si>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</si>
  <si>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</si>
  <si>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</si>
  <si>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</si>
  <si>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</si>
  <si>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</si>
  <si>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</si>
  <si>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</si>
  <si>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</si>
  <si>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</si>
  <si>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</si>
  <si>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</si>
  <si>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</si>
  <si>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</si>
  <si>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</si>
  <si>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</si>
  <si>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</si>
  <si>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</si>
  <si>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</si>
  <si>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</si>
  <si>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</si>
  <si>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</si>
  <si>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</si>
  <si>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</si>
  <si>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</si>
  <si>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</si>
  <si>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</si>
  <si>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</si>
  <si>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</si>
  <si>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</si>
  <si>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</si>
  <si>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</si>
  <si>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</si>
  <si>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</si>
  <si>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</si>
  <si>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</si>
  <si>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</si>
  <si>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</si>
  <si>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</si>
  <si>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</si>
  <si>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</si>
  <si>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</si>
  <si>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</si>
  <si>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</si>
  <si>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</si>
  <si>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</si>
  <si>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</si>
  <si>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</si>
  <si>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</si>
  <si>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</si>
  <si>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</si>
  <si>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</si>
  <si>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</si>
  <si>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</si>
  <si>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</si>
  <si>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</si>
  <si>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</si>
  <si>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</si>
  <si>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</si>
  <si>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</si>
  <si>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</si>
  <si>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</si>
  <si>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</si>
  <si>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</si>
  <si>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</si>
  <si>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</si>
  <si>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</si>
  <si>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</si>
  <si>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</si>
  <si>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</si>
  <si>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</si>
  <si>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</si>
  <si>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</si>
  <si>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</si>
  <si>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</si>
  <si>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</si>
  <si>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</si>
  <si>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</si>
  <si>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</si>
  <si>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</si>
  <si>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</si>
  <si>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</si>
  <si>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</si>
  <si>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</si>
  <si>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</si>
  <si>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</si>
  <si>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</si>
  <si>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</si>
  <si>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</si>
  <si>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</si>
  <si>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</si>
  <si>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</si>
  <si>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</si>
  <si>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</si>
  <si>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</si>
  <si>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</si>
  <si>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</si>
  <si>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</si>
  <si>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</si>
  <si>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</si>
  <si>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</si>
  <si>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</si>
  <si>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</si>
  <si>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</si>
  <si>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</si>
  <si>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</si>
  <si>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</si>
  <si>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</si>
  <si>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</si>
  <si>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</si>
  <si>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</si>
  <si>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</si>
  <si>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</si>
  <si>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</si>
  <si>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</si>
  <si>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</si>
  <si>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</si>
  <si>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</si>
  <si>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</si>
  <si>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</si>
  <si>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</si>
  <si>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</si>
  <si>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</si>
  <si>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</si>
  <si>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</si>
  <si>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</si>
  <si>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</si>
  <si>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</si>
  <si>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</si>
  <si>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</si>
  <si>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</si>
  <si>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</si>
  <si>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</si>
  <si>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</si>
  <si>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</si>
  <si>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</si>
  <si>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</si>
  <si>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</si>
  <si>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</si>
  <si>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</si>
  <si>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</si>
  <si>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</si>
  <si>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</si>
  <si>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</si>
  <si>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</si>
  <si>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</si>
  <si>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</si>
  <si>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</si>
  <si>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</si>
  <si>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</si>
  <si>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</si>
  <si>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</si>
  <si>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</si>
  <si>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</si>
  <si>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</si>
  <si>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</si>
  <si>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</si>
  <si>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</si>
  <si>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</si>
  <si>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</si>
  <si>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</si>
  <si>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</si>
  <si>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</si>
  <si>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</si>
  <si>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</si>
  <si>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</si>
  <si>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</si>
  <si>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</si>
  <si>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</si>
  <si>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</si>
  <si>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</si>
  <si>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</si>
  <si>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</si>
  <si>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</si>
  <si>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</si>
  <si>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</si>
  <si>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</si>
  <si>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洋房</t>
  </si>
  <si>
    <t>叠拼</t>
  </si>
  <si>
    <t>（住宅）</t>
  </si>
  <si>
    <t>（住宅、计出让金）</t>
  </si>
  <si>
    <r>
      <rPr>
        <sz val="10"/>
        <color indexed="8"/>
        <rFont val="仿宋_GB2312"/>
        <family val="3"/>
        <charset val="134"/>
      </rPr>
      <t>总值</t>
    </r>
  </si>
  <si>
    <r>
      <rPr>
        <sz val="10"/>
        <color indexed="8"/>
        <rFont val="仿宋_GB2312"/>
        <family val="3"/>
        <charset val="134"/>
      </rPr>
      <t>扣减值</t>
    </r>
  </si>
  <si>
    <t>A区</t>
  </si>
  <si>
    <t>B 区</t>
  </si>
  <si>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</si>
  <si>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</si>
  <si>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</si>
  <si>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</si>
  <si>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</si>
  <si>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</si>
  <si>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</si>
  <si>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</si>
  <si>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</si>
  <si>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</si>
  <si>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</si>
  <si>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</si>
  <si>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</si>
  <si>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</si>
  <si>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</si>
  <si>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</si>
  <si>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</si>
  <si>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</si>
  <si>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</si>
  <si>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</si>
  <si>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</si>
  <si>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B区</t>
  </si>
  <si>
    <t>建设用地面积</t>
  </si>
  <si>
    <t>总建筑面积</t>
  </si>
  <si>
    <t>低层住宅</t>
  </si>
  <si>
    <t>多层住宅</t>
  </si>
  <si>
    <t>配套公建</t>
  </si>
  <si>
    <t>非人防地下</t>
  </si>
  <si>
    <t>车位</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</si>
  <si>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</si>
  <si>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</si>
  <si>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</si>
  <si>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</si>
  <si>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</si>
  <si>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</si>
  <si>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</si>
  <si>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</si>
  <si>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</si>
  <si>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</si>
  <si>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</si>
  <si>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</si>
  <si>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</si>
  <si>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</si>
  <si>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</si>
  <si>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</si>
  <si>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</si>
  <si>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</si>
  <si>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</si>
  <si>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</si>
  <si>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</si>
  <si>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</si>
  <si>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</si>
  <si>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</si>
  <si>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</si>
  <si>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</si>
  <si>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</si>
  <si>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</si>
  <si>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</si>
  <si>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</si>
  <si>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</si>
  <si>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</si>
  <si>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</si>
  <si>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</si>
  <si>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</si>
  <si>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</si>
  <si>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</si>
  <si>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</si>
  <si>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</si>
  <si>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</si>
  <si>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</si>
  <si>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</si>
  <si>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</si>
  <si>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</si>
  <si>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</si>
  <si>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</si>
  <si>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</si>
  <si>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</si>
  <si>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</si>
  <si>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</si>
  <si>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</si>
  <si>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</si>
  <si>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</si>
  <si>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</si>
  <si>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</si>
  <si>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</si>
  <si>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</si>
  <si>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</si>
  <si>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</si>
  <si>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</si>
  <si>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</si>
  <si>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</si>
  <si>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</si>
  <si>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</si>
  <si>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</si>
  <si>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</si>
  <si>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</si>
  <si>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</si>
  <si>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</si>
  <si>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</si>
  <si>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</si>
  <si>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</si>
  <si>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</si>
  <si>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</si>
  <si>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</si>
  <si>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</si>
  <si>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</si>
  <si>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</si>
  <si>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</si>
  <si>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</si>
  <si>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</si>
  <si>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</si>
  <si>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</si>
  <si>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</si>
  <si>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</si>
  <si>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</si>
  <si>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</si>
  <si>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</si>
  <si>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</si>
  <si>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</si>
  <si>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</si>
  <si>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</si>
  <si>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</si>
  <si>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</si>
  <si>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</si>
  <si>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</si>
  <si>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</si>
  <si>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</si>
  <si>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</si>
  <si>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</si>
  <si>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</si>
  <si>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</si>
  <si>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</si>
  <si>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</si>
  <si>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</si>
  <si>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</si>
  <si>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</si>
  <si>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</si>
  <si>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</si>
  <si>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</si>
  <si>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</si>
  <si>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</si>
  <si>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</si>
  <si>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</si>
  <si>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</si>
  <si>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</si>
  <si>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</si>
  <si>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</si>
  <si>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</si>
  <si>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</si>
  <si>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</si>
  <si>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</si>
  <si>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</si>
  <si>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</si>
  <si>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</si>
  <si>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</si>
  <si>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</si>
  <si>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</si>
  <si>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</si>
  <si>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</si>
  <si>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</si>
  <si>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</si>
  <si>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</si>
  <si>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</si>
  <si>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</si>
  <si>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</si>
  <si>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</si>
  <si>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</si>
  <si>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</si>
  <si>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</si>
  <si>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</si>
  <si>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</si>
  <si>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</si>
  <si>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</si>
  <si>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</si>
  <si>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</si>
  <si>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</si>
  <si>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</si>
  <si>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</si>
  <si>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</si>
  <si>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</si>
  <si>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</si>
  <si>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</si>
  <si>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</si>
  <si>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</si>
  <si>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</si>
  <si>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</si>
  <si>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</si>
  <si>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</si>
  <si>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</si>
  <si>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</si>
  <si>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</si>
  <si>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</si>
  <si>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</si>
  <si>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</si>
  <si>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</si>
  <si>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</si>
  <si>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</si>
  <si>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</si>
  <si>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</si>
  <si>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</si>
  <si>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</si>
  <si>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</si>
  <si>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</si>
  <si>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</si>
  <si>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</si>
  <si>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</si>
  <si>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</si>
  <si>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</si>
  <si>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</si>
  <si>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</si>
  <si>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</si>
  <si>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</si>
  <si>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</si>
  <si>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</si>
  <si>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</si>
  <si>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</si>
  <si>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</si>
  <si>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</si>
  <si>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</si>
  <si>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</si>
  <si>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</si>
  <si>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</si>
  <si>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</si>
  <si>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</si>
  <si>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</si>
  <si>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</si>
  <si>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</si>
  <si>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</si>
  <si>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</si>
  <si>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</si>
  <si>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</si>
  <si>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</si>
  <si>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</si>
  <si>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</si>
  <si>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</si>
  <si>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</si>
  <si>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</si>
  <si>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</si>
  <si>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</si>
  <si>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</si>
  <si>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</si>
  <si>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</si>
  <si>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</si>
  <si>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</si>
  <si>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</si>
  <si>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</si>
  <si>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</si>
  <si>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</si>
  <si>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</si>
  <si>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</si>
  <si>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</si>
  <si>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</si>
  <si>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</si>
  <si>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</si>
  <si>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</si>
  <si>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</si>
  <si>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</si>
  <si>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</si>
  <si>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</si>
  <si>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</si>
  <si>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</si>
  <si>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</si>
  <si>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</si>
  <si>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</si>
  <si>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</si>
  <si>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</si>
  <si>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</si>
  <si>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</si>
  <si>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</si>
  <si>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</si>
  <si>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</si>
  <si>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</si>
  <si>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</si>
  <si>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</si>
  <si>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</si>
  <si>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</si>
  <si>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</si>
  <si>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</si>
  <si>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</si>
  <si>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</si>
  <si>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</si>
  <si>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</si>
  <si>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</si>
  <si>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</si>
  <si>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</si>
  <si>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</si>
  <si>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</si>
  <si>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</si>
  <si>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</si>
  <si>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</si>
  <si>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</si>
  <si>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</si>
  <si>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</si>
  <si>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</si>
  <si>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</si>
  <si>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</si>
  <si>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</si>
  <si>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</si>
  <si>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</si>
  <si>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</si>
  <si>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</si>
  <si>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</si>
  <si>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</si>
  <si>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</si>
  <si>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</si>
  <si>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</si>
  <si>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</si>
  <si>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</si>
  <si>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</si>
  <si>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</si>
  <si>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</si>
  <si>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</si>
  <si>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</si>
  <si>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</si>
  <si>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</si>
  <si>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</si>
  <si>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</si>
  <si>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</si>
  <si>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</si>
  <si>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</si>
  <si>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</si>
  <si>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</si>
  <si>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</si>
  <si>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</si>
  <si>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</si>
  <si>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</si>
  <si>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</si>
  <si>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</si>
  <si>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</si>
  <si>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</si>
  <si>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</si>
  <si>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</si>
  <si>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</si>
  <si>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</si>
  <si>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</si>
  <si>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</si>
  <si>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</si>
  <si>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</si>
  <si>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</si>
  <si>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</si>
  <si>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</si>
  <si>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</si>
  <si>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</si>
  <si>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</si>
  <si>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</si>
  <si>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</si>
  <si>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</si>
  <si>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</si>
  <si>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</si>
  <si>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</si>
  <si>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</si>
  <si>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</si>
  <si>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</si>
  <si>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</si>
  <si>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</si>
  <si>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</si>
  <si>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</si>
  <si>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</si>
  <si>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</si>
  <si>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</si>
  <si>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</si>
  <si>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</si>
  <si>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</si>
  <si>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</si>
  <si>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</si>
  <si>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</si>
  <si>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</si>
  <si>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</si>
  <si>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</si>
  <si>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</si>
  <si>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</si>
  <si>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</si>
  <si>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</si>
  <si>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</si>
  <si>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</si>
  <si>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</si>
  <si>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</si>
  <si>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</si>
  <si>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</si>
  <si>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</si>
  <si>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</si>
  <si>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</si>
  <si>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</si>
  <si>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</si>
  <si>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</si>
  <si>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</si>
  <si>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</si>
  <si>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</si>
  <si>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</si>
  <si>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</si>
  <si>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</si>
  <si>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</si>
  <si>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</si>
  <si>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</si>
  <si>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</si>
  <si>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</si>
  <si>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</si>
  <si>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</si>
  <si>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</si>
  <si>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</si>
  <si>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</si>
  <si>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</si>
  <si>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</si>
  <si>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</si>
  <si>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</si>
  <si>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</si>
  <si>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</si>
  <si>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</si>
  <si>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</si>
  <si>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</si>
  <si>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</si>
  <si>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</si>
  <si>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</si>
  <si>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</si>
  <si>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</si>
  <si>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</si>
  <si>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</si>
  <si>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</si>
  <si>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</si>
  <si>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</si>
  <si>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</si>
  <si>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</si>
  <si>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</si>
  <si>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</si>
  <si>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</si>
  <si>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</si>
  <si>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</si>
  <si>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</si>
  <si>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</si>
  <si>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</si>
  <si>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</si>
  <si>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</si>
  <si>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</si>
  <si>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</si>
  <si>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</si>
  <si>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</si>
  <si>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</si>
  <si>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</si>
  <si>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</si>
  <si>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</si>
  <si>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</si>
  <si>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</si>
  <si>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</si>
  <si>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</si>
  <si>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</si>
  <si>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</si>
  <si>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</si>
  <si>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</si>
  <si>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</si>
  <si>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</si>
  <si>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</si>
  <si>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</si>
  <si>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</si>
  <si>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</si>
  <si>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</si>
  <si>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</si>
  <si>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</si>
  <si>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</si>
  <si>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</si>
  <si>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</si>
  <si>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</si>
  <si>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</si>
  <si>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</si>
  <si>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</si>
  <si>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</si>
  <si>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</si>
  <si>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</si>
  <si>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</si>
  <si>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</si>
  <si>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</si>
  <si>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</si>
  <si>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</si>
  <si>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</si>
  <si>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</si>
  <si>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</si>
  <si>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</si>
  <si>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</si>
  <si>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</si>
  <si>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</si>
  <si>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</si>
  <si>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</si>
  <si>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</si>
  <si>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</si>
  <si>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</si>
  <si>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</si>
  <si>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</si>
  <si>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</si>
  <si>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</si>
  <si>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</si>
  <si>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</si>
  <si>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</si>
  <si>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</si>
  <si>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</si>
  <si>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</si>
  <si>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</si>
  <si>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</si>
  <si>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</si>
  <si>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</si>
  <si>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</si>
  <si>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</si>
  <si>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</si>
  <si>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</si>
  <si>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</si>
  <si>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</si>
  <si>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</si>
  <si>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</si>
  <si>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</si>
  <si>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</si>
  <si>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</si>
  <si>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</si>
  <si>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</si>
  <si>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</si>
  <si>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</si>
  <si>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</si>
  <si>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</si>
  <si>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</si>
  <si>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</si>
  <si>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</si>
  <si>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</si>
  <si>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</si>
  <si>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</si>
  <si>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</si>
  <si>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</si>
  <si>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</si>
  <si>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</si>
  <si>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</si>
  <si>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</si>
  <si>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</si>
  <si>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泰山北路以东、规划静海路以南</t>
  </si>
  <si>
    <t>苏州市</t>
  </si>
  <si>
    <t>住宅用地</t>
  </si>
  <si>
    <t>≥1.7且≤1.9</t>
  </si>
  <si>
    <t>挂牌</t>
  </si>
  <si>
    <t>2020-02-25</t>
  </si>
  <si>
    <t>苏州绿地太湖置业有限公司</t>
  </si>
  <si>
    <t>4星</t>
  </si>
  <si>
    <t>高新区福茂路西侧、黄浦江路北侧</t>
  </si>
  <si>
    <t>≥1.8且≤2.0</t>
  </si>
  <si>
    <t>2019-12-31</t>
  </si>
  <si>
    <t>苏州铧福创盛置业有限公司</t>
  </si>
  <si>
    <t>3星</t>
  </si>
  <si>
    <t>高新区福盛路西侧、黄浦江路北侧</t>
  </si>
  <si>
    <t>综合用地(含住宅)</t>
  </si>
  <si>
    <t>≥2.3且≤2.5</t>
  </si>
  <si>
    <t>高新区福达路西侧、羿家路北侧</t>
  </si>
  <si>
    <t>≥2.6且≤2.8</t>
  </si>
  <si>
    <t>常熟昆承发展投资有限公司</t>
  </si>
  <si>
    <t>辛庄镇繁华路西侧、长盛路北侧</t>
  </si>
  <si>
    <t>≥1.6且≤1.8</t>
  </si>
  <si>
    <t>2019-11-26</t>
  </si>
  <si>
    <t>沈阳奥园新城置业有限公司</t>
  </si>
  <si>
    <t>辛庄镇繁华路东侧、新阳大道南侧</t>
  </si>
  <si>
    <t>≥1.01且≤1.2</t>
  </si>
  <si>
    <t>江苏炜赋集团天鹏置业有限公司</t>
  </si>
  <si>
    <t>支塘镇迎阳大道南侧、中兴路东侧</t>
  </si>
  <si>
    <t>≥1.2且≤1.4</t>
  </si>
  <si>
    <t>2019-11-21</t>
  </si>
  <si>
    <t>常熟市支塘农村经济发展有限公司</t>
  </si>
  <si>
    <t>2星</t>
  </si>
  <si>
    <t>尚湖镇永安路北侧、中兴南路东侧</t>
  </si>
  <si>
    <t>≥1.8并且≤2.0</t>
  </si>
  <si>
    <t>2019-11-19</t>
  </si>
  <si>
    <t>南京金郡房地产开发有限公司</t>
  </si>
  <si>
    <t>古里镇增福路北侧、石坝路东侧</t>
  </si>
  <si>
    <t>≥2.1且≤2.3</t>
  </si>
  <si>
    <t>2019-11-14</t>
  </si>
  <si>
    <t>苏州市斜港置业有限公司</t>
  </si>
  <si>
    <t>沙家浜镇锡太公路南侧、凌云北路东侧</t>
  </si>
  <si>
    <t>a区≥1.01且≤1.05,b区≥1.01且≤1.1</t>
  </si>
  <si>
    <t>2019-11-13</t>
  </si>
  <si>
    <t>常熟沙家浜华侨城文旅实业有限公司</t>
  </si>
  <si>
    <t>沙家浜镇凌云北路东侧、中环路北侧</t>
  </si>
  <si>
    <t>≥1.01且≤1.04</t>
  </si>
  <si>
    <t>规划新世纪大道西侧、规划常昭路北侧</t>
  </si>
  <si>
    <t>≥2.2且≤2.4</t>
  </si>
  <si>
    <t>2019-11-12</t>
  </si>
  <si>
    <t>常熟市保障房开发建设有限公司</t>
  </si>
  <si>
    <t>招商西路北侧、元和路东侧</t>
  </si>
  <si>
    <t>≥1.01且≤1.1</t>
  </si>
  <si>
    <t>琴湖片区沙家浜路北侧、新世纪大道西侧</t>
  </si>
  <si>
    <t>招商局地产(苏州)有限公司</t>
  </si>
  <si>
    <t>甸桥片区元和路东侧、元丰园南侧</t>
  </si>
  <si>
    <t>2019-10-29</t>
  </si>
  <si>
    <t>苏州朗宏置业有限公司</t>
  </si>
  <si>
    <t>南部新城沈青路西侧、规划庙港路北侧</t>
  </si>
  <si>
    <t>≥2且≤2.2</t>
  </si>
  <si>
    <t>2019-09-03</t>
  </si>
  <si>
    <t>常熟筑虞房地产开发有限公司</t>
  </si>
  <si>
    <t>龙腾片区通港路南侧、台山路西侧</t>
  </si>
  <si>
    <t>≥1.9且≤2.1</t>
  </si>
  <si>
    <t>2019-08-15</t>
  </si>
  <si>
    <t>中天美好集团有限公司</t>
  </si>
  <si>
    <t>常福街道阳光大道北侧、张家港西侧</t>
  </si>
  <si>
    <t>2019-08-01</t>
  </si>
  <si>
    <t>常熟市虞山镇城乡一体化建设有限公司</t>
  </si>
  <si>
    <t>莫城街道元和塘东侧、招商西路北侧</t>
  </si>
  <si>
    <t>苏州兆坤房地产开发有限公司</t>
  </si>
  <si>
    <t>枫林路北侧、报慈南路东侧</t>
  </si>
  <si>
    <t>2019-07-25</t>
  </si>
  <si>
    <t>苏州信达置业有限公司</t>
  </si>
  <si>
    <t>城铁片区规划黄浦路南侧、规划泰山路西侧</t>
  </si>
  <si>
    <t>2019-06-13</t>
  </si>
  <si>
    <t>苏州工业园区建屋发展集团有限公司</t>
  </si>
  <si>
    <t>琴湖片区沙家浜路北侧、规划胜湖路东侧</t>
  </si>
  <si>
    <t>≥1.1并且≤1.3</t>
  </si>
  <si>
    <t>2019-04-30</t>
  </si>
  <si>
    <t>常熟招商琴湖投资发展有限公司</t>
  </si>
  <si>
    <t>常福街道深圳路南侧、新华路东侧</t>
  </si>
  <si>
    <t>2019-04-24</t>
  </si>
  <si>
    <t>苏州弘阳房地产开发有限公司</t>
  </si>
  <si>
    <t>文化片区宝山路东侧、青墩塘北侧(文化片区11-1号)</t>
  </si>
  <si>
    <t>≥1.8并且≤2</t>
  </si>
  <si>
    <t>2019-04-09</t>
  </si>
  <si>
    <t>苏州新城创佳置业有限公司</t>
  </si>
  <si>
    <t>滨江新市区中心区金港路东侧、金茂路北侧、四海路南侧</t>
  </si>
  <si>
    <t>≥2.2并且≤2.5</t>
  </si>
  <si>
    <t>2019-04-03</t>
  </si>
  <si>
    <t>昆山创和置业有限公司</t>
  </si>
  <si>
    <t>高新区东南大道以南、常昆公路以东</t>
  </si>
  <si>
    <t>≥2并且≤2.2</t>
  </si>
  <si>
    <t>华润置地(常州)有限公司</t>
  </si>
  <si>
    <t>高新区东南大道以南、银环路以西</t>
  </si>
  <si>
    <t>梅李镇支梅公路东侧、人民路北侧</t>
  </si>
  <si>
    <t>≥1.7并且≤1.9</t>
  </si>
  <si>
    <t>2019-01-10</t>
  </si>
  <si>
    <t>常熟市旋力房地产综合开发有限公司</t>
  </si>
  <si>
    <t>古里镇增福路南侧、芙蓉路西侧</t>
  </si>
  <si>
    <t>≥1.2并且≤1.4</t>
  </si>
  <si>
    <t>常熟市古里农新置业有限公司</t>
  </si>
  <si>
    <t>高新区隐湖路以南、福泰路以西</t>
  </si>
  <si>
    <t>≥2.4并且≤2.6</t>
  </si>
  <si>
    <t>2019-01-08</t>
  </si>
  <si>
    <t>徐州市美的新城房地产发展有限公司</t>
  </si>
  <si>
    <t>珠海路以西、宁波路以北</t>
  </si>
  <si>
    <t>≥1.9并且≤2.1</t>
  </si>
  <si>
    <t>2018-12-29</t>
  </si>
  <si>
    <t>苏州瑞展置业开发有限公司</t>
  </si>
  <si>
    <t>香山南路东侧、白茆塘南侧</t>
  </si>
  <si>
    <t>2018-08-07</t>
  </si>
  <si>
    <t>青墩塘北侧、金山路东侧</t>
  </si>
  <si>
    <t>2018-08-03</t>
  </si>
  <si>
    <t>金融街重庆融玺置业有限公司</t>
  </si>
  <si>
    <t>张家港西侧、教场湾北侧</t>
  </si>
  <si>
    <t>2018-07-31</t>
  </si>
  <si>
    <t>规划泰山路东侧、规划黄浦路南侧</t>
  </si>
  <si>
    <t>台山路东侧、长江路北侧</t>
  </si>
  <si>
    <t>规划泰山路西侧、规划静海路南侧</t>
  </si>
  <si>
    <t>≥1.8且≤2</t>
  </si>
  <si>
    <t>2018-07-27</t>
  </si>
  <si>
    <t>正荣集团苏南(苏州)投资有限公司</t>
  </si>
  <si>
    <t>古里镇元通路以南、金湖路以西</t>
  </si>
  <si>
    <t>≥1.80且≤2</t>
  </si>
  <si>
    <t>2018-07-17</t>
  </si>
  <si>
    <t>常州宝龙置业发展有限公司</t>
  </si>
  <si>
    <t>沙家浜镇春南路以北、规划阳澄北路以东</t>
  </si>
  <si>
    <t>≥1.90且≤2.10</t>
  </si>
  <si>
    <t>深圳华侨城房地产有限公司</t>
  </si>
  <si>
    <t>海虞镇迎宾路北侧、耿泾塘西侧</t>
  </si>
  <si>
    <t>≥1.01且≤1.20</t>
  </si>
  <si>
    <t>常熟港华置业有限公司</t>
  </si>
  <si>
    <t>常福街道金陵路南侧、锦州路东侧</t>
  </si>
  <si>
    <t>2018-07-10</t>
  </si>
  <si>
    <t>郑州绿都地产集团股份有限公司</t>
  </si>
  <si>
    <t>辛庄镇辛庄大道以东、新阳大道以南</t>
  </si>
  <si>
    <t>苏州世茂置业有限公司</t>
  </si>
  <si>
    <t>深圳路南侧、南沙路西侧</t>
  </si>
  <si>
    <t>辛庄镇繁荣路以东、张港泾河以南</t>
  </si>
  <si>
    <t>尚湖镇练塘片区练塘路以北、苍泾河以西</t>
  </si>
  <si>
    <t>≥1.5且≤1.7</t>
  </si>
  <si>
    <t>2018-07-03</t>
  </si>
  <si>
    <t>尚湖镇陈塘河以南、永平路以北</t>
  </si>
  <si>
    <t>滨江新市区扬子江大道以北、江海路以东</t>
  </si>
  <si>
    <t>≥1.9且≤2.2</t>
  </si>
  <si>
    <t>金科集团苏州房地产开发有限公司</t>
  </si>
  <si>
    <t>滨江新市区虹桥路以南、江海路以东</t>
  </si>
  <si>
    <t>古里镇增福路以北、花园河以西</t>
  </si>
  <si>
    <t>常熟市古里镇城乡一体化建设有限公司</t>
  </si>
  <si>
    <t>翡翠路以北地块二</t>
  </si>
  <si>
    <t>≥1.1且≤1.2</t>
  </si>
  <si>
    <t>2018-04-24</t>
  </si>
  <si>
    <t>华润置业有限公司</t>
  </si>
  <si>
    <t>翡翠路以北地块三</t>
  </si>
  <si>
    <t>通林路以东、嫩江路以北</t>
  </si>
  <si>
    <t>≥1.1且≤1.3</t>
  </si>
  <si>
    <t>2018-04-17</t>
  </si>
  <si>
    <t>上海象屿置业有限公司</t>
  </si>
  <si>
    <t>南部新城东环河以北、规划庙港路以南</t>
  </si>
  <si>
    <t>绿城房地产集团有限公司</t>
  </si>
  <si>
    <t>南部新城东环河以北、常昆路以西</t>
  </si>
  <si>
    <t>2018-04-10</t>
  </si>
  <si>
    <t>苏州金安悦房地产开发有限公司</t>
  </si>
  <si>
    <t>海虞镇王市路以西、迎宾路以南</t>
  </si>
  <si>
    <t>≥1.4且≤1.6</t>
  </si>
  <si>
    <t>2017-11-17</t>
  </si>
  <si>
    <t>无锡市碧桂园房地产开发有限公司</t>
  </si>
  <si>
    <t>沙家浜镇沙南路以南、东升路以西</t>
  </si>
  <si>
    <t>江苏中鼎房地产开发有限责任公司</t>
  </si>
  <si>
    <t>古里镇文学街以南、金湖路以东</t>
  </si>
  <si>
    <t>古里镇文学街以北、金湖路以西</t>
  </si>
  <si>
    <t>支塘镇晋阳东街北侧、朝阳路东侧</t>
  </si>
  <si>
    <t>翡翠路以南、鸣翠路以东(地块五)</t>
  </si>
  <si>
    <t>≥1.3且≤1.5</t>
  </si>
  <si>
    <t>2017-11-14</t>
  </si>
  <si>
    <t>中新苏州工业园区置地有限公司</t>
  </si>
  <si>
    <t>翡翠路以北(地块一)</t>
  </si>
  <si>
    <t>翡翠路以南、鸣翠路以东(地块四)</t>
  </si>
  <si>
    <t>苏州象屿房地产开发有限公司</t>
  </si>
  <si>
    <t>翡翠路以南、规划建华路以西(地块六)</t>
  </si>
  <si>
    <t>无锡碧桂园房地产开发有限公司</t>
  </si>
  <si>
    <t>虞山镇富春江西路以南、香椿路以东</t>
  </si>
  <si>
    <t>南京金硕房地产开发有限公司</t>
  </si>
  <si>
    <t>南部新城规划新沈路以西、规划庙港路以南</t>
  </si>
  <si>
    <t>2017-11-03</t>
  </si>
  <si>
    <t>南部新城规划新沈路以西、规划庙港路以北</t>
  </si>
  <si>
    <t>虞山镇台山路西侧、长江路北侧</t>
  </si>
  <si>
    <t>2017-10-10</t>
  </si>
  <si>
    <t>虞山镇海虞北路东侧、规划琴川大道北侧</t>
  </si>
  <si>
    <t>2017-09-01</t>
  </si>
  <si>
    <t>虞山镇阳光大道以南、五星路以东</t>
  </si>
  <si>
    <t>滨江新市区江南大道以西、青春路以北</t>
  </si>
  <si>
    <t>2017-08-23</t>
  </si>
  <si>
    <t>碧桂园</t>
  </si>
  <si>
    <t>虞山镇北三环以南、报慈北路以西</t>
  </si>
  <si>
    <t>2017-08-22</t>
  </si>
  <si>
    <t>常州雅居乐房地产开发有限公司</t>
  </si>
  <si>
    <t>尚湖镇中兴路以西、永平路以北</t>
  </si>
  <si>
    <t>保利地产</t>
  </si>
  <si>
    <t>虞山镇东三环以西、昭文路以北</t>
  </si>
  <si>
    <t>支塘镇张青莲路以西、古湫路以北</t>
  </si>
  <si>
    <t>2017-08-16</t>
  </si>
  <si>
    <t>苏州中锐尚城置业有限公司</t>
  </si>
  <si>
    <t>沙家浜镇沙南路北侧、阳澄北路东侧</t>
  </si>
  <si>
    <t>2017-08-15</t>
  </si>
  <si>
    <t>支塘镇芝溪路以西、支川路以北</t>
  </si>
  <si>
    <t>常熟金泰房地产有限公司</t>
  </si>
  <si>
    <t>海虞镇友周路以西、陶舍泾路以北</t>
  </si>
  <si>
    <t>常熟市碧桂园置业有限公司</t>
  </si>
  <si>
    <t>海虞镇人民路以西、府前路以北</t>
  </si>
  <si>
    <t>董浜镇华文路以南、星安路以西</t>
  </si>
  <si>
    <t>2017-08-10</t>
  </si>
  <si>
    <t>合景泰富</t>
  </si>
  <si>
    <t>1星</t>
  </si>
  <si>
    <t>沙家浜镇唐市南路以东、苏浜路以南</t>
  </si>
  <si>
    <t>2017-05-11</t>
  </si>
  <si>
    <t>常熟市沙家浜镇城乡一体化建设有限公司</t>
  </si>
  <si>
    <t>沙家浜镇金唐市路以南、凌云北路以西</t>
  </si>
  <si>
    <t>常熟市沙家浜镇城一体化建设有限公司</t>
  </si>
  <si>
    <t>沙家浜镇西塘河以东、金牛路以西</t>
  </si>
  <si>
    <t>虞山镇白龙江以南、规划柳州路以西</t>
  </si>
  <si>
    <t>2017-05-03</t>
  </si>
  <si>
    <t>闽信(苏州)置业发展有限公司</t>
  </si>
  <si>
    <t>虞山镇开元大道以北、香山路以东</t>
  </si>
  <si>
    <t>南通中南新世界中心开发有限公司</t>
  </si>
  <si>
    <t>虞山镇红梅路以南、香山路以东</t>
  </si>
  <si>
    <t>辛庄镇新阳大道北侧、常隆路西侧</t>
  </si>
  <si>
    <t>2017-04-26</t>
  </si>
  <si>
    <t>金科集团苏州百俊房地产开发有限公司</t>
  </si>
  <si>
    <t>辛庄镇新阳大道以南、元和塘以东</t>
  </si>
  <si>
    <t>金科集团苏州科润房地产开发有限公司</t>
  </si>
  <si>
    <t>滨江新市区龙腾南路以西、碧浒路以北</t>
  </si>
  <si>
    <t>≥2.4且≤2.7</t>
  </si>
  <si>
    <t>苏州冠城宏翔房地产有限公司</t>
  </si>
  <si>
    <t>梅李镇学府路以南、天字南路以西</t>
  </si>
  <si>
    <t>碧溪新区碧浒路以北、东银塘以东</t>
  </si>
  <si>
    <t>2.0-2.3</t>
  </si>
  <si>
    <t>2016-12-27</t>
  </si>
  <si>
    <t>常熟市滨江城镇化建设有限公司</t>
  </si>
  <si>
    <t>支塘镇支川路以南、福汇路以东</t>
  </si>
  <si>
    <t>1.8-2.0</t>
  </si>
  <si>
    <t>常熟市支塘镇乡一体化建设有限公司</t>
  </si>
  <si>
    <t>海虞镇204国道以西、通港路以北</t>
  </si>
  <si>
    <t>1.9-2.1</t>
  </si>
  <si>
    <t>常熟市海虞城乡一体化建设有限公司</t>
  </si>
  <si>
    <t>2.1-2.4</t>
  </si>
  <si>
    <t>古里镇铁琴北街东侧、虞东公路以南</t>
  </si>
  <si>
    <t>2.1-2.3</t>
  </si>
  <si>
    <t>常熟市虞东综合发展有限公司</t>
  </si>
  <si>
    <t>碧溪新区虹桥路以南、幸福路以西</t>
  </si>
  <si>
    <t>1.3-1.6</t>
  </si>
  <si>
    <t>1.8-2.1</t>
  </si>
  <si>
    <t>海虞镇府前路南侧、人民路西侧</t>
  </si>
  <si>
    <t>2016-11-01</t>
  </si>
  <si>
    <t>常熟海盛开发建设有限公司</t>
  </si>
  <si>
    <t>虞山镇嘉兴路以南、南海路以东</t>
  </si>
  <si>
    <t>虞山镇金山路以东、富泰路以南</t>
  </si>
  <si>
    <t>1.2-1.4</t>
  </si>
  <si>
    <t>2016-10-18</t>
  </si>
  <si>
    <t>虞山镇规划黄浦路以北、规划泰山路以东</t>
  </si>
  <si>
    <t>2.4-2.6</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</si>
  <si>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</si>
  <si>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</si>
  <si>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</si>
  <si>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</si>
  <si>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</si>
  <si>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t>别墅</t>
  </si>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</sst>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_쐀"/>
    <numFmt numFmtId="181" formatCode="0.00_);[Red]\(0.00\)"/>
    <numFmt numFmtId="182" formatCode="0.000_);[Red]\(0.000\)"/>
    <numFmt numFmtId="183" formatCode="0_);[Red]\(0\)"/>
    <numFmt numFmtId="184" formatCode="0_ "/>
    <numFmt numFmtId="185" formatCode="0_ ;[Red]\-0\ "/>
    <numFmt numFmtId="186" formatCode="yyyy&quot;年&quot;m&quot;月&quot;;@"/>
    <numFmt numFmtId="187" formatCode="yyyy&quot;年&quot;m&quot;月&quot;d&quot;日&quot;;@"/>
    <numFmt numFmtId="188" formatCode="0.0_);[Red]\(0.0\)"/>
    <numFmt numFmtId="189" formatCode="[$-F800]dddd\,\ mmmm\ dd\,\ yyyy"/>
    <numFmt numFmtId="190" formatCode="yyyy/m/d;@"/>
    <numFmt numFmtId="191" formatCode="0.000%"/>
    <numFmt numFmtId="192" formatCode="0.00_ "/>
    <numFmt numFmtId="193" formatCode="0.000_ "/>
    <numFmt numFmtId="194" formatCode="0.0%"/>
    <numFmt numFmtId="195" formatCode="[DBNum1][$-804]General"/>
    <numFmt numFmtId="196" formatCode="0.0_ "/>
    <numFmt numFmtId="197" formatCode="0.0000_ "/>
  </numFmts>
  <fonts count="22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sz val="9"/>
      <name val="宋体"/>
      <family val="3"/>
      <charset val="134"/>
    </font>
    <font>
      <b/>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63" fillId="0" borderId="0" applyFont="0" applyFill="0" applyBorder="0" applyAlignment="0" applyProtection="0">
      <alignment vertical="center"/>
    </xf>
    <xf numFmtId="0" fontId="224" fillId="0" borderId="0"/>
    <xf numFmtId="0" fontId="83" fillId="0" borderId="0">
      <alignment vertical="center"/>
    </xf>
    <xf numFmtId="0" fontId="83" fillId="0" borderId="0">
      <alignment vertical="center"/>
    </xf>
    <xf numFmtId="0" fontId="224" fillId="0" borderId="0"/>
    <xf numFmtId="0" fontId="224" fillId="0" borderId="0">
      <alignment vertical="center"/>
    </xf>
    <xf numFmtId="0" fontId="224" fillId="0" borderId="0">
      <alignment vertical="center"/>
    </xf>
    <xf numFmtId="0" fontId="83" fillId="0" borderId="0">
      <alignment vertical="center"/>
    </xf>
    <xf numFmtId="0" fontId="224" fillId="0" borderId="0">
      <alignment vertical="center"/>
    </xf>
    <xf numFmtId="0" fontId="224" fillId="0" borderId="0">
      <alignment vertical="center"/>
    </xf>
    <xf numFmtId="0" fontId="17" fillId="0" borderId="0"/>
    <xf numFmtId="0" fontId="224" fillId="0" borderId="0">
      <alignment vertical="center"/>
    </xf>
    <xf numFmtId="0" fontId="224" fillId="0" borderId="0"/>
    <xf numFmtId="0" fontId="63" fillId="0" borderId="0"/>
    <xf numFmtId="0" fontId="224" fillId="0" borderId="0">
      <alignment vertical="center"/>
    </xf>
    <xf numFmtId="0" fontId="224" fillId="0" borderId="0">
      <alignment vertical="center"/>
    </xf>
  </cellStyleXfs>
  <cellXfs count="346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4"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9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9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8" fontId="31" fillId="0" borderId="0" xfId="0" applyNumberFormat="1" applyFont="1" applyFill="1" applyAlignment="1" applyProtection="1">
      <alignment horizontal="center" vertical="center"/>
    </xf>
    <xf numFmtId="19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19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6" fontId="27" fillId="2" borderId="56" xfId="0" applyNumberFormat="1"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8" fontId="33" fillId="2" borderId="54" xfId="0" applyNumberFormat="1" applyFont="1" applyFill="1" applyBorder="1" applyAlignment="1" applyProtection="1">
      <alignment horizontal="center" vertical="center"/>
    </xf>
    <xf numFmtId="19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8" fontId="33" fillId="2" borderId="0" xfId="0" applyNumberFormat="1" applyFont="1" applyFill="1" applyBorder="1" applyAlignment="1" applyProtection="1">
      <alignment horizontal="center" vertical="center"/>
      <protection locked="0"/>
    </xf>
    <xf numFmtId="19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8" fontId="27" fillId="2" borderId="11" xfId="0" applyNumberFormat="1" applyFont="1" applyFill="1" applyBorder="1" applyAlignment="1" applyProtection="1">
      <alignment horizontal="center" vertical="center" wrapText="1"/>
    </xf>
    <xf numFmtId="19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9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8" fontId="31" fillId="2" borderId="11" xfId="0" applyNumberFormat="1" applyFont="1" applyFill="1" applyBorder="1" applyAlignment="1" applyProtection="1">
      <alignment horizontal="center" vertical="center"/>
    </xf>
    <xf numFmtId="194" fontId="31" fillId="2" borderId="0" xfId="0" applyNumberFormat="1" applyFont="1" applyFill="1" applyBorder="1" applyAlignment="1" applyProtection="1">
      <alignment vertical="center" wrapText="1"/>
      <protection locked="0"/>
    </xf>
    <xf numFmtId="188" fontId="31" fillId="2" borderId="11" xfId="0" applyNumberFormat="1" applyFont="1" applyFill="1" applyBorder="1" applyAlignment="1" applyProtection="1">
      <alignment horizontal="center" vertical="center" wrapText="1"/>
    </xf>
    <xf numFmtId="188"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8" fontId="31" fillId="2" borderId="0" xfId="0" applyNumberFormat="1" applyFont="1" applyFill="1" applyAlignment="1" applyProtection="1">
      <alignment horizontal="center" vertical="center"/>
      <protection locked="0"/>
    </xf>
    <xf numFmtId="194" fontId="31"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94" fontId="30" fillId="2" borderId="0" xfId="0" applyNumberFormat="1" applyFont="1" applyFill="1" applyAlignment="1" applyProtection="1">
      <alignment horizontal="center" vertical="center"/>
      <protection locked="0"/>
    </xf>
    <xf numFmtId="188" fontId="31" fillId="2" borderId="0" xfId="0" applyNumberFormat="1" applyFont="1" applyFill="1" applyBorder="1" applyAlignment="1" applyProtection="1">
      <alignment horizontal="center"/>
    </xf>
    <xf numFmtId="19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8" fontId="31" fillId="0" borderId="0" xfId="0" applyNumberFormat="1" applyFont="1" applyFill="1" applyAlignment="1" applyProtection="1">
      <alignment horizontal="center" vertical="center"/>
      <protection locked="0"/>
    </xf>
    <xf numFmtId="19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8" fontId="31" fillId="2" borderId="0" xfId="0" applyNumberFormat="1" applyFont="1" applyFill="1" applyBorder="1" applyAlignment="1" applyProtection="1">
      <alignment horizontal="center"/>
      <protection locked="0"/>
    </xf>
    <xf numFmtId="19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8" fontId="35" fillId="2" borderId="0" xfId="0" applyNumberFormat="1" applyFont="1" applyFill="1" applyBorder="1" applyAlignment="1" applyProtection="1">
      <alignment horizontal="center" vertical="center"/>
      <protection locked="0"/>
    </xf>
    <xf numFmtId="19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8" fontId="27" fillId="2" borderId="44" xfId="0" applyNumberFormat="1" applyFont="1" applyFill="1" applyBorder="1" applyAlignment="1" applyProtection="1">
      <alignment horizontal="center" vertical="center" wrapText="1"/>
    </xf>
    <xf numFmtId="188"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8" fontId="31" fillId="2" borderId="46" xfId="0" applyNumberFormat="1" applyFont="1" applyFill="1" applyBorder="1" applyAlignment="1" applyProtection="1">
      <alignment horizontal="center" vertical="center"/>
    </xf>
    <xf numFmtId="188" fontId="31" fillId="2" borderId="46" xfId="0" applyNumberFormat="1" applyFont="1" applyFill="1" applyBorder="1" applyAlignment="1" applyProtection="1">
      <alignment horizontal="center" vertical="center" wrapText="1"/>
    </xf>
    <xf numFmtId="188"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8"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6" fontId="45" fillId="2" borderId="14" xfId="0" applyNumberFormat="1" applyFont="1" applyFill="1" applyBorder="1" applyAlignment="1" applyProtection="1">
      <alignment horizontal="center" vertical="center"/>
    </xf>
    <xf numFmtId="196"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6"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4"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4"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7" fillId="3" borderId="14" xfId="12" applyFont="1" applyFill="1" applyBorder="1" applyAlignment="1" applyProtection="1">
      <alignment vertical="center"/>
      <protection locked="0"/>
    </xf>
    <xf numFmtId="0" fontId="58" fillId="2" borderId="10" xfId="12" applyFont="1" applyFill="1" applyBorder="1" applyAlignment="1" applyProtection="1">
      <alignment vertical="center"/>
    </xf>
    <xf numFmtId="184"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9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84"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9" fillId="2" borderId="10" xfId="12" applyFont="1" applyFill="1" applyBorder="1" applyAlignment="1" applyProtection="1">
      <alignment vertical="center"/>
    </xf>
    <xf numFmtId="184" fontId="59" fillId="2" borderId="1" xfId="12" applyNumberFormat="1" applyFont="1" applyFill="1" applyBorder="1" applyAlignment="1" applyProtection="1">
      <alignment horizontal="center" vertical="center"/>
    </xf>
    <xf numFmtId="184" fontId="59" fillId="2" borderId="1" xfId="12" applyNumberFormat="1" applyFont="1" applyFill="1" applyBorder="1" applyAlignment="1" applyProtection="1">
      <alignment vertical="center"/>
    </xf>
    <xf numFmtId="0" fontId="6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4" fontId="20" fillId="2" borderId="8" xfId="12" applyNumberFormat="1" applyFont="1" applyFill="1" applyBorder="1" applyAlignment="1" applyProtection="1">
      <alignment horizontal="center" vertical="center"/>
    </xf>
    <xf numFmtId="19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4"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4"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4"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4"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4"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9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4"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9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4"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4" fontId="21" fillId="0" borderId="14" xfId="0" applyNumberFormat="1" applyFont="1" applyFill="1" applyBorder="1" applyAlignment="1" applyProtection="1">
      <alignment horizontal="center" vertical="center"/>
      <protection locked="0"/>
    </xf>
    <xf numFmtId="19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9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2"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92"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4" fontId="17" fillId="2" borderId="1" xfId="0" applyNumberFormat="1" applyFont="1" applyFill="1" applyBorder="1" applyAlignment="1" applyProtection="1">
      <alignment horizontal="center"/>
    </xf>
    <xf numFmtId="0" fontId="16" fillId="2" borderId="1" xfId="0" applyFont="1" applyFill="1" applyBorder="1" applyAlignment="1" applyProtection="1"/>
    <xf numFmtId="19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5"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94"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4"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5"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3" applyFont="1">
      <alignment vertical="center"/>
    </xf>
    <xf numFmtId="0" fontId="80" fillId="0" borderId="111" xfId="3" applyFont="1" applyBorder="1">
      <alignment vertical="center"/>
    </xf>
    <xf numFmtId="0" fontId="80" fillId="10" borderId="0" xfId="3" applyFont="1" applyFill="1">
      <alignment vertical="center"/>
    </xf>
    <xf numFmtId="0" fontId="80" fillId="0" borderId="0" xfId="3" applyFont="1" applyFill="1">
      <alignment vertical="center"/>
    </xf>
    <xf numFmtId="0" fontId="80" fillId="11" borderId="0" xfId="3" applyFont="1" applyFill="1">
      <alignment vertical="center"/>
    </xf>
    <xf numFmtId="0" fontId="95" fillId="11"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10" borderId="0" xfId="8" applyFont="1" applyFill="1">
      <alignment vertical="center"/>
    </xf>
    <xf numFmtId="0" fontId="46" fillId="10" borderId="0" xfId="6" applyFont="1" applyFill="1" applyAlignment="1" applyProtection="1">
      <alignment horizontal="center" vertical="center"/>
    </xf>
    <xf numFmtId="0" fontId="97" fillId="10" borderId="0" xfId="6" applyFont="1" applyFill="1" applyAlignment="1" applyProtection="1">
      <alignment horizontal="center" vertical="center"/>
    </xf>
    <xf numFmtId="0" fontId="80" fillId="10" borderId="112" xfId="3" applyFont="1" applyFill="1" applyBorder="1" applyAlignment="1">
      <alignment horizontal="center" vertical="center"/>
    </xf>
    <xf numFmtId="0" fontId="80" fillId="10"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1" borderId="1" xfId="3" applyNumberFormat="1" applyFont="1" applyFill="1" applyBorder="1" applyAlignment="1" applyProtection="1">
      <alignment horizontal="center" vertical="center" wrapText="1"/>
    </xf>
    <xf numFmtId="183" fontId="95" fillId="11" borderId="0" xfId="3" applyNumberFormat="1" applyFont="1" applyFill="1" applyBorder="1" applyAlignment="1">
      <alignment horizontal="center" vertical="center"/>
    </xf>
    <xf numFmtId="0" fontId="98" fillId="11"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3" fontId="71"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0" fontId="98" fillId="13" borderId="115" xfId="3" applyFont="1" applyFill="1" applyBorder="1" applyAlignment="1" applyProtection="1">
      <alignment horizontal="center" vertical="center" wrapText="1"/>
    </xf>
    <xf numFmtId="183" fontId="80" fillId="13" borderId="115" xfId="8" applyNumberFormat="1" applyFont="1" applyFill="1" applyBorder="1" applyAlignment="1" applyProtection="1">
      <alignment horizontal="center" vertical="center" wrapText="1"/>
    </xf>
    <xf numFmtId="183" fontId="80" fillId="13" borderId="116" xfId="8" applyNumberFormat="1" applyFont="1" applyFill="1" applyBorder="1" applyAlignment="1" applyProtection="1">
      <alignment horizontal="center" vertical="center" wrapText="1"/>
    </xf>
    <xf numFmtId="0" fontId="98" fillId="13" borderId="114" xfId="3" applyFont="1" applyFill="1" applyBorder="1" applyAlignment="1" applyProtection="1">
      <alignment horizontal="center" vertical="center" wrapText="1"/>
    </xf>
    <xf numFmtId="183" fontId="80" fillId="13" borderId="115" xfId="8" applyNumberFormat="1" applyFont="1" applyFill="1" applyBorder="1" applyAlignment="1">
      <alignment horizontal="center" vertical="center" wrapText="1"/>
    </xf>
    <xf numFmtId="183" fontId="80" fillId="13" borderId="116" xfId="8" applyNumberFormat="1" applyFont="1" applyFill="1" applyBorder="1" applyAlignment="1">
      <alignment horizontal="center" vertical="center" wrapText="1"/>
    </xf>
    <xf numFmtId="183" fontId="80" fillId="13" borderId="115" xfId="3" applyNumberFormat="1" applyFont="1" applyFill="1" applyBorder="1" applyAlignment="1">
      <alignment horizontal="center" vertical="center" wrapText="1"/>
    </xf>
    <xf numFmtId="183" fontId="80" fillId="13" borderId="116" xfId="3" applyNumberFormat="1" applyFont="1" applyFill="1" applyBorder="1" applyAlignment="1">
      <alignment horizontal="center" vertical="center" wrapText="1"/>
    </xf>
    <xf numFmtId="0" fontId="98" fillId="13" borderId="122" xfId="3" applyFont="1" applyFill="1" applyBorder="1" applyAlignment="1" applyProtection="1">
      <alignment horizontal="center" vertical="center" wrapText="1"/>
    </xf>
    <xf numFmtId="0" fontId="98" fillId="12" borderId="115" xfId="3" applyFont="1" applyFill="1" applyBorder="1" applyAlignment="1" applyProtection="1">
      <alignment horizontal="center" vertical="center" wrapText="1"/>
    </xf>
    <xf numFmtId="183" fontId="80" fillId="13" borderId="114" xfId="3" applyNumberFormat="1" applyFont="1" applyFill="1" applyBorder="1" applyAlignment="1">
      <alignment horizontal="center" vertical="center" wrapText="1"/>
    </xf>
    <xf numFmtId="183" fontId="80" fillId="13" borderId="123" xfId="3" applyNumberFormat="1" applyFont="1" applyFill="1" applyBorder="1" applyAlignment="1">
      <alignment horizontal="center" vertical="center" wrapText="1"/>
    </xf>
    <xf numFmtId="0" fontId="71" fillId="12" borderId="115"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3"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3" borderId="122" xfId="3" applyFont="1" applyFill="1" applyBorder="1" applyAlignment="1" applyProtection="1">
      <alignment horizontal="center" vertical="center" wrapText="1"/>
    </xf>
    <xf numFmtId="183" fontId="80" fillId="13" borderId="122" xfId="3" applyNumberFormat="1" applyFont="1" applyFill="1" applyBorder="1" applyAlignment="1">
      <alignment horizontal="center" vertical="center" wrapText="1"/>
    </xf>
    <xf numFmtId="183" fontId="80" fillId="13" borderId="124" xfId="3" applyNumberFormat="1" applyFont="1" applyFill="1" applyBorder="1" applyAlignment="1">
      <alignment horizontal="center" vertical="center" wrapText="1"/>
    </xf>
    <xf numFmtId="183" fontId="71" fillId="11" borderId="0" xfId="3" applyNumberFormat="1" applyFont="1" applyFill="1" applyAlignment="1">
      <alignment horizontal="center" vertical="center"/>
    </xf>
    <xf numFmtId="183" fontId="71"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3" borderId="126" xfId="3" applyFont="1" applyFill="1" applyBorder="1" applyAlignment="1" applyProtection="1">
      <alignment horizontal="center" vertical="center" wrapText="1"/>
    </xf>
    <xf numFmtId="0" fontId="95" fillId="10" borderId="0" xfId="8" applyFont="1" applyFill="1" applyBorder="1" applyAlignment="1" applyProtection="1">
      <alignment horizontal="center" vertical="center"/>
      <protection locked="0"/>
    </xf>
    <xf numFmtId="0" fontId="80" fillId="10"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5" fillId="11" borderId="0" xfId="3" applyFont="1" applyFill="1" applyBorder="1" applyAlignment="1" applyProtection="1">
      <alignment horizontal="center" vertical="center"/>
      <protection locked="0"/>
    </xf>
    <xf numFmtId="10" fontId="95" fillId="11" borderId="127" xfId="3" applyNumberFormat="1" applyFont="1" applyFill="1" applyBorder="1" applyAlignment="1">
      <alignment vertical="center"/>
    </xf>
    <xf numFmtId="0" fontId="98" fillId="12" borderId="128"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8" fillId="13" borderId="129" xfId="3" applyFont="1" applyFill="1" applyBorder="1" applyAlignment="1" applyProtection="1">
      <alignment horizontal="center" vertical="center" wrapText="1"/>
    </xf>
    <xf numFmtId="0" fontId="98" fillId="13" borderId="128" xfId="3" applyFont="1" applyFill="1" applyBorder="1" applyAlignment="1" applyProtection="1">
      <alignment horizontal="center" vertical="center" wrapText="1"/>
    </xf>
    <xf numFmtId="10" fontId="71" fillId="0" borderId="130" xfId="3" applyNumberFormat="1" applyFont="1" applyBorder="1">
      <alignment vertical="center"/>
    </xf>
    <xf numFmtId="10" fontId="71" fillId="0" borderId="54" xfId="3" applyNumberFormat="1" applyFont="1" applyBorder="1">
      <alignment vertical="center"/>
    </xf>
    <xf numFmtId="10" fontId="71" fillId="0" borderId="0" xfId="3" applyNumberFormat="1" applyFont="1" applyBorder="1">
      <alignment vertical="center"/>
    </xf>
    <xf numFmtId="10" fontId="71" fillId="0" borderId="127" xfId="3" applyNumberFormat="1" applyFont="1" applyBorder="1">
      <alignment vertical="center"/>
    </xf>
    <xf numFmtId="10" fontId="71" fillId="0" borderId="89" xfId="3" applyNumberFormat="1" applyFont="1" applyBorder="1">
      <alignment vertical="center"/>
    </xf>
    <xf numFmtId="0" fontId="98" fillId="13" borderId="131" xfId="3" applyFont="1" applyFill="1" applyBorder="1" applyAlignment="1" applyProtection="1">
      <alignment horizontal="center" vertical="center" wrapText="1"/>
    </xf>
    <xf numFmtId="0" fontId="98" fillId="12" borderId="129" xfId="3" applyFont="1" applyFill="1" applyBorder="1" applyAlignment="1" applyProtection="1">
      <alignment horizontal="center" vertical="center" wrapText="1"/>
    </xf>
    <xf numFmtId="0" fontId="71" fillId="12" borderId="129" xfId="3" applyFont="1" applyFill="1" applyBorder="1" applyAlignment="1" applyProtection="1">
      <alignment horizontal="center" vertical="center" wrapText="1"/>
    </xf>
    <xf numFmtId="0" fontId="71" fillId="3" borderId="128"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3"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17" xfId="3" applyNumberFormat="1" applyFont="1" applyBorder="1">
      <alignment vertical="center"/>
    </xf>
    <xf numFmtId="0" fontId="98" fillId="13" borderId="134" xfId="3" applyFont="1" applyFill="1" applyBorder="1" applyAlignment="1" applyProtection="1">
      <alignment horizontal="center" vertical="center" wrapText="1"/>
    </xf>
    <xf numFmtId="10" fontId="71" fillId="14" borderId="112" xfId="3" applyNumberFormat="1" applyFont="1" applyFill="1" applyBorder="1">
      <alignment vertical="center"/>
    </xf>
    <xf numFmtId="10" fontId="71" fillId="14" borderId="0" xfId="3" applyNumberFormat="1" applyFont="1" applyFill="1">
      <alignment vertical="center"/>
    </xf>
    <xf numFmtId="10" fontId="71" fillId="14" borderId="127" xfId="3" applyNumberFormat="1" applyFont="1" applyFill="1" applyBorder="1">
      <alignment vertical="center"/>
    </xf>
    <xf numFmtId="10" fontId="71" fillId="14" borderId="89" xfId="3" applyNumberFormat="1" applyFont="1" applyFill="1" applyBorder="1">
      <alignment vertical="center"/>
    </xf>
    <xf numFmtId="0" fontId="80" fillId="0" borderId="111" xfId="3" applyFont="1" applyBorder="1" applyAlignment="1">
      <alignment horizontal="center" vertical="center"/>
    </xf>
    <xf numFmtId="0" fontId="11" fillId="10" borderId="0" xfId="8" applyFont="1" applyFill="1">
      <alignment vertical="center"/>
    </xf>
    <xf numFmtId="0" fontId="71" fillId="10" borderId="0" xfId="3" applyFont="1" applyFill="1" applyAlignment="1">
      <alignment horizontal="center" vertical="center"/>
    </xf>
    <xf numFmtId="0" fontId="80" fillId="0" borderId="0" xfId="8" applyFont="1" applyFill="1">
      <alignment vertical="center"/>
    </xf>
    <xf numFmtId="0" fontId="71" fillId="0" borderId="0" xfId="3" applyFont="1" applyAlignment="1">
      <alignment horizontal="center" vertical="center"/>
    </xf>
    <xf numFmtId="0" fontId="80" fillId="11" borderId="0" xfId="3" applyFont="1" applyFill="1" applyAlignment="1">
      <alignment horizontal="center" vertical="center"/>
    </xf>
    <xf numFmtId="0" fontId="80" fillId="11" borderId="112" xfId="3" applyFont="1" applyFill="1" applyBorder="1" applyAlignment="1">
      <alignment horizontal="center" vertical="center"/>
    </xf>
    <xf numFmtId="0" fontId="86" fillId="3" borderId="0" xfId="8" applyFont="1" applyFill="1">
      <alignment vertical="center"/>
    </xf>
    <xf numFmtId="0" fontId="71" fillId="11" borderId="0" xfId="3" applyFont="1" applyFill="1" applyAlignment="1">
      <alignment horizontal="center" vertical="center"/>
    </xf>
    <xf numFmtId="184" fontId="71" fillId="0" borderId="0" xfId="3" applyNumberFormat="1" applyFont="1">
      <alignment vertical="center"/>
    </xf>
    <xf numFmtId="194" fontId="71" fillId="0" borderId="112" xfId="3" applyNumberFormat="1" applyFont="1" applyBorder="1">
      <alignment vertical="center"/>
    </xf>
    <xf numFmtId="194" fontId="71" fillId="0" borderId="0" xfId="3" applyNumberFormat="1" applyFont="1">
      <alignment vertical="center"/>
    </xf>
    <xf numFmtId="184" fontId="71" fillId="3" borderId="0" xfId="3" applyNumberFormat="1" applyFont="1" applyFill="1">
      <alignment vertical="center"/>
    </xf>
    <xf numFmtId="10" fontId="71" fillId="3" borderId="127"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84" fontId="71" fillId="0" borderId="17" xfId="3" applyNumberFormat="1" applyFont="1" applyBorder="1">
      <alignment vertical="center"/>
    </xf>
    <xf numFmtId="10" fontId="71" fillId="0" borderId="17" xfId="3" applyNumberFormat="1" applyFont="1" applyBorder="1" applyAlignment="1">
      <alignment horizontal="center" vertical="center"/>
    </xf>
    <xf numFmtId="196" fontId="71" fillId="0" borderId="0" xfId="3" applyNumberFormat="1" applyFont="1" applyAlignment="1">
      <alignment horizontal="center" vertical="center"/>
    </xf>
    <xf numFmtId="10" fontId="71" fillId="10" borderId="0" xfId="3" applyNumberFormat="1" applyFont="1" applyFill="1" applyAlignment="1">
      <alignment horizontal="center" vertical="center"/>
    </xf>
    <xf numFmtId="10" fontId="71" fillId="11"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80" fillId="12" borderId="135" xfId="3" applyFont="1" applyFill="1" applyBorder="1" applyAlignment="1">
      <alignment horizontal="center" vertical="center" wrapText="1"/>
    </xf>
    <xf numFmtId="0" fontId="80" fillId="12" borderId="136" xfId="3" applyFont="1" applyFill="1" applyBorder="1" applyAlignment="1">
      <alignment horizontal="center" vertical="center" wrapText="1"/>
    </xf>
    <xf numFmtId="184" fontId="71" fillId="14"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80" fillId="13" borderId="122" xfId="3" applyFont="1" applyFill="1" applyBorder="1" applyAlignment="1">
      <alignment horizontal="center" vertical="center" wrapText="1"/>
    </xf>
    <xf numFmtId="0" fontId="80" fillId="13" borderId="124" xfId="3" applyFont="1" applyFill="1" applyBorder="1" applyAlignment="1">
      <alignment horizontal="center" vertical="center" wrapText="1"/>
    </xf>
    <xf numFmtId="184" fontId="71"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80" fillId="13" borderId="137" xfId="3" applyFont="1" applyFill="1" applyBorder="1" applyAlignment="1">
      <alignment horizontal="center" vertical="center" wrapText="1"/>
    </xf>
    <xf numFmtId="0" fontId="80" fillId="13" borderId="138" xfId="3" applyFont="1" applyFill="1" applyBorder="1" applyAlignment="1">
      <alignment horizontal="center" vertical="center" wrapText="1"/>
    </xf>
    <xf numFmtId="0" fontId="80" fillId="13"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0" fontId="71" fillId="14" borderId="133" xfId="3" applyNumberFormat="1" applyFont="1" applyFill="1" applyBorder="1">
      <alignment vertical="center"/>
    </xf>
    <xf numFmtId="10" fontId="71" fillId="14" borderId="17" xfId="3" applyNumberFormat="1" applyFont="1" applyFill="1" applyBorder="1">
      <alignment vertical="center"/>
    </xf>
    <xf numFmtId="193" fontId="71" fillId="0" borderId="0" xfId="3" applyNumberFormat="1" applyFont="1" applyAlignment="1">
      <alignment horizontal="center" vertical="center"/>
    </xf>
    <xf numFmtId="193" fontId="71" fillId="0" borderId="112" xfId="3" applyNumberFormat="1" applyFont="1" applyBorder="1" applyAlignment="1">
      <alignment horizontal="center" vertical="center"/>
    </xf>
    <xf numFmtId="193" fontId="71" fillId="3" borderId="0" xfId="3" applyNumberFormat="1" applyFont="1" applyFill="1" applyAlignment="1">
      <alignment horizontal="center" vertical="center"/>
    </xf>
    <xf numFmtId="0" fontId="71" fillId="3" borderId="112" xfId="3" applyFont="1" applyFill="1" applyBorder="1">
      <alignment vertical="center"/>
    </xf>
    <xf numFmtId="193" fontId="86" fillId="0" borderId="0" xfId="3" applyNumberFormat="1" applyFont="1" applyAlignment="1">
      <alignment horizontal="center" vertical="center"/>
    </xf>
    <xf numFmtId="193" fontId="86" fillId="0" borderId="112" xfId="3" applyNumberFormat="1" applyFont="1" applyBorder="1" applyAlignment="1">
      <alignment horizontal="center" vertical="center"/>
    </xf>
    <xf numFmtId="196" fontId="71" fillId="0" borderId="17" xfId="3" applyNumberFormat="1" applyFont="1" applyBorder="1" applyAlignment="1">
      <alignment horizontal="center" vertical="center"/>
    </xf>
    <xf numFmtId="196" fontId="71"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5" xfId="3" applyFont="1" applyFill="1" applyBorder="1" applyAlignment="1">
      <alignment horizontal="center" vertical="center" wrapText="1"/>
    </xf>
    <xf numFmtId="0" fontId="98" fillId="13" borderId="141" xfId="3" applyFont="1" applyFill="1" applyBorder="1" applyAlignment="1">
      <alignment horizontal="center" vertical="center" wrapText="1"/>
    </xf>
    <xf numFmtId="0" fontId="98" fillId="13"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3" borderId="142" xfId="3" applyFont="1" applyFill="1" applyBorder="1" applyAlignment="1">
      <alignment horizontal="center" vertical="center" wrapText="1"/>
    </xf>
    <xf numFmtId="0" fontId="98" fillId="13" borderId="122" xfId="3"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92" fontId="224" fillId="0" borderId="0" xfId="9" applyNumberFormat="1" applyProtection="1">
      <alignment vertical="center"/>
    </xf>
    <xf numFmtId="0" fontId="224" fillId="0" borderId="0" xfId="9" applyNumberFormat="1" applyProtection="1">
      <alignment vertical="center"/>
    </xf>
    <xf numFmtId="19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92"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wrapText="1"/>
    </xf>
    <xf numFmtId="0" fontId="103" fillId="2" borderId="1" xfId="9" applyNumberFormat="1" applyFont="1" applyFill="1" applyBorder="1" applyAlignment="1" applyProtection="1">
      <alignment horizontal="center" vertical="center"/>
    </xf>
    <xf numFmtId="192" fontId="102" fillId="2" borderId="1" xfId="9" applyNumberFormat="1" applyFont="1" applyFill="1" applyBorder="1" applyAlignment="1" applyProtection="1">
      <alignment horizontal="center" vertical="center" wrapText="1"/>
    </xf>
    <xf numFmtId="0" fontId="102"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0"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0" fillId="2" borderId="8" xfId="10" applyFont="1" applyFill="1" applyBorder="1" applyAlignment="1" applyProtection="1">
      <alignment horizontal="center" vertical="center"/>
    </xf>
    <xf numFmtId="0" fontId="100" fillId="2" borderId="42" xfId="10" applyFont="1" applyFill="1" applyBorder="1" applyAlignment="1" applyProtection="1">
      <alignment horizontal="center" vertical="center"/>
    </xf>
    <xf numFmtId="0" fontId="101" fillId="2" borderId="69" xfId="10" applyFont="1" applyFill="1" applyBorder="1" applyAlignment="1" applyProtection="1">
      <alignment vertical="center" wrapText="1"/>
    </xf>
    <xf numFmtId="0" fontId="101" fillId="2" borderId="5" xfId="10" applyFont="1" applyFill="1" applyBorder="1" applyAlignment="1" applyProtection="1">
      <alignment horizontal="center" vertical="center" wrapText="1"/>
    </xf>
    <xf numFmtId="0" fontId="101" fillId="2" borderId="39" xfId="10" applyFont="1" applyFill="1" applyBorder="1" applyAlignment="1" applyProtection="1">
      <alignment horizontal="center" vertical="center" wrapText="1"/>
    </xf>
    <xf numFmtId="0" fontId="104" fillId="2" borderId="4" xfId="10" applyFont="1" applyFill="1" applyBorder="1" applyAlignment="1" applyProtection="1">
      <alignment horizontal="center" vertical="center"/>
    </xf>
    <xf numFmtId="0" fontId="104" fillId="2" borderId="39" xfId="10" applyFont="1" applyFill="1" applyBorder="1" applyProtection="1">
      <alignment vertical="center"/>
    </xf>
    <xf numFmtId="0" fontId="101" fillId="2" borderId="1" xfId="10" applyFont="1" applyFill="1" applyBorder="1" applyAlignment="1" applyProtection="1">
      <alignment horizontal="center" vertical="center" wrapText="1"/>
    </xf>
    <xf numFmtId="0" fontId="101" fillId="2" borderId="34" xfId="10" applyFont="1" applyFill="1" applyBorder="1" applyAlignment="1" applyProtection="1">
      <alignment horizontal="center" vertical="center" wrapText="1"/>
    </xf>
    <xf numFmtId="0" fontId="104" fillId="2" borderId="6" xfId="10" applyFont="1" applyFill="1" applyBorder="1" applyAlignment="1" applyProtection="1">
      <alignment horizontal="center" vertical="center"/>
    </xf>
    <xf numFmtId="0" fontId="104" fillId="2" borderId="10" xfId="10" applyFont="1" applyFill="1" applyBorder="1" applyProtection="1">
      <alignment vertical="center"/>
    </xf>
    <xf numFmtId="0" fontId="101" fillId="2" borderId="3" xfId="10"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1" fillId="2" borderId="10"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xf>
    <xf numFmtId="0" fontId="104" fillId="2" borderId="42" xfId="10" applyFont="1" applyFill="1" applyBorder="1" applyProtection="1">
      <alignment vertical="center"/>
    </xf>
    <xf numFmtId="0" fontId="53" fillId="2" borderId="10" xfId="10" applyFont="1" applyFill="1" applyBorder="1" applyProtection="1">
      <alignment vertical="center"/>
    </xf>
    <xf numFmtId="0" fontId="105" fillId="2" borderId="0" xfId="10" applyFont="1" applyFill="1" applyBorder="1" applyProtection="1">
      <alignment vertical="center"/>
    </xf>
    <xf numFmtId="0" fontId="101" fillId="2" borderId="60" xfId="10" applyFont="1" applyFill="1" applyBorder="1" applyAlignment="1" applyProtection="1">
      <alignment vertical="center" wrapText="1"/>
    </xf>
    <xf numFmtId="0" fontId="106" fillId="2" borderId="0" xfId="10" applyFont="1" applyFill="1" applyProtection="1">
      <alignment vertical="center"/>
    </xf>
    <xf numFmtId="0" fontId="105" fillId="2" borderId="0" xfId="10" applyFont="1" applyFill="1" applyProtection="1">
      <alignment vertical="center"/>
    </xf>
    <xf numFmtId="0" fontId="101"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1"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96" fontId="224" fillId="2" borderId="5" xfId="10" applyNumberFormat="1" applyFill="1" applyBorder="1" applyAlignment="1" applyProtection="1">
      <alignment horizontal="center" vertical="center"/>
    </xf>
    <xf numFmtId="196"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96" fontId="224" fillId="2" borderId="1" xfId="10" applyNumberFormat="1" applyFill="1" applyBorder="1" applyAlignment="1" applyProtection="1">
      <alignment horizontal="center" vertical="center"/>
    </xf>
    <xf numFmtId="196"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96" fontId="224" fillId="2" borderId="42" xfId="10" applyNumberFormat="1" applyFill="1" applyBorder="1" applyAlignment="1" applyProtection="1">
      <alignment horizontal="center" vertical="center"/>
    </xf>
    <xf numFmtId="196" fontId="224" fillId="2" borderId="8" xfId="10" applyNumberFormat="1" applyFill="1" applyBorder="1" applyAlignment="1" applyProtection="1">
      <alignment horizontal="center" vertical="center"/>
    </xf>
    <xf numFmtId="0" fontId="107" fillId="2" borderId="4" xfId="10"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107" fillId="2" borderId="22" xfId="10" applyFont="1" applyFill="1" applyBorder="1" applyAlignment="1" applyProtection="1">
      <alignment horizontal="center" vertical="center" wrapText="1"/>
    </xf>
    <xf numFmtId="0" fontId="107"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10" applyFont="1" applyFill="1" applyBorder="1" applyAlignment="1" applyProtection="1">
      <alignment vertical="center"/>
    </xf>
    <xf numFmtId="0" fontId="108" fillId="2" borderId="0" xfId="10" applyFont="1" applyFill="1" applyBorder="1" applyAlignment="1" applyProtection="1">
      <alignment vertical="center"/>
    </xf>
    <xf numFmtId="0" fontId="107" fillId="2" borderId="10" xfId="10" applyFont="1" applyFill="1" applyBorder="1" applyAlignment="1" applyProtection="1">
      <alignment horizontal="center" vertical="center" wrapText="1"/>
    </xf>
    <xf numFmtId="0" fontId="107" fillId="2" borderId="11"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xf>
    <xf numFmtId="0" fontId="107" fillId="2" borderId="10" xfId="10" applyFont="1" applyFill="1" applyBorder="1" applyAlignment="1" applyProtection="1">
      <alignment horizontal="left" vertical="center"/>
    </xf>
    <xf numFmtId="0" fontId="107" fillId="2" borderId="11" xfId="10" applyFont="1" applyFill="1" applyBorder="1" applyAlignment="1" applyProtection="1">
      <alignment horizontal="left" vertical="center"/>
    </xf>
    <xf numFmtId="0" fontId="107" fillId="2" borderId="0" xfId="10" applyFont="1" applyFill="1" applyBorder="1" applyAlignment="1" applyProtection="1">
      <alignment vertical="center"/>
    </xf>
    <xf numFmtId="0" fontId="107" fillId="2" borderId="0" xfId="10" applyFont="1" applyFill="1" applyBorder="1" applyAlignment="1" applyProtection="1">
      <alignment horizontal="center" vertical="center"/>
    </xf>
    <xf numFmtId="0" fontId="107" fillId="2" borderId="54" xfId="10" applyFont="1" applyFill="1" applyBorder="1" applyAlignment="1" applyProtection="1">
      <alignment vertical="center"/>
    </xf>
    <xf numFmtId="0" fontId="107" fillId="2" borderId="34" xfId="10" applyFont="1" applyFill="1" applyBorder="1" applyAlignment="1" applyProtection="1">
      <alignment vertical="center" wrapText="1"/>
    </xf>
    <xf numFmtId="0" fontId="107" fillId="2" borderId="3" xfId="10" applyFont="1" applyFill="1" applyBorder="1" applyAlignment="1" applyProtection="1">
      <alignment vertical="center" wrapText="1"/>
    </xf>
    <xf numFmtId="0" fontId="107" fillId="2" borderId="81" xfId="10" applyFont="1" applyFill="1" applyBorder="1" applyAlignment="1" applyProtection="1">
      <alignment vertical="center" wrapText="1"/>
    </xf>
    <xf numFmtId="0" fontId="107" fillId="2" borderId="3" xfId="10" applyFont="1" applyFill="1" applyBorder="1" applyAlignment="1" applyProtection="1">
      <alignment horizontal="center" vertical="center"/>
    </xf>
    <xf numFmtId="0" fontId="107" fillId="2" borderId="0" xfId="10" applyFont="1" applyFill="1" applyAlignment="1" applyProtection="1">
      <alignment horizontal="center" vertical="center"/>
    </xf>
    <xf numFmtId="9" fontId="107" fillId="2" borderId="1" xfId="10" applyNumberFormat="1" applyFont="1" applyFill="1" applyBorder="1" applyAlignment="1" applyProtection="1">
      <alignment horizontal="center" vertical="center"/>
    </xf>
    <xf numFmtId="196" fontId="224" fillId="2" borderId="13" xfId="10" applyNumberFormat="1" applyFill="1" applyBorder="1" applyAlignment="1" applyProtection="1">
      <alignment horizontal="center" vertical="center"/>
    </xf>
    <xf numFmtId="196" fontId="224" fillId="2" borderId="14" xfId="10" applyNumberFormat="1" applyFill="1" applyBorder="1" applyAlignment="1" applyProtection="1">
      <alignment horizontal="center" vertical="center"/>
    </xf>
    <xf numFmtId="196" fontId="224" fillId="2" borderId="15" xfId="10" applyNumberFormat="1" applyFill="1" applyBorder="1" applyAlignment="1" applyProtection="1">
      <alignment horizontal="center" vertical="center"/>
    </xf>
    <xf numFmtId="0" fontId="107" fillId="2" borderId="13" xfId="10" applyFont="1" applyFill="1" applyBorder="1" applyAlignment="1" applyProtection="1">
      <alignment horizontal="center" vertical="center" wrapText="1"/>
    </xf>
    <xf numFmtId="0" fontId="107" fillId="2" borderId="14" xfId="10" applyFont="1" applyFill="1" applyBorder="1" applyAlignment="1" applyProtection="1">
      <alignment horizontal="center" vertical="center" wrapText="1"/>
    </xf>
    <xf numFmtId="0" fontId="107" fillId="2" borderId="57"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47" fillId="0" borderId="0" xfId="10" applyFont="1" applyAlignment="1" applyProtection="1">
      <alignment vertical="center" wrapText="1"/>
    </xf>
    <xf numFmtId="0" fontId="102" fillId="6" borderId="0" xfId="10" applyFont="1" applyFill="1" applyAlignment="1" applyProtection="1">
      <alignment vertical="center" wrapText="1"/>
    </xf>
    <xf numFmtId="0" fontId="102" fillId="0" borderId="0" xfId="10" applyFont="1" applyAlignment="1" applyProtection="1">
      <alignment horizontal="center" vertical="center" wrapText="1"/>
    </xf>
    <xf numFmtId="0" fontId="102" fillId="0" borderId="0" xfId="10" applyFont="1" applyAlignment="1" applyProtection="1">
      <alignment horizontal="left" vertical="center" wrapText="1"/>
    </xf>
    <xf numFmtId="0" fontId="102" fillId="0" borderId="0" xfId="10" applyFont="1" applyAlignment="1" applyProtection="1">
      <alignment vertical="center" wrapText="1"/>
    </xf>
    <xf numFmtId="0" fontId="102" fillId="6" borderId="0" xfId="10" applyFont="1" applyFill="1" applyAlignment="1" applyProtection="1">
      <alignment horizontal="center" vertical="center" wrapText="1"/>
    </xf>
    <xf numFmtId="0" fontId="109"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2" fillId="2" borderId="1" xfId="10" applyFont="1" applyFill="1" applyBorder="1" applyAlignment="1" applyProtection="1">
      <alignment vertical="center" wrapText="1"/>
    </xf>
    <xf numFmtId="0" fontId="102" fillId="0" borderId="1" xfId="10" applyFont="1" applyFill="1" applyBorder="1" applyAlignment="1" applyProtection="1">
      <alignment vertical="center" wrapText="1"/>
      <protection locked="0"/>
    </xf>
    <xf numFmtId="0" fontId="102"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2" fillId="2" borderId="1" xfId="10" applyNumberFormat="1" applyFont="1" applyFill="1" applyBorder="1" applyAlignment="1" applyProtection="1">
      <alignment horizontal="left" vertical="center" wrapText="1"/>
    </xf>
    <xf numFmtId="0" fontId="102" fillId="3" borderId="1" xfId="10" applyNumberFormat="1" applyFont="1" applyFill="1" applyBorder="1" applyAlignment="1" applyProtection="1">
      <alignment horizontal="center" vertical="center" wrapText="1"/>
      <protection locked="0"/>
    </xf>
    <xf numFmtId="0" fontId="102"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2" fillId="3" borderId="1" xfId="10"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92" fontId="31" fillId="2" borderId="1" xfId="10" applyNumberFormat="1" applyFont="1" applyFill="1" applyBorder="1" applyAlignment="1" applyProtection="1">
      <alignment horizontal="center" vertical="center" wrapText="1"/>
    </xf>
    <xf numFmtId="0" fontId="102"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1"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3"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102"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2"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2" fillId="2" borderId="55" xfId="10" applyFont="1" applyFill="1" applyBorder="1" applyAlignment="1" applyProtection="1">
      <alignment horizontal="center" vertical="center" wrapText="1"/>
    </xf>
    <xf numFmtId="0" fontId="102"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2"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2" fillId="2" borderId="18" xfId="10" applyFont="1" applyFill="1" applyBorder="1" applyAlignment="1" applyProtection="1">
      <alignment vertical="center"/>
    </xf>
    <xf numFmtId="0" fontId="102"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2" fillId="2" borderId="39" xfId="10" applyFont="1" applyFill="1" applyBorder="1" applyAlignment="1" applyProtection="1">
      <alignment vertical="center"/>
    </xf>
    <xf numFmtId="0" fontId="102" fillId="2" borderId="78" xfId="10" applyFont="1" applyFill="1" applyBorder="1" applyAlignment="1" applyProtection="1">
      <alignment horizontal="center" vertical="center" wrapText="1"/>
    </xf>
    <xf numFmtId="0" fontId="102" fillId="2" borderId="78" xfId="10" applyFont="1" applyFill="1" applyBorder="1" applyAlignment="1" applyProtection="1">
      <alignment vertical="center" wrapText="1"/>
    </xf>
    <xf numFmtId="0" fontId="101" fillId="2" borderId="9" xfId="10" applyFont="1" applyFill="1" applyBorder="1" applyAlignment="1" applyProtection="1">
      <alignment horizontal="left" vertical="center" wrapText="1"/>
    </xf>
    <xf numFmtId="0" fontId="101"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2" fillId="0" borderId="1" xfId="10" applyFont="1" applyFill="1" applyBorder="1" applyAlignment="1" applyProtection="1">
      <alignment horizontal="center" vertical="center"/>
      <protection locked="0"/>
    </xf>
    <xf numFmtId="0" fontId="102" fillId="0" borderId="1" xfId="10" applyFont="1" applyBorder="1" applyAlignment="1" applyProtection="1">
      <alignment horizontal="center" vertical="center" wrapText="1"/>
      <protection locked="0"/>
    </xf>
    <xf numFmtId="0" fontId="101" fillId="2" borderId="3" xfId="10" applyFont="1" applyFill="1" applyBorder="1" applyAlignment="1" applyProtection="1">
      <alignment horizontal="left" vertical="center" wrapText="1"/>
    </xf>
    <xf numFmtId="0" fontId="101" fillId="3" borderId="11" xfId="10" applyFont="1" applyFill="1" applyBorder="1" applyAlignment="1" applyProtection="1">
      <alignment horizontal="center" vertical="center" wrapText="1"/>
      <protection locked="0"/>
    </xf>
    <xf numFmtId="0" fontId="101" fillId="3" borderId="1" xfId="10" applyFont="1" applyFill="1" applyBorder="1" applyAlignment="1" applyProtection="1">
      <alignment horizontal="center" vertical="center" wrapText="1"/>
      <protection locked="0"/>
    </xf>
    <xf numFmtId="0" fontId="101" fillId="3" borderId="3" xfId="10" applyFont="1" applyFill="1" applyBorder="1" applyAlignment="1" applyProtection="1">
      <alignment horizontal="center" vertical="center" wrapText="1"/>
      <protection locked="0"/>
    </xf>
    <xf numFmtId="0" fontId="114" fillId="2" borderId="34" xfId="10" applyFont="1" applyFill="1" applyBorder="1" applyAlignment="1" applyProtection="1">
      <alignment vertical="center"/>
    </xf>
    <xf numFmtId="0" fontId="102" fillId="2" borderId="0" xfId="10" applyFont="1" applyFill="1" applyBorder="1" applyAlignment="1" applyProtection="1">
      <alignment vertical="center" wrapText="1"/>
    </xf>
    <xf numFmtId="0" fontId="101"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2" fillId="3" borderId="5" xfId="10" applyFont="1" applyFill="1" applyBorder="1" applyAlignment="1" applyProtection="1">
      <alignment horizontal="center" vertical="center" wrapText="1"/>
      <protection locked="0"/>
    </xf>
    <xf numFmtId="0" fontId="102"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102"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2"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2"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7" fontId="36" fillId="2" borderId="80" xfId="10" applyNumberFormat="1"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94" fontId="71" fillId="2" borderId="80" xfId="10"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7" fontId="17" fillId="2" borderId="35" xfId="10" applyNumberFormat="1" applyFont="1" applyFill="1" applyBorder="1" applyAlignment="1" applyProtection="1">
      <alignment horizontal="center" vertical="center" wrapText="1"/>
    </xf>
    <xf numFmtId="197"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97"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2"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2" fillId="2" borderId="16" xfId="10" applyFont="1" applyFill="1" applyBorder="1" applyAlignment="1" applyProtection="1">
      <alignment vertical="center" wrapText="1"/>
    </xf>
    <xf numFmtId="0" fontId="102"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2" fillId="2" borderId="68" xfId="10" applyFont="1" applyFill="1" applyBorder="1" applyAlignment="1" applyProtection="1">
      <alignment horizontal="center" vertical="center" wrapText="1"/>
    </xf>
    <xf numFmtId="0" fontId="102" fillId="2" borderId="11" xfId="10" applyFont="1" applyFill="1" applyBorder="1" applyAlignment="1" applyProtection="1">
      <alignment horizontal="left" vertical="center" wrapText="1"/>
    </xf>
    <xf numFmtId="0" fontId="102"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2" fillId="2" borderId="97" xfId="10" applyFont="1" applyFill="1" applyBorder="1" applyAlignment="1" applyProtection="1">
      <alignment horizontal="left" vertical="center" wrapText="1"/>
    </xf>
    <xf numFmtId="0" fontId="102" fillId="0" borderId="8" xfId="10" applyFont="1" applyBorder="1" applyAlignment="1" applyProtection="1">
      <alignment vertical="center" wrapText="1"/>
      <protection locked="0"/>
    </xf>
    <xf numFmtId="0" fontId="102" fillId="2" borderId="8" xfId="10" applyFont="1" applyFill="1" applyBorder="1" applyAlignment="1" applyProtection="1">
      <alignment vertical="center"/>
    </xf>
    <xf numFmtId="0" fontId="102"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2"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1"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1"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2"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4"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7" fillId="2" borderId="78" xfId="10" applyFont="1" applyFill="1" applyBorder="1" applyAlignment="1" applyProtection="1">
      <alignment vertical="center"/>
    </xf>
    <xf numFmtId="0" fontId="117"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7" fillId="2" borderId="1" xfId="10" applyNumberFormat="1" applyFont="1" applyFill="1" applyBorder="1" applyAlignment="1" applyProtection="1">
      <alignment horizontal="center" vertical="center" wrapText="1"/>
    </xf>
    <xf numFmtId="0" fontId="118"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10" applyNumberFormat="1" applyFont="1" applyFill="1" applyBorder="1" applyAlignment="1" applyProtection="1">
      <alignment horizontal="center" vertical="center" wrapText="1"/>
    </xf>
    <xf numFmtId="0" fontId="118"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10" applyFont="1" applyFill="1" applyBorder="1" applyAlignment="1" applyProtection="1">
      <alignment horizontal="center" vertical="center" wrapText="1"/>
    </xf>
    <xf numFmtId="0" fontId="107" fillId="2" borderId="9" xfId="10" applyNumberFormat="1"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49" fontId="107"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0" fillId="2" borderId="78" xfId="10" applyFont="1" applyFill="1" applyBorder="1" applyAlignment="1" applyProtection="1">
      <alignment vertical="center"/>
    </xf>
    <xf numFmtId="19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2"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4"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2" fillId="2" borderId="107" xfId="10" applyFont="1" applyFill="1" applyBorder="1" applyAlignment="1" applyProtection="1">
      <alignment vertical="center" wrapText="1"/>
    </xf>
    <xf numFmtId="0" fontId="102" fillId="2" borderId="0" xfId="10" applyFont="1" applyFill="1" applyAlignment="1" applyProtection="1">
      <alignment vertical="center"/>
    </xf>
    <xf numFmtId="0" fontId="102" fillId="2" borderId="45" xfId="10" applyFont="1" applyFill="1" applyBorder="1" applyAlignment="1" applyProtection="1">
      <alignment vertical="center" wrapText="1"/>
    </xf>
    <xf numFmtId="0" fontId="102" fillId="2" borderId="46" xfId="10" applyFont="1" applyFill="1" applyBorder="1" applyAlignment="1" applyProtection="1">
      <alignment vertical="center" wrapText="1"/>
    </xf>
    <xf numFmtId="0" fontId="102" fillId="2" borderId="47" xfId="10" applyFont="1" applyFill="1" applyBorder="1" applyAlignment="1" applyProtection="1">
      <alignment vertical="center" wrapText="1"/>
    </xf>
    <xf numFmtId="0" fontId="102"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2" fillId="0" borderId="1" xfId="10" applyFont="1" applyFill="1" applyBorder="1" applyAlignment="1" applyProtection="1">
      <alignment horizontal="center" vertical="center" wrapText="1"/>
      <protection locked="0"/>
    </xf>
    <xf numFmtId="0" fontId="102" fillId="0" borderId="14" xfId="10" applyFont="1" applyFill="1" applyBorder="1" applyAlignment="1" applyProtection="1">
      <alignment horizontal="center" vertical="center" wrapText="1"/>
      <protection locked="0"/>
    </xf>
    <xf numFmtId="0" fontId="102" fillId="2" borderId="0" xfId="10" applyFont="1" applyFill="1" applyBorder="1" applyAlignment="1" applyProtection="1">
      <alignment horizontal="center" vertical="center" wrapText="1"/>
      <protection locked="0"/>
    </xf>
    <xf numFmtId="0" fontId="113" fillId="2" borderId="89" xfId="10" applyFont="1" applyFill="1" applyBorder="1" applyAlignment="1" applyProtection="1">
      <alignment vertical="center"/>
    </xf>
    <xf numFmtId="0" fontId="113" fillId="2" borderId="66" xfId="10" applyFont="1" applyFill="1" applyBorder="1" applyAlignment="1" applyProtection="1">
      <alignment vertical="center"/>
    </xf>
    <xf numFmtId="0" fontId="113"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2"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10" applyFont="1" applyFill="1" applyBorder="1" applyAlignment="1" applyProtection="1">
      <alignment horizontal="center" vertical="center" wrapText="1"/>
      <protection locked="0"/>
    </xf>
    <xf numFmtId="0" fontId="121" fillId="2" borderId="5" xfId="10" applyFont="1" applyFill="1" applyBorder="1" applyAlignment="1" applyProtection="1">
      <alignment vertical="center" wrapText="1"/>
      <protection locked="0"/>
    </xf>
    <xf numFmtId="0" fontId="12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2" fillId="2" borderId="48" xfId="10" applyFont="1" applyFill="1" applyBorder="1" applyAlignment="1" applyProtection="1">
      <alignment vertical="center" wrapText="1"/>
    </xf>
    <xf numFmtId="0" fontId="102" fillId="2" borderId="4" xfId="10" applyFont="1" applyFill="1" applyBorder="1" applyAlignment="1" applyProtection="1">
      <alignment horizontal="center" vertical="center" wrapText="1"/>
    </xf>
    <xf numFmtId="0" fontId="102" fillId="2" borderId="13" xfId="10" applyFont="1" applyFill="1" applyBorder="1" applyAlignment="1" applyProtection="1">
      <alignment horizontal="center" vertical="center" wrapText="1"/>
    </xf>
    <xf numFmtId="0" fontId="102" fillId="2" borderId="67" xfId="10" applyFont="1" applyFill="1" applyBorder="1" applyAlignment="1" applyProtection="1">
      <alignment vertical="center" wrapText="1"/>
    </xf>
    <xf numFmtId="0" fontId="102"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2"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1" fillId="2" borderId="46" xfId="10" applyFont="1" applyFill="1" applyBorder="1" applyAlignment="1" applyProtection="1">
      <alignment vertical="center"/>
    </xf>
    <xf numFmtId="0" fontId="101" fillId="2" borderId="0" xfId="10" applyFont="1" applyFill="1" applyBorder="1" applyAlignment="1" applyProtection="1">
      <alignment vertical="center"/>
    </xf>
    <xf numFmtId="0" fontId="102" fillId="2" borderId="53" xfId="10" applyFont="1" applyFill="1" applyBorder="1" applyAlignment="1" applyProtection="1">
      <alignment vertical="center" wrapText="1"/>
    </xf>
    <xf numFmtId="0" fontId="102" fillId="2" borderId="56" xfId="10" applyFont="1" applyFill="1" applyBorder="1" applyAlignment="1" applyProtection="1">
      <alignment vertical="center"/>
    </xf>
    <xf numFmtId="0" fontId="102" fillId="2" borderId="72" xfId="10" applyFont="1" applyFill="1" applyBorder="1" applyAlignment="1" applyProtection="1">
      <alignment vertical="center"/>
    </xf>
    <xf numFmtId="0" fontId="102" fillId="2" borderId="48" xfId="10" applyFont="1" applyFill="1" applyBorder="1" applyAlignment="1" applyProtection="1">
      <alignment horizontal="center" vertical="center" wrapText="1"/>
    </xf>
    <xf numFmtId="0" fontId="102"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2"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2"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2" fillId="2" borderId="0" xfId="10" applyFont="1" applyFill="1" applyAlignment="1" applyProtection="1">
      <alignment horizontal="center" vertical="center" wrapText="1"/>
      <protection locked="0"/>
    </xf>
    <xf numFmtId="0" fontId="102"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9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4" fontId="86" fillId="0" borderId="1" xfId="10" applyNumberFormat="1" applyFont="1" applyFill="1" applyBorder="1" applyAlignment="1" applyProtection="1">
      <alignment horizontal="center" vertical="center"/>
      <protection locked="0"/>
    </xf>
    <xf numFmtId="184" fontId="86" fillId="2" borderId="1" xfId="10" applyNumberFormat="1" applyFont="1" applyFill="1" applyBorder="1" applyAlignment="1" applyProtection="1">
      <alignment horizontal="center" vertical="center"/>
    </xf>
    <xf numFmtId="197"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2" fillId="6" borderId="0" xfId="10" applyNumberFormat="1" applyFont="1" applyFill="1" applyAlignment="1" applyProtection="1">
      <alignment horizontal="center" vertical="center" wrapText="1"/>
    </xf>
    <xf numFmtId="10" fontId="102"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7" fillId="2" borderId="8" xfId="10"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7" fillId="0" borderId="8" xfId="10" applyNumberFormat="1" applyFont="1" applyFill="1" applyBorder="1" applyAlignment="1" applyProtection="1">
      <alignment horizontal="center" vertical="center" wrapText="1"/>
      <protection locked="0"/>
    </xf>
    <xf numFmtId="0" fontId="107" fillId="2" borderId="8" xfId="10" applyNumberFormat="1"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183" fontId="107" fillId="2" borderId="1" xfId="10" applyNumberFormat="1" applyFont="1" applyFill="1" applyBorder="1" applyAlignment="1" applyProtection="1">
      <alignment horizontal="center" vertical="center"/>
    </xf>
    <xf numFmtId="197" fontId="107" fillId="2" borderId="1" xfId="10" applyNumberFormat="1" applyFont="1" applyFill="1" applyBorder="1" applyAlignment="1" applyProtection="1">
      <alignment horizontal="center" vertical="center"/>
    </xf>
    <xf numFmtId="184" fontId="122" fillId="2" borderId="1" xfId="10" applyNumberFormat="1" applyFont="1" applyFill="1" applyBorder="1" applyAlignment="1" applyProtection="1">
      <alignment horizontal="center" vertical="center"/>
    </xf>
    <xf numFmtId="197" fontId="122" fillId="2" borderId="1" xfId="10" applyNumberFormat="1" applyFont="1" applyFill="1" applyBorder="1" applyAlignment="1" applyProtection="1">
      <alignment horizontal="center" vertical="center" wrapText="1"/>
    </xf>
    <xf numFmtId="183" fontId="107" fillId="2" borderId="3" xfId="10" applyNumberFormat="1" applyFont="1" applyFill="1" applyBorder="1" applyAlignment="1" applyProtection="1">
      <alignment horizontal="center" vertical="center" wrapText="1"/>
    </xf>
    <xf numFmtId="192" fontId="122" fillId="2" borderId="1" xfId="10" applyNumberFormat="1" applyFont="1" applyFill="1" applyBorder="1" applyAlignment="1" applyProtection="1">
      <alignment horizontal="center" vertical="center"/>
    </xf>
    <xf numFmtId="0" fontId="107"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92"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2"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2" fillId="2" borderId="5"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102" fillId="0" borderId="0" xfId="10" applyFont="1" applyAlignment="1" applyProtection="1">
      <alignment vertical="center" wrapText="1"/>
      <protection locked="0"/>
    </xf>
    <xf numFmtId="0" fontId="107" fillId="2" borderId="11" xfId="10" applyFont="1" applyFill="1" applyBorder="1" applyAlignment="1" applyProtection="1">
      <alignment vertical="center"/>
    </xf>
    <xf numFmtId="0" fontId="102" fillId="2" borderId="41" xfId="9" applyNumberFormat="1" applyFont="1" applyFill="1" applyBorder="1" applyAlignment="1" applyProtection="1">
      <alignment horizontal="center" vertical="center"/>
    </xf>
    <xf numFmtId="0" fontId="102"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102" fillId="0" borderId="0" xfId="10"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84"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84"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92" fontId="17" fillId="0" borderId="1" xfId="12"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2" applyFont="1" applyFill="1" applyBorder="1" applyAlignment="1" applyProtection="1"/>
    <xf numFmtId="192" fontId="17" fillId="2" borderId="1" xfId="12"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4"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8" fontId="31" fillId="7" borderId="11" xfId="0" applyNumberFormat="1" applyFont="1" applyFill="1" applyBorder="1" applyAlignment="1" applyProtection="1">
      <alignment horizontal="center" vertical="center"/>
    </xf>
    <xf numFmtId="188" fontId="31" fillId="7" borderId="11" xfId="0" applyNumberFormat="1" applyFont="1" applyFill="1" applyBorder="1" applyAlignment="1" applyProtection="1">
      <alignment horizontal="center" vertical="center" wrapText="1"/>
    </xf>
    <xf numFmtId="188"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4" fontId="27" fillId="0" borderId="43" xfId="0" applyNumberFormat="1" applyFont="1" applyFill="1" applyBorder="1" applyAlignment="1" applyProtection="1">
      <alignment horizontal="center" vertical="center" wrapText="1"/>
      <protection locked="0"/>
    </xf>
    <xf numFmtId="196"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4"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4" fontId="16" fillId="2" borderId="1" xfId="0" applyNumberFormat="1" applyFont="1" applyFill="1" applyBorder="1" applyAlignment="1" applyProtection="1">
      <alignment horizontal="center" vertical="center"/>
    </xf>
    <xf numFmtId="192" fontId="16" fillId="2" borderId="1" xfId="12" applyNumberFormat="1" applyFont="1" applyFill="1" applyBorder="1" applyAlignment="1" applyProtection="1">
      <alignment horizontal="center"/>
    </xf>
    <xf numFmtId="194"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4" fontId="16" fillId="2" borderId="1" xfId="12" applyNumberFormat="1" applyFont="1" applyFill="1" applyBorder="1" applyAlignment="1" applyProtection="1">
      <alignment horizontal="center"/>
    </xf>
    <xf numFmtId="184"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84" fontId="38" fillId="2" borderId="1" xfId="12" applyNumberFormat="1" applyFont="1" applyFill="1" applyBorder="1" applyAlignment="1" applyProtection="1">
      <alignment horizontal="center"/>
    </xf>
    <xf numFmtId="0" fontId="38" fillId="2" borderId="1" xfId="12" applyFont="1" applyFill="1" applyBorder="1" applyAlignment="1" applyProtection="1"/>
    <xf numFmtId="184"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4"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4"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7" fontId="16" fillId="2" borderId="1" xfId="0" applyNumberFormat="1" applyFont="1" applyFill="1" applyBorder="1" applyAlignment="1" applyProtection="1">
      <alignment horizontal="center" vertical="center"/>
    </xf>
    <xf numFmtId="184"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2" applyFont="1" applyFill="1" applyBorder="1" applyAlignment="1" applyProtection="1">
      <alignment vertical="center" wrapText="1"/>
    </xf>
    <xf numFmtId="184"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4" fontId="16" fillId="2" borderId="12" xfId="12" applyNumberFormat="1" applyFont="1" applyFill="1" applyBorder="1" applyAlignment="1" applyProtection="1"/>
    <xf numFmtId="49" fontId="129"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7" fillId="2" borderId="1" xfId="12" applyFont="1" applyFill="1" applyBorder="1" applyAlignment="1" applyProtection="1">
      <alignment horizontal="left"/>
    </xf>
    <xf numFmtId="0" fontId="38" fillId="2" borderId="1" xfId="12" applyFont="1" applyFill="1" applyBorder="1" applyAlignment="1" applyProtection="1">
      <alignment horizontal="left"/>
    </xf>
    <xf numFmtId="197" fontId="38" fillId="2" borderId="1" xfId="0" applyNumberFormat="1" applyFont="1" applyFill="1" applyBorder="1" applyAlignment="1" applyProtection="1">
      <alignment horizontal="right" vertical="center"/>
    </xf>
    <xf numFmtId="194" fontId="130" fillId="2" borderId="1" xfId="0" applyNumberFormat="1" applyFont="1" applyFill="1" applyBorder="1" applyAlignment="1" applyProtection="1">
      <alignment horizontal="center"/>
    </xf>
    <xf numFmtId="197" fontId="130" fillId="2" borderId="1" xfId="0" applyNumberFormat="1" applyFont="1" applyFill="1" applyBorder="1" applyAlignment="1" applyProtection="1">
      <alignment horizontal="center" vertical="center"/>
    </xf>
    <xf numFmtId="184" fontId="130" fillId="2" borderId="12" xfId="12"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84" fontId="130" fillId="2" borderId="1" xfId="12"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2"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1" fontId="7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84"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15" borderId="1" xfId="0" applyNumberFormat="1" applyFont="1" applyFill="1" applyBorder="1" applyAlignment="1" applyProtection="1">
      <alignment horizontal="center" vertical="center"/>
      <protection locked="0"/>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9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4"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4" fontId="16" fillId="2" borderId="1" xfId="12" applyNumberFormat="1" applyFont="1" applyFill="1" applyBorder="1" applyAlignment="1" applyProtection="1">
      <alignment horizontal="center" vertical="center"/>
    </xf>
    <xf numFmtId="184"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84"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84"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84"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2" applyFont="1" applyFill="1" applyBorder="1" applyAlignment="1" applyProtection="1">
      <alignment vertical="center"/>
    </xf>
    <xf numFmtId="184"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7" fontId="16" fillId="2" borderId="11" xfId="0" applyNumberFormat="1" applyFont="1" applyFill="1" applyBorder="1" applyAlignment="1" applyProtection="1">
      <alignment horizontal="center" vertical="center"/>
    </xf>
    <xf numFmtId="184"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84" fontId="16" fillId="2" borderId="8" xfId="0" applyNumberFormat="1" applyFont="1" applyFill="1" applyBorder="1" applyAlignment="1" applyProtection="1">
      <alignment horizontal="center" vertical="center" wrapText="1"/>
    </xf>
    <xf numFmtId="197" fontId="16" fillId="2" borderId="8" xfId="0" applyNumberFormat="1" applyFont="1" applyFill="1" applyBorder="1" applyAlignment="1" applyProtection="1">
      <alignment horizontal="center" vertical="center"/>
    </xf>
    <xf numFmtId="184"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0" fontId="129" fillId="6" borderId="0" xfId="0" applyFont="1" applyFill="1" applyAlignment="1" applyProtection="1">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7" fillId="0" borderId="0" xfId="11"/>
    <xf numFmtId="0" fontId="17" fillId="3" borderId="0" xfId="1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4"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xf>
    <xf numFmtId="194"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3" fillId="2" borderId="0" xfId="0" applyFont="1" applyFill="1" applyProtection="1">
      <alignment vertical="center"/>
    </xf>
    <xf numFmtId="0" fontId="24" fillId="2" borderId="0" xfId="0" applyFont="1" applyFill="1" applyProtection="1">
      <alignment vertical="center"/>
    </xf>
    <xf numFmtId="0" fontId="134" fillId="2" borderId="1" xfId="0" applyFont="1" applyFill="1" applyBorder="1" applyProtection="1">
      <alignment vertical="center"/>
    </xf>
    <xf numFmtId="0" fontId="134" fillId="3" borderId="1" xfId="0" applyFont="1" applyFill="1" applyBorder="1" applyAlignment="1" applyProtection="1">
      <alignment horizontal="center" vertical="center"/>
      <protection locked="0"/>
    </xf>
    <xf numFmtId="0" fontId="134"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4" fontId="136"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5" fillId="0" borderId="6" xfId="0" applyFont="1" applyBorder="1" applyAlignment="1" applyProtection="1">
      <alignment horizontal="center" vertical="center"/>
      <protection locked="0"/>
    </xf>
    <xf numFmtId="0" fontId="135" fillId="0" borderId="1" xfId="0" applyFont="1" applyFill="1" applyBorder="1" applyAlignment="1" applyProtection="1">
      <alignment horizontal="center" vertical="center"/>
      <protection locked="0"/>
    </xf>
    <xf numFmtId="0" fontId="135" fillId="0" borderId="14" xfId="0" applyFont="1" applyFill="1" applyBorder="1" applyAlignment="1" applyProtection="1">
      <alignment horizontal="center" vertical="center"/>
      <protection locked="0"/>
    </xf>
    <xf numFmtId="0" fontId="135" fillId="0" borderId="7" xfId="0" applyFont="1" applyFill="1" applyBorder="1" applyAlignment="1" applyProtection="1">
      <alignment horizontal="center" vertical="center"/>
    </xf>
    <xf numFmtId="0" fontId="135" fillId="0" borderId="8" xfId="0" applyFont="1" applyFill="1" applyBorder="1" applyAlignment="1" applyProtection="1">
      <alignment horizontal="center" vertical="center"/>
      <protection locked="0"/>
    </xf>
    <xf numFmtId="0" fontId="135"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7"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8"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5" fillId="0" borderId="4" xfId="0" applyFont="1" applyFill="1" applyBorder="1" applyAlignment="1" applyProtection="1">
      <alignment horizontal="center" vertical="center"/>
      <protection locked="0"/>
    </xf>
    <xf numFmtId="0" fontId="135" fillId="0" borderId="5" xfId="0" applyFont="1" applyFill="1" applyBorder="1" applyAlignment="1" applyProtection="1">
      <alignment horizontal="center" vertical="center"/>
      <protection locked="0"/>
    </xf>
    <xf numFmtId="0" fontId="135"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5"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5" fillId="0" borderId="7" xfId="0" applyFont="1" applyFill="1" applyBorder="1" applyAlignment="1" applyProtection="1">
      <alignment horizontal="center" vertical="center"/>
      <protection locked="0"/>
    </xf>
    <xf numFmtId="0" fontId="13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0" fillId="0" borderId="20" xfId="0" applyFont="1" applyBorder="1" applyAlignment="1" applyProtection="1">
      <alignment horizontal="left" vertical="center"/>
    </xf>
    <xf numFmtId="0" fontId="141" fillId="0" borderId="0" xfId="0" applyFont="1" applyBorder="1" applyAlignment="1" applyProtection="1">
      <alignment horizontal="left" vertical="center" wrapText="1"/>
    </xf>
    <xf numFmtId="0" fontId="14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39" fillId="2" borderId="0" xfId="0"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0" fontId="144" fillId="2" borderId="0" xfId="0" applyFont="1" applyFill="1" applyBorder="1" applyAlignment="1" applyProtection="1">
      <alignment vertical="center"/>
    </xf>
    <xf numFmtId="0" fontId="144"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5"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5"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5" fillId="2" borderId="108" xfId="0" applyFont="1" applyFill="1" applyBorder="1" applyAlignment="1" applyProtection="1">
      <alignment horizontal="center" vertical="center" wrapText="1"/>
    </xf>
    <xf numFmtId="0" fontId="145" fillId="2" borderId="107"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8" fillId="2" borderId="67" xfId="0" applyFont="1" applyFill="1" applyBorder="1" applyAlignment="1" applyProtection="1">
      <alignment horizontal="center" vertical="center" wrapText="1"/>
    </xf>
    <xf numFmtId="0" fontId="135"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49" fillId="2" borderId="6"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192" fontId="90" fillId="2" borderId="1" xfId="0" applyNumberFormat="1" applyFont="1" applyFill="1" applyBorder="1" applyAlignment="1" applyProtection="1">
      <alignment horizontal="center" vertical="center" wrapText="1"/>
    </xf>
    <xf numFmtId="0" fontId="149" fillId="2" borderId="9" xfId="0" applyFont="1" applyFill="1" applyBorder="1" applyAlignment="1" applyProtection="1">
      <alignment horizontal="center" vertical="center" wrapText="1"/>
    </xf>
    <xf numFmtId="0" fontId="149" fillId="2" borderId="5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49" fillId="2" borderId="8" xfId="0" applyFont="1" applyFill="1" applyBorder="1" applyAlignment="1" applyProtection="1">
      <alignment horizontal="center" vertical="center" wrapText="1"/>
    </xf>
    <xf numFmtId="192"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4"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4"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4"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84"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4"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4"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1" fillId="0" borderId="10" xfId="0" applyFont="1" applyFill="1" applyBorder="1" applyAlignment="1" applyProtection="1">
      <alignment horizontal="center" vertical="center" wrapText="1"/>
      <protection locked="0"/>
    </xf>
    <xf numFmtId="0" fontId="151" fillId="0" borderId="12" xfId="0" applyFont="1" applyFill="1" applyBorder="1" applyAlignment="1" applyProtection="1">
      <alignment horizontal="center" vertical="center" wrapText="1"/>
      <protection locked="0"/>
    </xf>
    <xf numFmtId="0" fontId="151"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89" fontId="151" fillId="2" borderId="3" xfId="0" applyNumberFormat="1"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0" fontId="152" fillId="2" borderId="1" xfId="0" applyNumberFormat="1" applyFont="1" applyFill="1" applyBorder="1" applyAlignment="1" applyProtection="1">
      <alignment horizontal="center" vertical="center"/>
    </xf>
    <xf numFmtId="9" fontId="152" fillId="2" borderId="1" xfId="0" applyNumberFormat="1" applyFont="1" applyFill="1" applyBorder="1" applyAlignment="1" applyProtection="1">
      <alignment horizontal="center" vertical="center"/>
    </xf>
    <xf numFmtId="0" fontId="152" fillId="2" borderId="9" xfId="0" applyFont="1" applyFill="1" applyBorder="1" applyAlignment="1" applyProtection="1">
      <alignment horizontal="center" vertical="center" wrapText="1"/>
    </xf>
    <xf numFmtId="9" fontId="152"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2" fillId="2" borderId="10" xfId="0" applyFont="1" applyFill="1" applyBorder="1" applyAlignment="1" applyProtection="1">
      <alignment vertical="center" wrapText="1"/>
    </xf>
    <xf numFmtId="0" fontId="152" fillId="2" borderId="12" xfId="0" applyFont="1" applyFill="1" applyBorder="1" applyAlignment="1" applyProtection="1">
      <alignment horizontal="center" vertical="center" wrapText="1"/>
    </xf>
    <xf numFmtId="0" fontId="152" fillId="2" borderId="11" xfId="0" applyFont="1" applyFill="1" applyBorder="1" applyAlignment="1" applyProtection="1">
      <alignment vertical="center" wrapText="1"/>
    </xf>
    <xf numFmtId="0" fontId="152" fillId="2" borderId="103" xfId="0" applyFont="1" applyFill="1" applyBorder="1" applyAlignment="1" applyProtection="1">
      <alignment vertical="center" wrapText="1"/>
    </xf>
    <xf numFmtId="0" fontId="152" fillId="2" borderId="104" xfId="0" applyFont="1" applyFill="1" applyBorder="1" applyAlignment="1" applyProtection="1">
      <alignment horizontal="center" vertical="center" wrapText="1"/>
    </xf>
    <xf numFmtId="0" fontId="152"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3"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4" fillId="2" borderId="1" xfId="0" applyFont="1" applyFill="1" applyBorder="1" applyAlignment="1">
      <alignment vertical="center" wrapText="1"/>
    </xf>
    <xf numFmtId="19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5" fillId="2" borderId="1" xfId="5" applyFont="1" applyFill="1" applyBorder="1" applyAlignment="1">
      <alignment horizontal="center" vertical="center" wrapText="1"/>
    </xf>
    <xf numFmtId="0" fontId="155" fillId="0" borderId="0" xfId="5" applyFont="1" applyBorder="1" applyAlignment="1">
      <alignment horizontal="left" vertical="center" wrapText="1"/>
    </xf>
    <xf numFmtId="14" fontId="155" fillId="2" borderId="1" xfId="5" applyNumberFormat="1" applyFont="1" applyFill="1" applyBorder="1" applyAlignment="1">
      <alignment horizontal="center" vertical="center" wrapText="1"/>
    </xf>
    <xf numFmtId="0" fontId="155" fillId="12"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5"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5" fillId="0" borderId="1" xfId="5" applyFont="1" applyBorder="1" applyAlignment="1" applyProtection="1">
      <alignment horizontal="left" vertical="center" wrapText="1"/>
      <protection locked="0"/>
    </xf>
    <xf numFmtId="0" fontId="156"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8"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7" fillId="2" borderId="0" xfId="0" applyFont="1" applyFill="1" applyBorder="1" applyAlignment="1" applyProtection="1">
      <alignment horizontal="center" vertical="center"/>
    </xf>
    <xf numFmtId="0" fontId="158" fillId="0" borderId="0" xfId="0" applyFont="1" applyBorder="1" applyAlignment="1" applyProtection="1">
      <alignment horizontal="center" vertical="center" wrapText="1"/>
      <protection locked="0"/>
    </xf>
    <xf numFmtId="0" fontId="157"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8" fillId="0" borderId="144" xfId="0" applyNumberFormat="1" applyFont="1" applyFill="1" applyBorder="1" applyAlignment="1" applyProtection="1">
      <alignment horizontal="center" vertical="center" wrapText="1"/>
      <protection locked="0"/>
    </xf>
    <xf numFmtId="0" fontId="158"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8" fillId="0" borderId="0" xfId="0" applyNumberFormat="1" applyFont="1" applyBorder="1" applyAlignment="1" applyProtection="1">
      <alignment horizontal="center" vertical="center" wrapText="1"/>
      <protection locked="0"/>
    </xf>
    <xf numFmtId="0" fontId="158" fillId="0" borderId="74" xfId="0" applyNumberFormat="1" applyFont="1" applyBorder="1" applyAlignment="1" applyProtection="1">
      <alignment horizontal="center" vertical="center" wrapText="1"/>
      <protection locked="0"/>
    </xf>
    <xf numFmtId="0" fontId="156" fillId="0" borderId="0" xfId="0" applyFont="1" applyAlignment="1" applyProtection="1">
      <alignment horizontal="center" vertical="center" wrapText="1"/>
      <protection locked="0"/>
    </xf>
    <xf numFmtId="0" fontId="156" fillId="0" borderId="0" xfId="0" applyNumberFormat="1" applyFont="1" applyFill="1" applyAlignment="1" applyProtection="1">
      <alignment horizontal="center" vertical="center" wrapText="1"/>
      <protection locked="0"/>
    </xf>
    <xf numFmtId="0" fontId="156" fillId="0" borderId="0" xfId="0" applyFont="1" applyFill="1" applyAlignment="1" applyProtection="1">
      <alignment horizontal="center" vertical="center" wrapText="1"/>
      <protection locked="0"/>
    </xf>
    <xf numFmtId="0" fontId="158" fillId="0" borderId="146" xfId="0" applyFont="1" applyBorder="1" applyAlignment="1" applyProtection="1">
      <alignment horizontal="center" vertical="center" wrapText="1"/>
      <protection locked="0"/>
    </xf>
    <xf numFmtId="0" fontId="156"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2" fontId="16" fillId="0" borderId="0" xfId="0" applyNumberFormat="1" applyFont="1" applyAlignment="1" applyProtection="1">
      <alignment vertical="center"/>
    </xf>
    <xf numFmtId="0" fontId="139" fillId="2" borderId="0" xfId="0" applyFont="1" applyFill="1" applyAlignment="1" applyProtection="1">
      <alignment vertical="center" wrapText="1"/>
    </xf>
    <xf numFmtId="0" fontId="16" fillId="2" borderId="0" xfId="0" applyFont="1" applyFill="1" applyAlignment="1" applyProtection="1">
      <alignment vertical="center"/>
    </xf>
    <xf numFmtId="19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92" fontId="27" fillId="2" borderId="106" xfId="0" applyNumberFormat="1" applyFont="1" applyFill="1" applyBorder="1" applyAlignment="1" applyProtection="1">
      <alignment vertical="center"/>
    </xf>
    <xf numFmtId="0" fontId="132" fillId="2" borderId="106" xfId="0" applyFont="1" applyFill="1" applyBorder="1" applyAlignment="1" applyProtection="1">
      <alignment vertical="center"/>
    </xf>
    <xf numFmtId="0" fontId="97"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184" fontId="132" fillId="2" borderId="6" xfId="12" applyNumberFormat="1" applyFont="1" applyFill="1" applyBorder="1" applyAlignment="1" applyProtection="1">
      <alignment horizontal="left" vertical="center"/>
    </xf>
    <xf numFmtId="184" fontId="41" fillId="2" borderId="1" xfId="12" applyNumberFormat="1" applyFont="1" applyFill="1" applyBorder="1" applyAlignment="1" applyProtection="1">
      <alignment vertical="center"/>
    </xf>
    <xf numFmtId="184" fontId="27" fillId="5" borderId="10" xfId="12" applyNumberFormat="1" applyFont="1" applyFill="1" applyBorder="1" applyAlignment="1" applyProtection="1">
      <alignment vertical="center"/>
      <protection locked="0"/>
    </xf>
    <xf numFmtId="184"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92" fontId="31" fillId="2" borderId="1" xfId="12" applyNumberFormat="1" applyFont="1" applyFill="1" applyBorder="1" applyAlignment="1" applyProtection="1">
      <alignment horizontal="center" vertical="center"/>
    </xf>
    <xf numFmtId="193" fontId="31" fillId="2" borderId="1" xfId="12" applyNumberFormat="1" applyFont="1" applyFill="1" applyBorder="1" applyAlignment="1" applyProtection="1">
      <alignment horizontal="center" vertical="center"/>
    </xf>
    <xf numFmtId="194" fontId="71" fillId="0" borderId="1" xfId="0" applyNumberFormat="1" applyFont="1" applyFill="1" applyBorder="1" applyAlignment="1" applyProtection="1">
      <alignment horizontal="center" vertical="center"/>
      <protection locked="0"/>
    </xf>
    <xf numFmtId="194" fontId="27" fillId="0" borderId="1" xfId="0" applyNumberFormat="1" applyFont="1" applyFill="1" applyBorder="1" applyAlignment="1" applyProtection="1">
      <alignment horizontal="center" vertical="center"/>
      <protection locked="0"/>
    </xf>
    <xf numFmtId="184" fontId="27" fillId="2" borderId="6" xfId="12" applyNumberFormat="1" applyFont="1" applyFill="1" applyBorder="1" applyAlignment="1" applyProtection="1">
      <alignment horizontal="left" vertical="center" wrapText="1"/>
    </xf>
    <xf numFmtId="184" fontId="27" fillId="2" borderId="1" xfId="12" applyNumberFormat="1" applyFont="1" applyFill="1" applyBorder="1" applyAlignment="1" applyProtection="1">
      <alignment vertical="center"/>
    </xf>
    <xf numFmtId="184" fontId="27" fillId="2" borderId="10" xfId="12" applyNumberFormat="1" applyFont="1" applyFill="1" applyBorder="1" applyAlignment="1" applyProtection="1">
      <alignment vertical="center"/>
    </xf>
    <xf numFmtId="194" fontId="29" fillId="2" borderId="1" xfId="0" applyNumberFormat="1" applyFont="1" applyFill="1" applyBorder="1" applyAlignment="1" applyProtection="1">
      <alignment horizontal="center" vertical="center"/>
    </xf>
    <xf numFmtId="184" fontId="132"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94"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1" fontId="31" fillId="2" borderId="4" xfId="12" applyNumberFormat="1" applyFont="1" applyFill="1" applyBorder="1" applyAlignment="1" applyProtection="1">
      <alignment vertical="center" wrapText="1"/>
    </xf>
    <xf numFmtId="181" fontId="31" fillId="0" borderId="13" xfId="12" applyNumberFormat="1" applyFont="1" applyFill="1" applyBorder="1" applyAlignment="1" applyProtection="1">
      <alignment horizontal="center" vertical="center"/>
      <protection locked="0"/>
    </xf>
    <xf numFmtId="0" fontId="132" fillId="2" borderId="0" xfId="0" applyFont="1" applyFill="1" applyAlignment="1" applyProtection="1">
      <alignment vertical="center"/>
      <protection locked="0"/>
    </xf>
    <xf numFmtId="181" fontId="31" fillId="2" borderId="6" xfId="12" applyNumberFormat="1" applyFont="1" applyFill="1" applyBorder="1" applyAlignment="1" applyProtection="1">
      <alignment vertical="center" wrapText="1"/>
    </xf>
    <xf numFmtId="181" fontId="27" fillId="0" borderId="14" xfId="12" applyNumberFormat="1" applyFont="1" applyFill="1" applyBorder="1" applyAlignment="1" applyProtection="1">
      <alignment horizontal="center" vertical="center"/>
      <protection locked="0"/>
    </xf>
    <xf numFmtId="181" fontId="27" fillId="2" borderId="6" xfId="12" applyNumberFormat="1" applyFont="1" applyFill="1" applyBorder="1" applyAlignment="1" applyProtection="1">
      <alignment vertical="center" wrapText="1"/>
    </xf>
    <xf numFmtId="181" fontId="31" fillId="2" borderId="14" xfId="12" applyNumberFormat="1" applyFont="1" applyFill="1" applyBorder="1" applyAlignment="1" applyProtection="1">
      <alignment horizontal="center" vertical="center"/>
    </xf>
    <xf numFmtId="181" fontId="31" fillId="2" borderId="7" xfId="12" applyNumberFormat="1" applyFont="1" applyFill="1" applyBorder="1" applyAlignment="1" applyProtection="1">
      <alignment vertical="center" wrapText="1"/>
    </xf>
    <xf numFmtId="18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15"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15" borderId="57" xfId="12" applyNumberFormat="1" applyFont="1" applyFill="1" applyBorder="1" applyAlignment="1" applyProtection="1">
      <alignment horizontal="center" vertical="center"/>
      <protection locked="0"/>
    </xf>
    <xf numFmtId="194"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94" fontId="16" fillId="16" borderId="14" xfId="0" applyNumberFormat="1" applyFont="1" applyFill="1" applyBorder="1" applyAlignment="1" applyProtection="1">
      <alignment horizontal="center" vertical="center"/>
      <protection locked="0"/>
    </xf>
    <xf numFmtId="0" fontId="17" fillId="15" borderId="14" xfId="12" applyNumberFormat="1" applyFont="1" applyFill="1" applyBorder="1" applyAlignment="1" applyProtection="1">
      <alignment horizontal="center" vertical="center"/>
      <protection locked="0"/>
    </xf>
    <xf numFmtId="194" fontId="16" fillId="0" borderId="15" xfId="0" applyNumberFormat="1" applyFont="1" applyFill="1" applyBorder="1" applyAlignment="1" applyProtection="1">
      <alignment horizontal="center" vertical="center"/>
      <protection locked="0"/>
    </xf>
    <xf numFmtId="194" fontId="16" fillId="16"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4"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6"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59"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2"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4"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9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92" fontId="27" fillId="2" borderId="6" xfId="12" applyNumberFormat="1" applyFont="1" applyFill="1" applyBorder="1" applyAlignment="1" applyProtection="1">
      <alignment horizontal="center" vertical="center"/>
    </xf>
    <xf numFmtId="184"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4" fontId="16" fillId="15" borderId="1" xfId="12" applyNumberFormat="1" applyFont="1" applyFill="1" applyBorder="1" applyAlignment="1" applyProtection="1">
      <alignment horizontal="center" vertical="center"/>
      <protection locked="0"/>
    </xf>
    <xf numFmtId="184"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84" fontId="27" fillId="15" borderId="1" xfId="12" applyNumberFormat="1" applyFont="1" applyFill="1" applyBorder="1" applyAlignment="1" applyProtection="1">
      <alignment horizontal="center" vertical="center"/>
      <protection locked="0"/>
    </xf>
    <xf numFmtId="184"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97"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9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4" fontId="27" fillId="0" borderId="1" xfId="0" applyNumberFormat="1" applyFont="1" applyBorder="1" applyAlignment="1" applyProtection="1">
      <alignment vertical="center"/>
      <protection locked="0"/>
    </xf>
    <xf numFmtId="194"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7" fillId="15" borderId="6" xfId="0"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2" fontId="27" fillId="2" borderId="7" xfId="12" applyNumberFormat="1" applyFont="1" applyFill="1" applyBorder="1" applyAlignment="1" applyProtection="1">
      <alignment horizontal="center" vertical="center"/>
    </xf>
    <xf numFmtId="192"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9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9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4" fontId="27" fillId="0" borderId="10" xfId="0" applyNumberFormat="1" applyFont="1" applyBorder="1" applyAlignment="1" applyProtection="1">
      <alignment horizontal="center" vertical="center"/>
      <protection locked="0"/>
    </xf>
    <xf numFmtId="10" fontId="27" fillId="15" borderId="1"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9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9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1" fontId="38" fillId="2" borderId="13" xfId="12"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1" fontId="36" fillId="2" borderId="39" xfId="12" applyNumberFormat="1" applyFont="1" applyFill="1" applyBorder="1" applyAlignment="1" applyProtection="1">
      <alignment horizontal="center" vertical="center"/>
    </xf>
    <xf numFmtId="181" fontId="36" fillId="2" borderId="78" xfId="12" applyNumberFormat="1" applyFont="1" applyFill="1" applyBorder="1" applyAlignment="1" applyProtection="1">
      <alignment horizontal="center" vertical="center"/>
    </xf>
    <xf numFmtId="18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4" fontId="24" fillId="0" borderId="1" xfId="12" applyNumberFormat="1" applyFont="1" applyFill="1" applyBorder="1" applyAlignment="1" applyProtection="1">
      <alignment vertical="center"/>
      <protection locked="0" hidden="1"/>
    </xf>
    <xf numFmtId="18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4" fontId="132"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4" fontId="27" fillId="0" borderId="1" xfId="12" applyNumberFormat="1" applyFont="1" applyFill="1" applyBorder="1" applyAlignment="1" applyProtection="1">
      <alignment vertical="center"/>
      <protection locked="0"/>
    </xf>
    <xf numFmtId="184" fontId="27" fillId="0" borderId="11" xfId="12" applyNumberFormat="1" applyFont="1" applyFill="1" applyBorder="1" applyAlignment="1" applyProtection="1">
      <alignment vertical="center"/>
      <protection locked="0"/>
    </xf>
    <xf numFmtId="181" fontId="27" fillId="2" borderId="1" xfId="0" applyNumberFormat="1" applyFont="1" applyFill="1" applyBorder="1" applyAlignment="1" applyProtection="1">
      <alignment horizontal="center" vertical="center"/>
    </xf>
    <xf numFmtId="18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92" fontId="38" fillId="2" borderId="97" xfId="0" applyNumberFormat="1" applyFont="1" applyFill="1" applyBorder="1" applyAlignment="1" applyProtection="1">
      <alignment vertical="center"/>
    </xf>
    <xf numFmtId="192" fontId="38" fillId="2" borderId="8" xfId="0" applyNumberFormat="1" applyFont="1" applyFill="1" applyBorder="1" applyAlignment="1" applyProtection="1">
      <alignment vertical="center"/>
    </xf>
    <xf numFmtId="192" fontId="38"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7" fillId="2" borderId="81" xfId="0" applyFont="1" applyFill="1" applyBorder="1" applyProtection="1">
      <alignment vertical="center"/>
      <protection locked="0"/>
    </xf>
    <xf numFmtId="18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92" fontId="38" fillId="5" borderId="14" xfId="0" applyNumberFormat="1" applyFont="1" applyFill="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8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Font="1">
      <alignment vertical="center"/>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39"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2" fontId="16" fillId="0" borderId="1" xfId="0" applyNumberFormat="1" applyFont="1" applyBorder="1" applyAlignment="1" applyProtection="1">
      <alignment horizontal="center" vertical="center" wrapText="1"/>
      <protection locked="0"/>
    </xf>
    <xf numFmtId="192"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wrapText="1"/>
    </xf>
    <xf numFmtId="192"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2" fontId="16" fillId="2" borderId="10" xfId="0" applyNumberFormat="1"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xf>
    <xf numFmtId="19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1" fontId="27" fillId="2" borderId="1"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protection locked="0"/>
    </xf>
    <xf numFmtId="181" fontId="27" fillId="2" borderId="3" xfId="0" applyNumberFormat="1" applyFont="1" applyFill="1" applyBorder="1" applyAlignment="1" applyProtection="1">
      <alignment horizontal="center" vertical="center" wrapText="1"/>
    </xf>
    <xf numFmtId="181" fontId="27" fillId="2" borderId="9" xfId="0" applyNumberFormat="1" applyFont="1" applyFill="1" applyBorder="1" applyAlignment="1" applyProtection="1">
      <alignment horizontal="center" vertical="center" wrapText="1"/>
    </xf>
    <xf numFmtId="0" fontId="118"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7" fillId="0" borderId="1" xfId="0" applyNumberFormat="1" applyFont="1" applyBorder="1" applyAlignment="1" applyProtection="1">
      <alignment vertical="center" wrapText="1"/>
      <protection locked="0"/>
    </xf>
    <xf numFmtId="0" fontId="160" fillId="0" borderId="1" xfId="0" applyFont="1" applyBorder="1" applyAlignment="1" applyProtection="1">
      <alignment horizontal="center" vertical="center"/>
      <protection locked="0"/>
    </xf>
    <xf numFmtId="19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2"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1"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2"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2"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9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7" fillId="2" borderId="14" xfId="0" applyNumberFormat="1" applyFont="1" applyFill="1" applyBorder="1" applyAlignment="1" applyProtection="1">
      <alignment horizontal="center" vertical="center" wrapText="1"/>
    </xf>
    <xf numFmtId="18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3" fillId="0" borderId="147" xfId="0" applyFont="1" applyBorder="1" applyAlignment="1" applyProtection="1">
      <alignment vertical="center" wrapText="1"/>
    </xf>
    <xf numFmtId="0" fontId="163" fillId="0" borderId="0" xfId="0" applyFont="1" applyAlignment="1" applyProtection="1">
      <alignment vertical="center" wrapText="1"/>
    </xf>
    <xf numFmtId="0" fontId="163" fillId="0" borderId="0" xfId="0" applyFont="1" applyAlignment="1" applyProtection="1">
      <alignment horizontal="center" vertical="center" wrapText="1"/>
    </xf>
    <xf numFmtId="49" fontId="163" fillId="0" borderId="20" xfId="0" applyNumberFormat="1" applyFont="1" applyBorder="1" applyAlignment="1" applyProtection="1">
      <alignment horizontal="center" vertical="center" wrapText="1"/>
    </xf>
    <xf numFmtId="49" fontId="163" fillId="0" borderId="0" xfId="0" applyNumberFormat="1" applyFont="1" applyAlignment="1" applyProtection="1">
      <alignment horizontal="center" vertical="center" wrapText="1"/>
    </xf>
    <xf numFmtId="0" fontId="163" fillId="2" borderId="60" xfId="0" applyFont="1" applyFill="1" applyBorder="1" applyAlignment="1" applyProtection="1">
      <alignment vertical="center" wrapText="1"/>
    </xf>
    <xf numFmtId="0" fontId="163" fillId="2" borderId="0" xfId="0" applyFont="1" applyFill="1" applyBorder="1" applyAlignment="1" applyProtection="1">
      <alignment vertical="center" wrapText="1"/>
    </xf>
    <xf numFmtId="0" fontId="163" fillId="0" borderId="0" xfId="0" applyFont="1" applyAlignment="1" applyProtection="1">
      <alignment vertical="center"/>
      <protection locked="0"/>
    </xf>
    <xf numFmtId="0" fontId="163" fillId="2" borderId="0" xfId="0" applyFont="1" applyFill="1" applyAlignment="1" applyProtection="1">
      <alignment vertical="center" wrapText="1"/>
    </xf>
    <xf numFmtId="0" fontId="163" fillId="2" borderId="1" xfId="0" applyFont="1" applyFill="1" applyBorder="1" applyAlignment="1" applyProtection="1">
      <alignment horizontal="left" vertical="center"/>
    </xf>
    <xf numFmtId="14" fontId="163" fillId="0" borderId="9" xfId="0" applyNumberFormat="1" applyFont="1" applyFill="1" applyBorder="1" applyAlignment="1" applyProtection="1">
      <alignment horizontal="left" vertical="center"/>
      <protection locked="0"/>
    </xf>
    <xf numFmtId="0" fontId="163" fillId="2" borderId="9" xfId="0" applyFont="1" applyFill="1" applyBorder="1" applyAlignment="1" applyProtection="1">
      <alignment vertical="center" wrapText="1"/>
    </xf>
    <xf numFmtId="0" fontId="163" fillId="2" borderId="83" xfId="0" applyFont="1" applyFill="1" applyBorder="1" applyAlignment="1" applyProtection="1">
      <alignment horizontal="left" vertical="center"/>
    </xf>
    <xf numFmtId="0" fontId="163" fillId="3" borderId="83" xfId="0" applyFont="1" applyFill="1" applyBorder="1" applyAlignment="1" applyProtection="1">
      <alignment vertical="center" wrapText="1"/>
      <protection locked="0"/>
    </xf>
    <xf numFmtId="0" fontId="163" fillId="2" borderId="83" xfId="0" applyFont="1" applyFill="1" applyBorder="1" applyAlignment="1" applyProtection="1">
      <alignment vertical="center" wrapText="1"/>
    </xf>
    <xf numFmtId="0" fontId="163" fillId="2" borderId="34" xfId="0" applyFont="1" applyFill="1" applyBorder="1" applyAlignment="1" applyProtection="1">
      <alignment vertical="center" wrapText="1"/>
    </xf>
    <xf numFmtId="0" fontId="163" fillId="6" borderId="10" xfId="0" applyFont="1" applyFill="1" applyBorder="1" applyAlignment="1" applyProtection="1">
      <alignment vertical="center"/>
      <protection locked="0"/>
    </xf>
    <xf numFmtId="0" fontId="163" fillId="6" borderId="89" xfId="0" applyFont="1" applyFill="1" applyBorder="1" applyAlignment="1" applyProtection="1">
      <alignment vertical="center" wrapText="1"/>
    </xf>
    <xf numFmtId="0" fontId="163" fillId="6" borderId="81" xfId="0" applyFont="1" applyFill="1" applyBorder="1" applyAlignment="1" applyProtection="1">
      <alignment vertical="center" wrapText="1"/>
    </xf>
    <xf numFmtId="0" fontId="163" fillId="6" borderId="12" xfId="0" applyFont="1" applyFill="1" applyBorder="1" applyAlignment="1" applyProtection="1">
      <alignment vertical="center" wrapText="1"/>
    </xf>
    <xf numFmtId="0" fontId="163" fillId="6" borderId="58" xfId="0" applyFont="1" applyFill="1" applyBorder="1" applyAlignment="1" applyProtection="1">
      <alignment vertical="center" wrapText="1"/>
    </xf>
    <xf numFmtId="0" fontId="163" fillId="2" borderId="18" xfId="0" applyFont="1" applyFill="1" applyBorder="1" applyAlignment="1" applyProtection="1">
      <alignment vertical="center" wrapText="1"/>
    </xf>
    <xf numFmtId="0" fontId="163" fillId="3" borderId="10" xfId="0" applyFont="1" applyFill="1" applyBorder="1" applyAlignment="1" applyProtection="1">
      <alignment horizontal="left" vertical="center" wrapText="1"/>
      <protection locked="0"/>
    </xf>
    <xf numFmtId="0" fontId="163" fillId="3" borderId="12" xfId="0" applyFont="1" applyFill="1" applyBorder="1" applyAlignment="1" applyProtection="1">
      <alignment vertical="center" wrapText="1"/>
    </xf>
    <xf numFmtId="0" fontId="163" fillId="3" borderId="10" xfId="0" applyFont="1" applyFill="1" applyBorder="1" applyAlignment="1" applyProtection="1">
      <alignment vertical="center" wrapText="1"/>
      <protection locked="0"/>
    </xf>
    <xf numFmtId="0" fontId="163" fillId="3" borderId="11" xfId="0" applyFont="1" applyFill="1" applyBorder="1" applyAlignment="1" applyProtection="1">
      <alignment vertical="center" wrapText="1"/>
    </xf>
    <xf numFmtId="0" fontId="163" fillId="2" borderId="103" xfId="0" applyFont="1" applyFill="1" applyBorder="1" applyAlignment="1" applyProtection="1">
      <alignment vertical="center" wrapText="1"/>
    </xf>
    <xf numFmtId="0" fontId="163" fillId="3" borderId="103" xfId="0" applyFont="1" applyFill="1" applyBorder="1" applyAlignment="1" applyProtection="1">
      <alignment horizontal="left" vertical="center"/>
      <protection locked="0"/>
    </xf>
    <xf numFmtId="0" fontId="163" fillId="3" borderId="104" xfId="0" applyFont="1" applyFill="1" applyBorder="1" applyAlignment="1" applyProtection="1">
      <alignment vertical="center" wrapText="1"/>
    </xf>
    <xf numFmtId="0" fontId="163" fillId="3" borderId="100" xfId="0" applyFont="1" applyFill="1" applyBorder="1" applyAlignment="1" applyProtection="1">
      <alignment vertical="center" wrapText="1"/>
    </xf>
    <xf numFmtId="0" fontId="163" fillId="2" borderId="2" xfId="0" applyFont="1" applyFill="1" applyBorder="1" applyAlignment="1" applyProtection="1">
      <alignment vertical="center" wrapText="1"/>
    </xf>
    <xf numFmtId="0" fontId="163" fillId="2" borderId="34" xfId="0" applyFont="1" applyFill="1" applyBorder="1" applyAlignment="1" applyProtection="1">
      <alignment horizontal="left" vertical="center"/>
    </xf>
    <xf numFmtId="0" fontId="163" fillId="5" borderId="81" xfId="0" applyFont="1" applyFill="1" applyBorder="1" applyAlignment="1" applyProtection="1">
      <alignment horizontal="left" vertical="center" wrapText="1"/>
      <protection locked="0"/>
    </xf>
    <xf numFmtId="0" fontId="163" fillId="6" borderId="89" xfId="0" applyFont="1" applyFill="1" applyBorder="1" applyAlignment="1" applyProtection="1">
      <alignment vertical="center" wrapText="1"/>
      <protection locked="0"/>
    </xf>
    <xf numFmtId="49" fontId="163" fillId="2" borderId="3" xfId="0" applyNumberFormat="1" applyFont="1" applyFill="1" applyBorder="1" applyAlignment="1" applyProtection="1">
      <alignment horizontal="left" vertical="center" wrapText="1"/>
    </xf>
    <xf numFmtId="49" fontId="164" fillId="0" borderId="34" xfId="0" applyNumberFormat="1" applyFont="1" applyFill="1" applyBorder="1" applyAlignment="1" applyProtection="1">
      <alignment horizontal="left" vertical="center"/>
      <protection locked="0"/>
    </xf>
    <xf numFmtId="0" fontId="163" fillId="0" borderId="89" xfId="0" applyFont="1" applyFill="1" applyBorder="1" applyAlignment="1" applyProtection="1">
      <alignment vertical="center" wrapText="1"/>
    </xf>
    <xf numFmtId="0" fontId="163" fillId="6" borderId="89" xfId="0" applyFont="1" applyFill="1" applyBorder="1" applyAlignment="1" applyProtection="1">
      <alignment horizontal="center" vertical="center" wrapText="1"/>
    </xf>
    <xf numFmtId="0" fontId="163" fillId="2" borderId="10" xfId="0" applyFont="1" applyFill="1" applyBorder="1" applyAlignment="1" applyProtection="1">
      <alignment vertical="center"/>
    </xf>
    <xf numFmtId="0" fontId="163" fillId="5" borderId="58" xfId="0" applyFont="1" applyFill="1" applyBorder="1" applyAlignment="1" applyProtection="1">
      <alignment horizontal="left" vertical="center" wrapText="1"/>
      <protection locked="0"/>
    </xf>
    <xf numFmtId="0" fontId="163" fillId="6" borderId="12" xfId="0" applyFont="1" applyFill="1" applyBorder="1" applyAlignment="1" applyProtection="1">
      <alignment vertical="center" wrapText="1"/>
      <protection locked="0"/>
    </xf>
    <xf numFmtId="0" fontId="163" fillId="6" borderId="11" xfId="0" applyFont="1" applyFill="1" applyBorder="1" applyAlignment="1" applyProtection="1">
      <alignment vertical="center" wrapText="1"/>
    </xf>
    <xf numFmtId="0" fontId="163" fillId="2" borderId="18" xfId="0" applyFont="1" applyFill="1" applyBorder="1" applyAlignment="1" applyProtection="1">
      <alignment vertical="center"/>
    </xf>
    <xf numFmtId="0" fontId="163" fillId="2" borderId="1" xfId="0" applyFont="1" applyFill="1" applyBorder="1" applyAlignment="1" applyProtection="1">
      <alignment vertical="center" wrapText="1"/>
    </xf>
    <xf numFmtId="0" fontId="163" fillId="2" borderId="1" xfId="0" applyFont="1" applyFill="1" applyBorder="1" applyAlignment="1" applyProtection="1">
      <alignment horizontal="left" vertical="center" wrapText="1"/>
    </xf>
    <xf numFmtId="0" fontId="163" fillId="3" borderId="12" xfId="0" applyFont="1" applyFill="1" applyBorder="1" applyAlignment="1" applyProtection="1">
      <alignment horizontal="center" vertical="center" wrapText="1"/>
      <protection locked="0"/>
    </xf>
    <xf numFmtId="0" fontId="163" fillId="2" borderId="1" xfId="0" applyFont="1" applyFill="1" applyBorder="1" applyAlignment="1" applyProtection="1">
      <alignment vertical="center"/>
    </xf>
    <xf numFmtId="0" fontId="163" fillId="3" borderId="1" xfId="0" applyFont="1" applyFill="1" applyBorder="1" applyAlignment="1" applyProtection="1">
      <alignment horizontal="center" vertical="center"/>
      <protection locked="0"/>
    </xf>
    <xf numFmtId="0" fontId="163" fillId="2" borderId="12" xfId="0" applyFont="1" applyFill="1" applyBorder="1" applyAlignment="1" applyProtection="1">
      <alignment vertical="center"/>
    </xf>
    <xf numFmtId="0" fontId="163" fillId="2" borderId="9" xfId="0" applyFont="1" applyFill="1" applyBorder="1" applyAlignment="1" applyProtection="1">
      <alignment horizontal="left" vertical="center"/>
    </xf>
    <xf numFmtId="49" fontId="163" fillId="2" borderId="1"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49" fontId="163" fillId="2" borderId="9" xfId="0" applyNumberFormat="1" applyFont="1" applyFill="1" applyBorder="1" applyAlignment="1" applyProtection="1">
      <alignment horizontal="left" vertical="center" wrapText="1"/>
    </xf>
    <xf numFmtId="0" fontId="163" fillId="3" borderId="9" xfId="0" applyFont="1" applyFill="1" applyBorder="1" applyAlignment="1" applyProtection="1">
      <alignment horizontal="center" vertical="center" wrapText="1"/>
      <protection locked="0"/>
    </xf>
    <xf numFmtId="0" fontId="163" fillId="3" borderId="1" xfId="0" applyFont="1" applyFill="1" applyBorder="1" applyAlignment="1" applyProtection="1">
      <alignment vertical="center" wrapText="1"/>
      <protection locked="0"/>
    </xf>
    <xf numFmtId="0" fontId="163" fillId="2" borderId="35" xfId="0" applyFont="1" applyFill="1" applyBorder="1" applyAlignment="1" applyProtection="1">
      <alignment horizontal="left" vertical="center"/>
    </xf>
    <xf numFmtId="0" fontId="163" fillId="5" borderId="35" xfId="0" applyFont="1" applyFill="1" applyBorder="1" applyAlignment="1" applyProtection="1">
      <alignment horizontal="left" vertical="center" wrapText="1"/>
    </xf>
    <xf numFmtId="0" fontId="163" fillId="2" borderId="89" xfId="0" applyFont="1" applyFill="1" applyBorder="1" applyAlignment="1" applyProtection="1">
      <alignment vertical="center" wrapText="1"/>
    </xf>
    <xf numFmtId="187" fontId="163" fillId="0" borderId="1" xfId="0" applyNumberFormat="1" applyFont="1" applyFill="1" applyBorder="1" applyAlignment="1" applyProtection="1">
      <alignment horizontal="center" vertical="center" shrinkToFit="1"/>
      <protection locked="0"/>
    </xf>
    <xf numFmtId="184" fontId="163" fillId="3" borderId="1" xfId="12" applyNumberFormat="1" applyFont="1" applyFill="1" applyBorder="1" applyAlignment="1" applyProtection="1">
      <alignment horizontal="center" vertical="center"/>
      <protection locked="0"/>
    </xf>
    <xf numFmtId="192" fontId="163" fillId="2" borderId="9" xfId="0" applyNumberFormat="1" applyFont="1" applyFill="1" applyBorder="1" applyAlignment="1" applyProtection="1">
      <alignment horizontal="center" vertical="center" wrapText="1"/>
    </xf>
    <xf numFmtId="192" fontId="163" fillId="2" borderId="1" xfId="0" applyNumberFormat="1" applyFont="1" applyFill="1" applyBorder="1" applyAlignment="1" applyProtection="1">
      <alignment horizontal="center" vertical="center" wrapText="1"/>
    </xf>
    <xf numFmtId="0" fontId="163" fillId="2" borderId="10" xfId="0" applyFont="1" applyFill="1" applyBorder="1" applyAlignment="1" applyProtection="1">
      <alignment horizontal="right" vertical="center" wrapText="1"/>
    </xf>
    <xf numFmtId="0" fontId="163" fillId="2" borderId="1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xf>
    <xf numFmtId="0" fontId="163" fillId="2" borderId="3" xfId="0" applyFont="1" applyFill="1" applyBorder="1" applyAlignment="1" applyProtection="1">
      <alignment horizontal="left" vertical="center"/>
    </xf>
    <xf numFmtId="0" fontId="163" fillId="2" borderId="3" xfId="0" applyFont="1" applyFill="1" applyBorder="1" applyAlignment="1" applyProtection="1">
      <alignment horizontal="center" vertical="center" wrapText="1"/>
    </xf>
    <xf numFmtId="0" fontId="163" fillId="2" borderId="3" xfId="0" applyFont="1" applyFill="1" applyBorder="1" applyAlignment="1" applyProtection="1">
      <alignment horizontal="left" vertical="center" wrapText="1"/>
    </xf>
    <xf numFmtId="0" fontId="134" fillId="3" borderId="3" xfId="0" applyFont="1" applyFill="1" applyBorder="1" applyAlignment="1" applyProtection="1">
      <alignment horizontal="left" vertical="center" wrapText="1"/>
      <protection locked="0"/>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vertical="center"/>
    </xf>
    <xf numFmtId="0" fontId="163" fillId="3" borderId="35" xfId="0" applyFont="1" applyFill="1" applyBorder="1" applyAlignment="1" applyProtection="1">
      <alignment horizontal="center" vertical="center" wrapText="1"/>
      <protection locked="0"/>
    </xf>
    <xf numFmtId="0" fontId="163" fillId="2" borderId="80" xfId="0" applyFont="1" applyFill="1" applyBorder="1" applyAlignment="1" applyProtection="1">
      <alignment horizontal="center" vertical="center" wrapText="1"/>
    </xf>
    <xf numFmtId="0" fontId="163" fillId="3" borderId="80" xfId="0" applyFont="1" applyFill="1" applyBorder="1" applyAlignment="1" applyProtection="1">
      <alignment horizontal="center" vertical="center" wrapText="1"/>
      <protection locked="0"/>
    </xf>
    <xf numFmtId="0" fontId="165" fillId="2" borderId="80" xfId="0" applyFont="1" applyFill="1" applyBorder="1" applyAlignment="1" applyProtection="1">
      <alignment vertical="center" wrapText="1"/>
    </xf>
    <xf numFmtId="0" fontId="163" fillId="3" borderId="86" xfId="0" applyFont="1" applyFill="1" applyBorder="1" applyAlignment="1" applyProtection="1">
      <alignment horizontal="center" vertical="center" wrapText="1"/>
      <protection locked="0"/>
    </xf>
    <xf numFmtId="0" fontId="163" fillId="2" borderId="9" xfId="0" applyFont="1" applyFill="1" applyBorder="1" applyAlignment="1" applyProtection="1">
      <alignment horizontal="right" vertical="center" wrapText="1"/>
    </xf>
    <xf numFmtId="0" fontId="163" fillId="2" borderId="98" xfId="0" applyFont="1" applyFill="1" applyBorder="1" applyAlignment="1" applyProtection="1">
      <alignment vertical="center"/>
    </xf>
    <xf numFmtId="0" fontId="163" fillId="2" borderId="35"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protection locked="0"/>
    </xf>
    <xf numFmtId="0" fontId="163" fillId="3" borderId="14" xfId="0" applyFont="1" applyFill="1" applyBorder="1" applyAlignment="1" applyProtection="1">
      <alignment horizontal="center" vertical="center" wrapText="1"/>
      <protection locked="0"/>
    </xf>
    <xf numFmtId="0" fontId="164" fillId="0" borderId="6" xfId="0" applyFont="1" applyBorder="1" applyAlignment="1" applyProtection="1">
      <alignment vertical="center" wrapText="1"/>
      <protection locked="0"/>
    </xf>
    <xf numFmtId="0" fontId="163" fillId="3" borderId="10" xfId="0" applyFont="1" applyFill="1" applyBorder="1" applyAlignment="1" applyProtection="1">
      <alignment horizontal="center" vertical="center" wrapText="1"/>
      <protection locked="0"/>
    </xf>
    <xf numFmtId="0" fontId="163" fillId="0" borderId="149" xfId="0" applyFont="1" applyBorder="1" applyAlignment="1" applyProtection="1">
      <alignment vertical="center" wrapText="1"/>
      <protection locked="0"/>
    </xf>
    <xf numFmtId="0" fontId="163" fillId="2" borderId="3"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shrinkToFit="1"/>
      <protection locked="0"/>
    </xf>
    <xf numFmtId="0" fontId="163" fillId="2" borderId="48" xfId="0" applyFont="1" applyFill="1" applyBorder="1" applyAlignment="1" applyProtection="1">
      <alignment vertical="center" wrapText="1"/>
    </xf>
    <xf numFmtId="0" fontId="163" fillId="2" borderId="2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wrapText="1"/>
    </xf>
    <xf numFmtId="187" fontId="164" fillId="0" borderId="14" xfId="0" applyNumberFormat="1" applyFont="1" applyFill="1" applyBorder="1" applyAlignment="1" applyProtection="1">
      <alignment horizontal="left" vertical="center" shrinkToFit="1"/>
      <protection locked="0"/>
    </xf>
    <xf numFmtId="0" fontId="163" fillId="2" borderId="4" xfId="0" applyFont="1" applyFill="1" applyBorder="1" applyAlignment="1" applyProtection="1">
      <alignment horizontal="right" vertical="center" wrapText="1"/>
    </xf>
    <xf numFmtId="187" fontId="164" fillId="0" borderId="44" xfId="0" applyNumberFormat="1" applyFont="1" applyFill="1" applyBorder="1" applyAlignment="1" applyProtection="1">
      <alignment horizontal="left" vertical="center" shrinkToFit="1"/>
      <protection locked="0"/>
    </xf>
    <xf numFmtId="0" fontId="163" fillId="2" borderId="68" xfId="0" applyFont="1" applyFill="1" applyBorder="1" applyAlignment="1" applyProtection="1">
      <alignment horizontal="left" vertical="center" wrapText="1"/>
    </xf>
    <xf numFmtId="0" fontId="164" fillId="0" borderId="14" xfId="0" applyFont="1" applyFill="1" applyBorder="1" applyAlignment="1" applyProtection="1">
      <alignment horizontal="left" vertical="center" wrapText="1"/>
      <protection locked="0"/>
    </xf>
    <xf numFmtId="0" fontId="163" fillId="2" borderId="6" xfId="0" applyFont="1" applyFill="1" applyBorder="1" applyAlignment="1" applyProtection="1">
      <alignment horizontal="right" vertical="center" wrapText="1"/>
    </xf>
    <xf numFmtId="0" fontId="164" fillId="0" borderId="46"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left" vertical="center" wrapText="1"/>
    </xf>
    <xf numFmtId="0" fontId="163" fillId="2" borderId="100" xfId="0" applyFont="1" applyFill="1" applyBorder="1" applyAlignment="1" applyProtection="1">
      <alignment horizontal="right" vertical="center" wrapText="1"/>
    </xf>
    <xf numFmtId="0" fontId="164" fillId="0" borderId="87"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right" vertical="center" wrapText="1"/>
    </xf>
    <xf numFmtId="0" fontId="164" fillId="0" borderId="102" xfId="0" applyFont="1" applyFill="1" applyBorder="1" applyAlignment="1" applyProtection="1">
      <alignment horizontal="left" vertical="center" wrapText="1"/>
      <protection locked="0"/>
    </xf>
    <xf numFmtId="0" fontId="163" fillId="2" borderId="151" xfId="0" applyFont="1" applyFill="1" applyBorder="1" applyAlignment="1" applyProtection="1">
      <alignment vertical="center" wrapText="1"/>
    </xf>
    <xf numFmtId="0" fontId="163" fillId="0" borderId="3" xfId="0" applyFont="1" applyBorder="1" applyAlignment="1" applyProtection="1">
      <alignment horizontal="left" vertical="center" wrapText="1"/>
      <protection locked="0"/>
    </xf>
    <xf numFmtId="0" fontId="163" fillId="5" borderId="10" xfId="0" applyFont="1" applyFill="1" applyBorder="1" applyAlignment="1" applyProtection="1">
      <alignment vertical="center"/>
      <protection locked="0"/>
    </xf>
    <xf numFmtId="0" fontId="163" fillId="5" borderId="11" xfId="0" applyFont="1" applyFill="1" applyBorder="1" applyAlignment="1" applyProtection="1">
      <alignment vertical="center"/>
    </xf>
    <xf numFmtId="0" fontId="163" fillId="2" borderId="10" xfId="0" applyFont="1" applyFill="1" applyBorder="1" applyAlignment="1" applyProtection="1">
      <alignment horizontal="left" vertical="center" wrapText="1"/>
    </xf>
    <xf numFmtId="0" fontId="163" fillId="3" borderId="1" xfId="0" applyFont="1" applyFill="1" applyBorder="1" applyAlignment="1" applyProtection="1">
      <alignment horizontal="center" vertical="center" wrapText="1"/>
      <protection locked="0"/>
    </xf>
    <xf numFmtId="0" fontId="163" fillId="2" borderId="10" xfId="0" applyFont="1" applyFill="1" applyBorder="1" applyAlignment="1" applyProtection="1">
      <alignment vertical="center" wrapText="1"/>
    </xf>
    <xf numFmtId="14" fontId="163" fillId="0" borderId="34" xfId="0" applyNumberFormat="1" applyFont="1" applyBorder="1" applyAlignment="1" applyProtection="1">
      <alignment vertical="center" wrapText="1"/>
      <protection locked="0"/>
    </xf>
    <xf numFmtId="0" fontId="163" fillId="2" borderId="81" xfId="0" applyFont="1" applyFill="1" applyBorder="1" applyAlignment="1" applyProtection="1">
      <alignment vertical="center" wrapText="1"/>
    </xf>
    <xf numFmtId="196" fontId="163" fillId="2" borderId="0" xfId="0" applyNumberFormat="1" applyFont="1" applyFill="1" applyBorder="1" applyAlignment="1" applyProtection="1">
      <alignment vertical="center" wrapText="1"/>
    </xf>
    <xf numFmtId="0" fontId="163" fillId="2" borderId="74" xfId="0" applyFont="1" applyFill="1" applyBorder="1" applyAlignment="1" applyProtection="1">
      <alignment vertical="center"/>
    </xf>
    <xf numFmtId="0" fontId="163"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3" fillId="2" borderId="11" xfId="0" applyNumberFormat="1" applyFont="1" applyFill="1" applyBorder="1" applyAlignment="1" applyProtection="1">
      <alignment horizontal="center" vertical="center" wrapText="1"/>
    </xf>
    <xf numFmtId="0" fontId="163" fillId="2" borderId="35" xfId="0" applyFont="1" applyFill="1" applyBorder="1" applyAlignment="1" applyProtection="1">
      <alignment vertical="center" wrapText="1"/>
    </xf>
    <xf numFmtId="0" fontId="163" fillId="0" borderId="1" xfId="0" applyFont="1" applyBorder="1" applyAlignment="1" applyProtection="1">
      <alignment horizontal="center" vertical="center" wrapText="1"/>
      <protection locked="0"/>
    </xf>
    <xf numFmtId="0" fontId="163" fillId="2" borderId="3" xfId="0" applyFont="1" applyFill="1" applyBorder="1" applyAlignment="1" applyProtection="1">
      <alignment vertical="center" wrapText="1"/>
    </xf>
    <xf numFmtId="49" fontId="163" fillId="3" borderId="1" xfId="0" applyNumberFormat="1" applyFont="1" applyFill="1" applyBorder="1" applyAlignment="1" applyProtection="1">
      <alignment horizontal="center" vertical="center" wrapText="1"/>
      <protection locked="0"/>
    </xf>
    <xf numFmtId="49" fontId="163"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3" fillId="2" borderId="147" xfId="0" applyFont="1" applyFill="1" applyBorder="1" applyAlignment="1" applyProtection="1">
      <alignment vertical="center" wrapText="1"/>
    </xf>
    <xf numFmtId="0" fontId="166" fillId="2" borderId="10" xfId="0" applyFont="1" applyFill="1" applyBorder="1" applyAlignment="1" applyProtection="1">
      <alignment vertical="center"/>
    </xf>
    <xf numFmtId="0" fontId="163" fillId="2" borderId="12" xfId="0" applyFont="1" applyFill="1" applyBorder="1" applyAlignment="1" applyProtection="1">
      <alignment vertical="center" wrapText="1"/>
    </xf>
    <xf numFmtId="0" fontId="163" fillId="0" borderId="1" xfId="0" applyFont="1" applyBorder="1" applyAlignment="1" applyProtection="1">
      <alignment vertical="center" wrapText="1"/>
    </xf>
    <xf numFmtId="0" fontId="163" fillId="0" borderId="1" xfId="0" applyFont="1" applyBorder="1" applyAlignment="1" applyProtection="1">
      <alignment horizontal="center" vertical="center" wrapText="1"/>
    </xf>
    <xf numFmtId="0" fontId="163" fillId="2" borderId="20" xfId="0" applyNumberFormat="1" applyFont="1" applyFill="1" applyBorder="1" applyAlignment="1" applyProtection="1">
      <alignment horizontal="left" vertical="center"/>
    </xf>
    <xf numFmtId="49" fontId="163" fillId="2" borderId="0" xfId="0" applyNumberFormat="1" applyFont="1" applyFill="1" applyAlignment="1" applyProtection="1">
      <alignment horizontal="center" vertical="center" wrapText="1"/>
    </xf>
    <xf numFmtId="0" fontId="163" fillId="2" borderId="0" xfId="0" applyFont="1" applyFill="1" applyAlignment="1" applyProtection="1">
      <alignment horizontal="center" vertical="center" wrapText="1"/>
    </xf>
    <xf numFmtId="49" fontId="163" fillId="2" borderId="20" xfId="0" applyNumberFormat="1" applyFont="1" applyFill="1" applyBorder="1" applyAlignment="1" applyProtection="1">
      <alignment horizontal="center" vertical="center" wrapText="1"/>
    </xf>
    <xf numFmtId="0" fontId="163" fillId="2" borderId="20" xfId="0" applyNumberFormat="1" applyFont="1" applyFill="1" applyBorder="1" applyAlignment="1" applyProtection="1">
      <alignment horizontal="center" vertical="center" wrapText="1"/>
    </xf>
    <xf numFmtId="0" fontId="163" fillId="2" borderId="0" xfId="0" applyFont="1" applyFill="1" applyBorder="1" applyAlignment="1" applyProtection="1">
      <alignment horizontal="center" vertical="center" wrapText="1"/>
    </xf>
    <xf numFmtId="0" fontId="163" fillId="2" borderId="2" xfId="0" applyFont="1" applyFill="1" applyBorder="1" applyAlignment="1" applyProtection="1">
      <alignment horizontal="center" vertical="center" wrapText="1"/>
    </xf>
    <xf numFmtId="0" fontId="163" fillId="2" borderId="11" xfId="0" applyFont="1" applyFill="1" applyBorder="1" applyAlignment="1" applyProtection="1">
      <alignment vertical="center"/>
    </xf>
    <xf numFmtId="0" fontId="163" fillId="2" borderId="1" xfId="0" applyNumberFormat="1" applyFont="1" applyFill="1" applyBorder="1" applyAlignment="1" applyProtection="1">
      <alignment horizontal="center" vertical="center" wrapText="1"/>
    </xf>
    <xf numFmtId="0" fontId="163" fillId="2" borderId="0" xfId="0" applyFont="1" applyFill="1" applyBorder="1" applyAlignment="1" applyProtection="1">
      <alignment vertical="center"/>
    </xf>
    <xf numFmtId="0" fontId="163" fillId="2" borderId="20" xfId="0" applyFont="1" applyFill="1" applyBorder="1" applyAlignment="1" applyProtection="1">
      <alignment vertical="center" wrapText="1"/>
    </xf>
    <xf numFmtId="49" fontId="163" fillId="2" borderId="20" xfId="0" applyNumberFormat="1" applyFont="1" applyFill="1" applyBorder="1" applyAlignment="1" applyProtection="1">
      <alignment horizontal="left" vertical="center"/>
    </xf>
    <xf numFmtId="0" fontId="163" fillId="0" borderId="1" xfId="0" applyFont="1" applyBorder="1" applyAlignment="1" applyProtection="1">
      <alignment vertical="center"/>
    </xf>
    <xf numFmtId="0" fontId="163" fillId="2" borderId="147" xfId="0" applyFont="1" applyFill="1" applyBorder="1" applyAlignment="1" applyProtection="1">
      <alignment horizontal="center" vertical="center" wrapText="1"/>
    </xf>
    <xf numFmtId="49" fontId="163" fillId="2" borderId="152" xfId="0" applyNumberFormat="1" applyFont="1" applyFill="1" applyBorder="1" applyAlignment="1" applyProtection="1">
      <alignment horizontal="center" vertical="center" wrapText="1"/>
    </xf>
    <xf numFmtId="49" fontId="163" fillId="2" borderId="147" xfId="0" applyNumberFormat="1" applyFont="1" applyFill="1" applyBorder="1" applyAlignment="1" applyProtection="1">
      <alignment horizontal="center" vertical="center" wrapText="1"/>
    </xf>
    <xf numFmtId="49" fontId="163" fillId="2" borderId="10" xfId="0" applyNumberFormat="1" applyFont="1" applyFill="1" applyBorder="1" applyAlignment="1" applyProtection="1">
      <alignment horizontal="center" vertical="center" wrapText="1"/>
    </xf>
    <xf numFmtId="0" fontId="163" fillId="0" borderId="10" xfId="0" applyFont="1" applyBorder="1" applyAlignment="1" applyProtection="1">
      <alignment horizontal="center" vertical="center" wrapText="1"/>
    </xf>
    <xf numFmtId="49" fontId="163" fillId="0" borderId="1" xfId="0" applyNumberFormat="1" applyFont="1" applyBorder="1" applyAlignment="1" applyProtection="1">
      <alignment horizontal="center" vertical="center" wrapText="1"/>
    </xf>
    <xf numFmtId="49" fontId="163" fillId="0" borderId="10" xfId="0" applyNumberFormat="1" applyFont="1" applyBorder="1" applyAlignment="1" applyProtection="1">
      <alignment vertical="center" wrapText="1"/>
    </xf>
    <xf numFmtId="195" fontId="163"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14" fontId="108" fillId="0" borderId="0" xfId="15" applyNumberFormat="1" applyFont="1" applyAlignment="1">
      <alignment horizontal="left" vertical="center"/>
    </xf>
    <xf numFmtId="0" fontId="122" fillId="0" borderId="0" xfId="15" applyFont="1" applyAlignment="1">
      <alignment horizontal="left" vertical="center"/>
    </xf>
    <xf numFmtId="0" fontId="167" fillId="0" borderId="9" xfId="15" applyFont="1" applyFill="1" applyBorder="1" applyAlignment="1">
      <alignment horizontal="left" vertical="center"/>
    </xf>
    <xf numFmtId="0" fontId="167" fillId="0" borderId="1" xfId="15" applyFont="1" applyFill="1" applyBorder="1" applyAlignment="1">
      <alignment horizontal="left" vertical="center"/>
    </xf>
    <xf numFmtId="0" fontId="167" fillId="0" borderId="10" xfId="15" applyFont="1" applyFill="1" applyBorder="1" applyAlignment="1">
      <alignment horizontal="left" vertical="center"/>
    </xf>
    <xf numFmtId="189" fontId="167" fillId="0" borderId="1" xfId="15" applyNumberFormat="1" applyFont="1" applyFill="1" applyBorder="1" applyAlignment="1">
      <alignment horizontal="left" vertical="center"/>
    </xf>
    <xf numFmtId="187" fontId="167" fillId="0" borderId="1" xfId="15" applyNumberFormat="1" applyFont="1" applyFill="1" applyBorder="1" applyAlignment="1">
      <alignment horizontal="left" vertical="center"/>
    </xf>
    <xf numFmtId="189" fontId="167" fillId="0" borderId="10" xfId="15" applyNumberFormat="1" applyFont="1" applyFill="1" applyBorder="1" applyAlignment="1">
      <alignment horizontal="left" vertical="center"/>
    </xf>
    <xf numFmtId="0" fontId="167" fillId="0" borderId="153" xfId="15" applyFont="1" applyFill="1" applyBorder="1" applyAlignment="1">
      <alignment horizontal="left" vertical="center"/>
    </xf>
    <xf numFmtId="187" fontId="167" fillId="0" borderId="9" xfId="15" applyNumberFormat="1" applyFont="1" applyFill="1" applyBorder="1" applyAlignment="1">
      <alignment horizontal="left" vertical="center"/>
    </xf>
    <xf numFmtId="189" fontId="167" fillId="0" borderId="9" xfId="15" applyNumberFormat="1" applyFont="1" applyFill="1" applyBorder="1" applyAlignment="1">
      <alignment horizontal="left" vertical="center"/>
    </xf>
    <xf numFmtId="0" fontId="168" fillId="0" borderId="1" xfId="15" applyFont="1" applyFill="1" applyBorder="1" applyAlignment="1">
      <alignment horizontal="left" vertical="center"/>
    </xf>
    <xf numFmtId="0" fontId="167" fillId="0" borderId="1" xfId="15" applyFont="1" applyBorder="1" applyAlignment="1">
      <alignment horizontal="left" vertical="center"/>
    </xf>
    <xf numFmtId="0" fontId="108" fillId="0" borderId="1" xfId="15" applyFont="1" applyBorder="1" applyAlignment="1">
      <alignment horizontal="left" vertical="center"/>
    </xf>
    <xf numFmtId="187" fontId="167" fillId="0" borderId="1" xfId="0" applyNumberFormat="1" applyFont="1" applyFill="1" applyBorder="1" applyAlignment="1">
      <alignment horizontal="left" vertical="center"/>
    </xf>
    <xf numFmtId="14" fontId="108" fillId="0" borderId="1" xfId="15" applyNumberFormat="1" applyFont="1" applyBorder="1" applyAlignment="1">
      <alignment horizontal="left" vertical="center"/>
    </xf>
    <xf numFmtId="14" fontId="107" fillId="0" borderId="0" xfId="15"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39"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69"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1" fontId="27" fillId="0" borderId="0" xfId="0" applyNumberFormat="1" applyFont="1" applyAlignment="1" applyProtection="1">
      <alignment horizontal="left" vertical="center"/>
    </xf>
    <xf numFmtId="0" fontId="170" fillId="0" borderId="0" xfId="0" applyFont="1" applyAlignment="1">
      <alignment vertical="center" wrapText="1"/>
    </xf>
    <xf numFmtId="0" fontId="170" fillId="0" borderId="0" xfId="0" applyFont="1" applyAlignment="1">
      <alignment horizontal="center" vertical="center" wrapText="1"/>
    </xf>
    <xf numFmtId="0" fontId="170" fillId="0" borderId="89" xfId="0" applyFont="1" applyBorder="1" applyAlignment="1">
      <alignment vertical="center" wrapText="1"/>
    </xf>
    <xf numFmtId="0" fontId="170" fillId="0" borderId="0" xfId="0" applyFont="1" applyAlignment="1">
      <alignment horizontal="right" vertical="center" wrapText="1"/>
    </xf>
    <xf numFmtId="0" fontId="164" fillId="0" borderId="0" xfId="0" applyFont="1" applyAlignment="1">
      <alignment horizontal="center" vertical="center" wrapText="1"/>
    </xf>
    <xf numFmtId="0" fontId="170" fillId="0" borderId="0" xfId="0" applyFont="1" applyAlignment="1">
      <alignment horizontal="right" vertical="center"/>
    </xf>
    <xf numFmtId="189" fontId="171" fillId="0" borderId="0" xfId="0" applyNumberFormat="1" applyFont="1" applyAlignment="1" applyProtection="1">
      <alignment horizontal="right" vertical="center" shrinkToFit="1"/>
      <protection locked="0"/>
    </xf>
    <xf numFmtId="0" fontId="173" fillId="0" borderId="0" xfId="0" applyFont="1">
      <alignment vertical="center"/>
    </xf>
    <xf numFmtId="0" fontId="173" fillId="0" borderId="1" xfId="0" applyFont="1" applyBorder="1" applyAlignment="1" applyProtection="1">
      <alignment horizontal="center" vertical="center" wrapText="1"/>
      <protection locked="0"/>
    </xf>
    <xf numFmtId="0" fontId="173" fillId="0" borderId="1" xfId="0" applyFont="1" applyBorder="1" applyAlignment="1" applyProtection="1">
      <alignment horizontal="center" vertical="center" wrapText="1"/>
    </xf>
    <xf numFmtId="0" fontId="173" fillId="0" borderId="1" xfId="0" applyFont="1" applyBorder="1" applyAlignment="1">
      <alignment horizontal="left" vertical="center" wrapText="1"/>
    </xf>
    <xf numFmtId="49" fontId="173" fillId="0" borderId="1" xfId="0" applyNumberFormat="1"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3" fillId="0" borderId="1" xfId="0" applyFont="1" applyBorder="1" applyAlignment="1">
      <alignment horizontal="center" vertical="center" wrapText="1"/>
    </xf>
    <xf numFmtId="0" fontId="173" fillId="0" borderId="0" xfId="0" applyFont="1" applyAlignment="1">
      <alignment horizontal="left" vertical="center"/>
    </xf>
    <xf numFmtId="0" fontId="177" fillId="0" borderId="0" xfId="0" applyFont="1" applyAlignment="1">
      <alignment vertical="center"/>
    </xf>
    <xf numFmtId="0" fontId="17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7" fillId="0" borderId="0" xfId="0" applyFont="1">
      <alignment vertical="center"/>
    </xf>
    <xf numFmtId="0" fontId="173" fillId="0" borderId="0" xfId="0" applyFont="1" applyAlignment="1">
      <alignment horizontal="right" vertical="center"/>
    </xf>
    <xf numFmtId="0" fontId="175" fillId="0" borderId="1" xfId="0" applyFont="1" applyBorder="1" applyAlignment="1">
      <alignment horizontal="center" vertical="center" wrapText="1"/>
    </xf>
    <xf numFmtId="0" fontId="178" fillId="0" borderId="1" xfId="0" applyFont="1" applyBorder="1" applyAlignment="1">
      <alignment horizontal="center" vertical="center" wrapText="1"/>
    </xf>
    <xf numFmtId="0" fontId="53" fillId="0" borderId="0" xfId="0" applyFont="1" applyProtection="1">
      <alignment vertical="center"/>
    </xf>
    <xf numFmtId="0" fontId="179" fillId="0" borderId="0" xfId="0" applyFont="1" applyBorder="1" applyAlignment="1" applyProtection="1">
      <alignment horizontal="center" vertical="center"/>
    </xf>
    <xf numFmtId="0" fontId="53" fillId="0" borderId="0" xfId="0" applyFont="1" applyBorder="1" applyProtection="1">
      <alignment vertical="center"/>
    </xf>
    <xf numFmtId="0" fontId="180" fillId="0" borderId="0" xfId="0" applyFont="1" applyAlignment="1" applyProtection="1">
      <alignment horizontal="left" vertical="center"/>
    </xf>
    <xf numFmtId="0" fontId="172" fillId="0" borderId="0" xfId="0" applyFont="1" applyAlignment="1" applyProtection="1">
      <alignment horizontal="left" vertical="center" wrapText="1"/>
    </xf>
    <xf numFmtId="0" fontId="181" fillId="0" borderId="0" xfId="0" applyFont="1" applyAlignment="1" applyProtection="1">
      <alignment horizontal="left" vertical="center"/>
    </xf>
    <xf numFmtId="0" fontId="182" fillId="0" borderId="0" xfId="0" applyFont="1" applyAlignment="1" applyProtection="1">
      <alignment horizontal="left" vertical="center" wrapText="1"/>
      <protection locked="0"/>
    </xf>
    <xf numFmtId="0" fontId="172" fillId="0" borderId="0" xfId="0" applyFont="1" applyFill="1" applyAlignment="1" applyProtection="1">
      <alignment horizontal="left" vertical="center" wrapText="1"/>
    </xf>
    <xf numFmtId="187" fontId="172"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2" fillId="0" borderId="0" xfId="0" applyFont="1" applyAlignment="1" applyProtection="1">
      <alignment horizontal="left" vertical="top" wrapText="1"/>
    </xf>
    <xf numFmtId="0" fontId="182" fillId="0" borderId="0" xfId="0" applyFont="1" applyAlignment="1" applyProtection="1">
      <alignment horizontal="left" vertical="top" wrapText="1"/>
    </xf>
    <xf numFmtId="0" fontId="172" fillId="0" borderId="0" xfId="0" applyFont="1">
      <alignment vertical="center"/>
    </xf>
    <xf numFmtId="0" fontId="53" fillId="0" borderId="0" xfId="0" applyFont="1" applyAlignment="1" applyProtection="1">
      <alignment horizontal="left" vertical="center"/>
    </xf>
    <xf numFmtId="0" fontId="172" fillId="0" borderId="0" xfId="0" applyFont="1" applyAlignment="1" applyProtection="1">
      <alignment horizontal="left" vertical="center"/>
      <protection locked="0"/>
    </xf>
    <xf numFmtId="0" fontId="183" fillId="0" borderId="0" xfId="0" applyFont="1" applyAlignment="1" applyProtection="1">
      <alignment horizontal="left" vertical="center" wrapText="1"/>
      <protection locked="0"/>
    </xf>
    <xf numFmtId="0" fontId="184" fillId="0" borderId="0" xfId="15" applyFont="1">
      <alignment vertical="center"/>
    </xf>
    <xf numFmtId="0" fontId="224" fillId="0" borderId="0" xfId="15">
      <alignment vertical="center"/>
    </xf>
    <xf numFmtId="0" fontId="184" fillId="0" borderId="0" xfId="15" applyFont="1" applyAlignment="1">
      <alignment vertical="top" wrapText="1"/>
    </xf>
    <xf numFmtId="0" fontId="160" fillId="0" borderId="2" xfId="0" applyFont="1" applyBorder="1">
      <alignment vertical="center"/>
    </xf>
    <xf numFmtId="0" fontId="160" fillId="0" borderId="90" xfId="0" applyFont="1" applyBorder="1" applyProtection="1">
      <alignment vertical="center"/>
      <protection locked="0"/>
    </xf>
    <xf numFmtId="0" fontId="160" fillId="0" borderId="0" xfId="0" applyFont="1" applyFill="1" applyBorder="1" applyProtection="1">
      <alignment vertical="center"/>
    </xf>
    <xf numFmtId="0" fontId="160" fillId="0" borderId="0" xfId="0" applyFont="1" applyBorder="1" applyProtection="1">
      <alignment vertical="center"/>
      <protection locked="0"/>
    </xf>
    <xf numFmtId="0" fontId="160" fillId="0" borderId="90" xfId="0" applyFont="1" applyBorder="1">
      <alignment vertical="center"/>
    </xf>
    <xf numFmtId="0" fontId="160" fillId="0" borderId="0" xfId="0" applyFont="1" applyBorder="1">
      <alignment vertical="center"/>
    </xf>
    <xf numFmtId="0" fontId="160" fillId="0" borderId="0" xfId="0" applyFont="1" applyBorder="1" applyAlignment="1">
      <alignment vertical="center" wrapText="1"/>
    </xf>
    <xf numFmtId="0" fontId="160" fillId="0" borderId="0" xfId="0" applyFont="1" applyBorder="1" applyAlignment="1">
      <alignment horizontal="left" vertical="center"/>
    </xf>
    <xf numFmtId="0" fontId="160" fillId="0" borderId="0" xfId="0" applyFont="1">
      <alignment vertical="center"/>
    </xf>
    <xf numFmtId="0" fontId="160"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0" fillId="0" borderId="85" xfId="0" applyFont="1" applyBorder="1" applyAlignment="1">
      <alignment vertical="center" wrapText="1"/>
    </xf>
    <xf numFmtId="0" fontId="160" fillId="0" borderId="85" xfId="0" applyFont="1" applyBorder="1" applyAlignment="1" applyProtection="1">
      <alignment horizontal="left" vertical="center"/>
    </xf>
    <xf numFmtId="0" fontId="160" fillId="0" borderId="1" xfId="0" applyFont="1" applyBorder="1" applyAlignment="1">
      <alignment vertical="center" wrapText="1"/>
    </xf>
    <xf numFmtId="0" fontId="160" fillId="0" borderId="1" xfId="0" applyFont="1" applyFill="1" applyBorder="1" applyAlignment="1" applyProtection="1">
      <alignment horizontal="left" vertical="center"/>
    </xf>
    <xf numFmtId="0" fontId="160" fillId="0" borderId="1" xfId="0" applyFont="1" applyBorder="1" applyAlignment="1" applyProtection="1">
      <alignment horizontal="left" vertical="center"/>
    </xf>
    <xf numFmtId="0" fontId="160" fillId="0" borderId="83" xfId="0" applyFont="1" applyBorder="1" applyAlignment="1">
      <alignment vertical="center" wrapText="1"/>
    </xf>
    <xf numFmtId="0" fontId="160" fillId="0" borderId="83" xfId="0" applyFont="1" applyBorder="1" applyAlignment="1" applyProtection="1">
      <alignment horizontal="left" vertical="center"/>
    </xf>
    <xf numFmtId="0" fontId="160" fillId="0" borderId="3" xfId="0" applyFont="1" applyBorder="1" applyAlignment="1">
      <alignment vertical="center" wrapText="1"/>
    </xf>
    <xf numFmtId="0" fontId="160" fillId="0" borderId="3" xfId="0" applyFont="1" applyBorder="1" applyAlignment="1" applyProtection="1">
      <alignment horizontal="left" vertical="center"/>
    </xf>
    <xf numFmtId="49" fontId="160" fillId="0" borderId="1" xfId="0" applyNumberFormat="1" applyFont="1" applyBorder="1" applyAlignment="1" applyProtection="1">
      <alignment horizontal="left" vertical="center"/>
    </xf>
    <xf numFmtId="0" fontId="160" fillId="0" borderId="85" xfId="0" applyFont="1" applyBorder="1">
      <alignment vertical="center"/>
    </xf>
    <xf numFmtId="0" fontId="160" fillId="0" borderId="1" xfId="0" applyFont="1" applyBorder="1">
      <alignment vertical="center"/>
    </xf>
    <xf numFmtId="49" fontId="160" fillId="0" borderId="90" xfId="0" applyNumberFormat="1" applyFont="1" applyBorder="1" applyProtection="1">
      <alignment vertical="center"/>
      <protection locked="0"/>
    </xf>
    <xf numFmtId="187" fontId="160" fillId="0" borderId="90" xfId="0" applyNumberFormat="1" applyFont="1" applyBorder="1" applyProtection="1">
      <alignment vertical="center"/>
      <protection locked="0"/>
    </xf>
    <xf numFmtId="0" fontId="160" fillId="0" borderId="1" xfId="0" applyNumberFormat="1" applyFont="1" applyBorder="1" applyAlignment="1" applyProtection="1">
      <alignment horizontal="left" vertical="center"/>
    </xf>
    <xf numFmtId="189" fontId="160" fillId="0" borderId="83" xfId="0" applyNumberFormat="1" applyFont="1" applyBorder="1" applyAlignment="1" applyProtection="1">
      <alignment horizontal="left" vertical="center"/>
    </xf>
    <xf numFmtId="0" fontId="160" fillId="0" borderId="83" xfId="0" applyNumberFormat="1" applyFont="1" applyBorder="1" applyAlignment="1" applyProtection="1">
      <alignment horizontal="left" vertical="center"/>
    </xf>
    <xf numFmtId="0" fontId="160" fillId="0" borderId="3" xfId="0" applyFont="1" applyBorder="1" applyAlignment="1">
      <alignment horizontal="left" vertical="center"/>
    </xf>
    <xf numFmtId="0" fontId="160" fillId="0" borderId="1" xfId="0" applyFont="1" applyBorder="1" applyAlignment="1">
      <alignment horizontal="left" vertical="center"/>
    </xf>
    <xf numFmtId="0" fontId="160" fillId="0" borderId="83" xfId="0" applyFont="1" applyBorder="1" applyAlignment="1">
      <alignment horizontal="left" vertical="center"/>
    </xf>
    <xf numFmtId="0" fontId="184" fillId="0" borderId="0" xfId="15" applyFont="1" applyAlignment="1" applyProtection="1">
      <alignment horizontal="left" vertical="top" wrapText="1"/>
    </xf>
    <xf numFmtId="0" fontId="172" fillId="0" borderId="0" xfId="0" applyFont="1" applyAlignment="1">
      <alignment horizontal="center" vertical="center"/>
    </xf>
    <xf numFmtId="0" fontId="173" fillId="0" borderId="1" xfId="0" applyFont="1" applyBorder="1" applyAlignment="1" applyProtection="1">
      <alignment horizontal="center" vertical="center" wrapText="1"/>
    </xf>
    <xf numFmtId="0" fontId="176" fillId="0" borderId="10" xfId="0" applyFont="1" applyBorder="1" applyAlignment="1">
      <alignment horizontal="center" vertical="center" wrapText="1"/>
    </xf>
    <xf numFmtId="0" fontId="176" fillId="0" borderId="12" xfId="0" applyFont="1" applyBorder="1" applyAlignment="1">
      <alignment horizontal="center" vertical="center" wrapText="1"/>
    </xf>
    <xf numFmtId="0" fontId="176" fillId="0" borderId="11" xfId="0" applyFont="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3" fillId="0" borderId="1" xfId="0" applyFont="1" applyBorder="1" applyAlignment="1" applyProtection="1">
      <alignment horizontal="center" vertical="center" wrapText="1"/>
      <protection locked="0"/>
    </xf>
    <xf numFmtId="0" fontId="174" fillId="0" borderId="1" xfId="0" applyFont="1" applyFill="1" applyBorder="1" applyAlignment="1" applyProtection="1">
      <alignment horizontal="center" vertical="center" wrapText="1"/>
      <protection locked="0"/>
    </xf>
    <xf numFmtId="0" fontId="170" fillId="0" borderId="0" xfId="0" applyFont="1" applyAlignment="1">
      <alignment vertical="center" wrapText="1"/>
    </xf>
    <xf numFmtId="0" fontId="170" fillId="0" borderId="0" xfId="0" applyFont="1" applyAlignment="1" applyProtection="1">
      <alignment vertical="center" wrapText="1"/>
      <protection locked="0"/>
    </xf>
    <xf numFmtId="0" fontId="164" fillId="0" borderId="0" xfId="0" applyFont="1" applyAlignment="1" applyProtection="1">
      <alignment vertical="center" wrapText="1"/>
      <protection locked="0"/>
    </xf>
    <xf numFmtId="0" fontId="170" fillId="0" borderId="0" xfId="0" applyFont="1" applyAlignment="1" applyProtection="1">
      <alignment vertical="center" wrapText="1"/>
    </xf>
    <xf numFmtId="49" fontId="164"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168" fillId="0" borderId="1" xfId="15" applyFont="1" applyFill="1" applyBorder="1" applyAlignment="1">
      <alignment horizontal="left" vertical="center"/>
    </xf>
    <xf numFmtId="0" fontId="167" fillId="0" borderId="1" xfId="15" applyFont="1" applyBorder="1" applyAlignment="1">
      <alignment horizontal="left" vertical="center"/>
    </xf>
    <xf numFmtId="0" fontId="101" fillId="2" borderId="0" xfId="0" applyFont="1" applyFill="1" applyBorder="1" applyAlignment="1" applyProtection="1">
      <alignment horizontal="center" vertical="center" wrapText="1"/>
    </xf>
    <xf numFmtId="0" fontId="163" fillId="2" borderId="63" xfId="0" applyFont="1" applyFill="1" applyBorder="1" applyAlignment="1" applyProtection="1">
      <alignment vertical="center" wrapText="1"/>
    </xf>
    <xf numFmtId="0" fontId="163" fillId="2" borderId="106" xfId="0" applyFont="1" applyFill="1" applyBorder="1" applyAlignment="1" applyProtection="1">
      <alignment vertical="center" wrapText="1"/>
    </xf>
    <xf numFmtId="0" fontId="163" fillId="2" borderId="107" xfId="0" applyFont="1" applyFill="1" applyBorder="1" applyAlignment="1" applyProtection="1">
      <alignment vertical="center" wrapText="1"/>
    </xf>
    <xf numFmtId="0" fontId="164" fillId="6" borderId="10" xfId="0" applyFont="1" applyFill="1" applyBorder="1" applyAlignment="1" applyProtection="1">
      <alignmen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protection locked="0"/>
    </xf>
    <xf numFmtId="0" fontId="164" fillId="6" borderId="10" xfId="0" applyFont="1" applyFill="1" applyBorder="1" applyAlignment="1" applyProtection="1">
      <alignment vertical="center"/>
      <protection locked="0"/>
    </xf>
    <xf numFmtId="0" fontId="164" fillId="6" borderId="12" xfId="0" applyFont="1" applyFill="1" applyBorder="1" applyAlignment="1" applyProtection="1">
      <alignment vertical="center"/>
      <protection locked="0"/>
    </xf>
    <xf numFmtId="0" fontId="164" fillId="6" borderId="11" xfId="0" applyFont="1" applyFill="1" applyBorder="1" applyAlignment="1" applyProtection="1">
      <alignment vertical="center"/>
      <protection locked="0"/>
    </xf>
    <xf numFmtId="192" fontId="163" fillId="6" borderId="10" xfId="0" applyNumberFormat="1" applyFont="1" applyFill="1" applyBorder="1" applyAlignment="1" applyProtection="1">
      <alignment horizontal="center" vertical="center" wrapText="1"/>
      <protection locked="0"/>
    </xf>
    <xf numFmtId="192" fontId="163" fillId="6" borderId="12" xfId="0" applyNumberFormat="1" applyFont="1" applyFill="1" applyBorder="1" applyAlignment="1" applyProtection="1">
      <alignment horizontal="center" vertical="center" wrapText="1"/>
      <protection locked="0"/>
    </xf>
    <xf numFmtId="192" fontId="163" fillId="6" borderId="11" xfId="0" applyNumberFormat="1" applyFont="1" applyFill="1" applyBorder="1" applyAlignment="1" applyProtection="1">
      <alignment horizontal="center" vertical="center" wrapText="1"/>
      <protection locked="0"/>
    </xf>
    <xf numFmtId="49" fontId="164" fillId="6" borderId="10" xfId="0" applyNumberFormat="1" applyFont="1" applyFill="1" applyBorder="1" applyAlignment="1" applyProtection="1">
      <alignment horizontal="left" vertical="center"/>
      <protection locked="0"/>
    </xf>
    <xf numFmtId="49" fontId="164" fillId="6" borderId="12" xfId="0" applyNumberFormat="1" applyFont="1" applyFill="1" applyBorder="1" applyAlignment="1" applyProtection="1">
      <alignment horizontal="left" vertical="center"/>
      <protection locked="0"/>
    </xf>
    <xf numFmtId="49" fontId="164" fillId="6" borderId="11" xfId="0" applyNumberFormat="1" applyFont="1" applyFill="1" applyBorder="1" applyAlignment="1" applyProtection="1">
      <alignment horizontal="left" vertical="center"/>
      <protection locked="0"/>
    </xf>
    <xf numFmtId="0" fontId="163" fillId="2" borderId="56" xfId="0" applyFont="1" applyFill="1" applyBorder="1" applyAlignment="1" applyProtection="1">
      <alignment horizontal="center" vertical="center"/>
    </xf>
    <xf numFmtId="0" fontId="163" fillId="2" borderId="13" xfId="0" applyFont="1" applyFill="1" applyBorder="1" applyAlignment="1" applyProtection="1">
      <alignment horizontal="center" vertical="center"/>
    </xf>
    <xf numFmtId="0" fontId="163" fillId="2" borderId="59" xfId="0" applyFont="1" applyFill="1" applyBorder="1" applyAlignment="1" applyProtection="1">
      <alignment horizontal="center" vertical="center"/>
    </xf>
    <xf numFmtId="0" fontId="163" fillId="2" borderId="78" xfId="0" applyFont="1" applyFill="1" applyBorder="1" applyAlignment="1" applyProtection="1">
      <alignment horizontal="center" vertical="center"/>
    </xf>
    <xf numFmtId="0" fontId="163" fillId="5" borderId="34" xfId="0" applyFont="1" applyFill="1" applyBorder="1" applyAlignment="1" applyProtection="1">
      <alignment horizontal="left" vertical="center" wrapText="1"/>
      <protection locked="0"/>
    </xf>
    <xf numFmtId="0" fontId="163" fillId="5" borderId="81" xfId="0" applyFont="1" applyFill="1" applyBorder="1" applyAlignment="1" applyProtection="1">
      <alignment horizontal="left" vertical="center" wrapText="1"/>
      <protection locked="0"/>
    </xf>
    <xf numFmtId="0" fontId="163" fillId="0" borderId="10" xfId="0" applyFont="1" applyBorder="1" applyAlignment="1" applyProtection="1">
      <alignment horizontal="left" vertical="center" wrapText="1"/>
      <protection locked="0"/>
    </xf>
    <xf numFmtId="0" fontId="163" fillId="0" borderId="58" xfId="0" applyFont="1" applyBorder="1" applyAlignment="1" applyProtection="1">
      <alignment horizontal="left" vertical="center" wrapText="1"/>
      <protection locked="0"/>
    </xf>
    <xf numFmtId="0" fontId="163" fillId="6" borderId="10" xfId="0" applyFont="1" applyFill="1" applyBorder="1" applyAlignment="1" applyProtection="1">
      <alignment horizontal="left" vertical="center" wrapText="1"/>
      <protection locked="0"/>
    </xf>
    <xf numFmtId="0" fontId="163" fillId="6" borderId="12" xfId="0" applyFont="1" applyFill="1" applyBorder="1" applyAlignment="1" applyProtection="1">
      <alignment horizontal="left" vertical="center" wrapText="1"/>
      <protection locked="0"/>
    </xf>
    <xf numFmtId="0" fontId="163" fillId="6" borderId="11" xfId="0" applyFont="1" applyFill="1" applyBorder="1" applyAlignment="1" applyProtection="1">
      <alignment horizontal="left" vertical="center" wrapText="1"/>
      <protection locked="0"/>
    </xf>
    <xf numFmtId="0" fontId="163" fillId="2" borderId="10" xfId="0" applyFont="1" applyFill="1" applyBorder="1" applyAlignment="1" applyProtection="1">
      <alignment horizontal="left" vertical="center" wrapText="1"/>
    </xf>
    <xf numFmtId="0" fontId="163" fillId="2" borderId="11" xfId="0" applyFont="1" applyFill="1" applyBorder="1" applyAlignment="1" applyProtection="1">
      <alignment horizontal="left" vertical="center" wrapText="1"/>
    </xf>
    <xf numFmtId="0" fontId="163" fillId="6" borderId="1" xfId="0" applyFont="1" applyFill="1" applyBorder="1" applyAlignment="1" applyProtection="1">
      <alignment vertical="center" wrapText="1"/>
      <protection locked="0"/>
    </xf>
    <xf numFmtId="0" fontId="163" fillId="0" borderId="1" xfId="0" applyFont="1" applyBorder="1" applyAlignment="1" applyProtection="1">
      <alignment vertical="center" wrapText="1"/>
      <protection locked="0"/>
    </xf>
    <xf numFmtId="49" fontId="163" fillId="2" borderId="1" xfId="0" applyNumberFormat="1" applyFont="1" applyFill="1" applyBorder="1" applyAlignment="1" applyProtection="1">
      <alignment horizontal="center" vertical="center" wrapText="1"/>
    </xf>
    <xf numFmtId="0" fontId="163" fillId="2" borderId="35" xfId="0" applyFont="1" applyFill="1" applyBorder="1" applyAlignment="1" applyProtection="1">
      <alignment horizontal="left" vertical="center"/>
    </xf>
    <xf numFmtId="0" fontId="163" fillId="2" borderId="3" xfId="0" applyFont="1" applyFill="1" applyBorder="1" applyAlignment="1" applyProtection="1">
      <alignment horizontal="left" vertical="center"/>
    </xf>
    <xf numFmtId="0" fontId="163" fillId="2" borderId="9" xfId="0" applyFont="1" applyFill="1" applyBorder="1" applyAlignment="1" applyProtection="1">
      <alignment horizontal="left" vertical="center"/>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horizontal="left" vertical="center" wrapText="1"/>
    </xf>
    <xf numFmtId="0" fontId="163" fillId="2" borderId="34" xfId="0" applyFont="1" applyFill="1" applyBorder="1" applyAlignment="1" applyProtection="1">
      <alignment horizontal="left" vertical="center" wrapText="1"/>
    </xf>
    <xf numFmtId="0" fontId="163" fillId="2" borderId="9" xfId="0" applyFont="1" applyFill="1" applyBorder="1" applyAlignment="1" applyProtection="1">
      <alignment horizontal="center" vertical="center" wrapText="1"/>
    </xf>
    <xf numFmtId="0" fontId="163" fillId="2" borderId="148" xfId="0" applyFont="1" applyFill="1" applyBorder="1" applyAlignment="1" applyProtection="1">
      <alignment horizontal="center" vertical="center" wrapText="1"/>
    </xf>
    <xf numFmtId="0" fontId="163" fillId="2" borderId="20" xfId="0" applyFont="1" applyFill="1" applyBorder="1" applyAlignment="1" applyProtection="1">
      <alignment horizontal="center" vertical="center" wrapText="1"/>
    </xf>
    <xf numFmtId="0" fontId="163" fillId="0" borderId="1" xfId="0" applyFont="1" applyBorder="1" applyAlignment="1" applyProtection="1">
      <alignment horizontal="center" vertical="center" wrapText="1"/>
    </xf>
    <xf numFmtId="0" fontId="83" fillId="0" borderId="1" xfId="0" applyFont="1" applyBorder="1" applyAlignment="1">
      <alignment horizontal="center" vertical="center" wrapText="1"/>
    </xf>
    <xf numFmtId="0" fontId="134"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157" fillId="2" borderId="143" xfId="0" applyFont="1" applyFill="1" applyBorder="1" applyAlignment="1" applyProtection="1">
      <alignment horizontal="center" vertical="center"/>
    </xf>
    <xf numFmtId="0" fontId="157" fillId="2" borderId="144" xfId="0" applyFont="1" applyFill="1" applyBorder="1" applyAlignment="1" applyProtection="1">
      <alignment horizontal="center" vertical="center"/>
    </xf>
    <xf numFmtId="0" fontId="135" fillId="0" borderId="105" xfId="0" applyFont="1" applyBorder="1" applyAlignment="1" applyProtection="1">
      <alignment horizontal="center" vertical="center"/>
      <protection locked="0"/>
    </xf>
    <xf numFmtId="0" fontId="135" fillId="0" borderId="106" xfId="0" applyFont="1" applyBorder="1" applyAlignment="1" applyProtection="1">
      <alignment horizontal="center" vertical="center"/>
      <protection locked="0"/>
    </xf>
    <xf numFmtId="0" fontId="135" fillId="0" borderId="17" xfId="0" applyFont="1" applyBorder="1" applyAlignment="1" applyProtection="1">
      <alignment horizontal="center" vertical="center"/>
      <protection locked="0"/>
    </xf>
    <xf numFmtId="0" fontId="135"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7" fillId="2" borderId="105"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0" fillId="2" borderId="3"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5" fillId="2" borderId="98" xfId="0" applyFont="1" applyFill="1" applyBorder="1" applyAlignment="1" applyProtection="1">
      <alignment horizontal="center" vertical="center" wrapText="1"/>
    </xf>
    <xf numFmtId="0" fontId="145" fillId="2" borderId="93" xfId="0" applyFont="1" applyFill="1" applyBorder="1" applyAlignment="1" applyProtection="1">
      <alignment horizontal="center" vertical="center" wrapText="1"/>
    </xf>
    <xf numFmtId="0" fontId="145" fillId="2" borderId="109"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40" xfId="10" applyFont="1" applyFill="1" applyBorder="1" applyAlignment="1" applyProtection="1">
      <alignment horizontal="center" vertical="center" wrapText="1"/>
    </xf>
    <xf numFmtId="0" fontId="102" fillId="2" borderId="71"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107"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10" applyFont="1" applyFill="1" applyBorder="1" applyAlignment="1" applyProtection="1">
      <alignment horizontal="center" vertical="center"/>
    </xf>
    <xf numFmtId="0" fontId="107" fillId="2" borderId="9" xfId="10" applyFont="1" applyFill="1" applyBorder="1" applyAlignment="1" applyProtection="1">
      <alignment horizontal="center" vertical="center"/>
    </xf>
    <xf numFmtId="0" fontId="107" fillId="2" borderId="35" xfId="10" applyFont="1" applyFill="1" applyBorder="1" applyAlignment="1" applyProtection="1">
      <alignment horizontal="center" vertical="center"/>
    </xf>
    <xf numFmtId="0" fontId="107" fillId="2" borderId="3" xfId="10" applyFont="1" applyFill="1" applyBorder="1" applyAlignment="1" applyProtection="1">
      <alignment horizontal="center" vertical="center"/>
    </xf>
    <xf numFmtId="0" fontId="107" fillId="2" borderId="9" xfId="10" applyFont="1" applyFill="1" applyBorder="1" applyAlignment="1" applyProtection="1">
      <alignment horizontal="center" vertical="center" wrapText="1"/>
    </xf>
    <xf numFmtId="0" fontId="107"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0" fillId="2" borderId="4" xfId="10" applyFont="1" applyFill="1" applyBorder="1" applyAlignment="1" applyProtection="1">
      <alignment horizontal="center" vertical="center" wrapText="1"/>
    </xf>
    <xf numFmtId="0" fontId="100" fillId="2" borderId="7" xfId="10"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8" fillId="13" borderId="117" xfId="3" applyFont="1" applyFill="1" applyBorder="1" applyAlignment="1" applyProtection="1">
      <alignment horizontal="center" vertical="center" wrapText="1"/>
    </xf>
    <xf numFmtId="0" fontId="98" fillId="13" borderId="118" xfId="3" applyFont="1" applyFill="1" applyBorder="1" applyAlignment="1" applyProtection="1">
      <alignment horizontal="center" vertical="center" wrapText="1"/>
    </xf>
    <xf numFmtId="0" fontId="98" fillId="13" borderId="119" xfId="3" applyFont="1" applyFill="1" applyBorder="1" applyAlignment="1" applyProtection="1">
      <alignment horizontal="center" vertical="center" wrapText="1"/>
    </xf>
    <xf numFmtId="0" fontId="98" fillId="13" borderId="120" xfId="3" applyFont="1" applyFill="1" applyBorder="1" applyAlignment="1" applyProtection="1">
      <alignment horizontal="center" vertical="center" wrapText="1"/>
    </xf>
    <xf numFmtId="0" fontId="98" fillId="13" borderId="121" xfId="3" applyFont="1" applyFill="1" applyBorder="1" applyAlignment="1" applyProtection="1">
      <alignment horizontal="center" vertical="center" wrapText="1"/>
    </xf>
    <xf numFmtId="0" fontId="71" fillId="13" borderId="121" xfId="3" applyFont="1" applyFill="1" applyBorder="1" applyAlignment="1" applyProtection="1">
      <alignment horizontal="center" vertical="center" wrapText="1"/>
    </xf>
    <xf numFmtId="0" fontId="71" fillId="13" borderId="117" xfId="3" applyFont="1" applyFill="1" applyBorder="1" applyAlignment="1" applyProtection="1">
      <alignment horizontal="center" vertical="center" wrapText="1"/>
    </xf>
    <xf numFmtId="0" fontId="71" fillId="13" borderId="120" xfId="3" applyFont="1" applyFill="1" applyBorder="1" applyAlignment="1" applyProtection="1">
      <alignment horizontal="center" vertical="center" wrapText="1"/>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1" fillId="2" borderId="0" xfId="0" applyFont="1" applyFill="1" applyAlignment="1" applyProtection="1">
      <alignment horizontal="left" vertical="center"/>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1" Type="http://schemas.openxmlformats.org/officeDocument/2006/relationships/image" Target="../media/image10.bmp"/></Relationships>
</file>

<file path=xl/drawings/_rels/drawing4.xml.rels><?xml version="1.0" encoding="UTF-8" standalone="yes"?>
<Relationships xmlns="http://schemas.openxmlformats.org/package/2006/relationships"><Relationship Id="rId2" Type="http://schemas.openxmlformats.org/officeDocument/2006/relationships/image" Target="../media/image12.bmp"/><Relationship Id="rId1"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499110</xdr:colOff>
      <xdr:row>0</xdr:row>
      <xdr:rowOff>0</xdr:rowOff>
    </xdr:from>
    <xdr:to>
      <xdr:col>22</xdr:col>
      <xdr:colOff>576056</xdr:colOff>
      <xdr:row>29</xdr:row>
      <xdr:rowOff>61425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4635" y="0"/>
          <a:ext cx="9678035" cy="5033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907435</xdr:colOff>
      <xdr:row>32</xdr:row>
      <xdr:rowOff>507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336915" cy="5486400"/>
        </a:xfrm>
        <a:prstGeom prst="rect">
          <a:avLst/>
        </a:prstGeom>
      </xdr:spPr>
    </xdr:pic>
    <xdr:clientData/>
  </xdr:twoCellAnchor>
  <xdr:twoCellAnchor editAs="oneCell">
    <xdr:from>
      <xdr:col>15</xdr:col>
      <xdr:colOff>0</xdr:colOff>
      <xdr:row>0</xdr:row>
      <xdr:rowOff>0</xdr:rowOff>
    </xdr:from>
    <xdr:to>
      <xdr:col>32</xdr:col>
      <xdr:colOff>595310</xdr:colOff>
      <xdr:row>32</xdr:row>
      <xdr:rowOff>8128</xdr:rowOff>
    </xdr:to>
    <xdr:pic>
      <xdr:nvPicPr>
        <xdr:cNvPr id="5" name="图片 4"/>
        <xdr:cNvPicPr>
          <a:picLocks noChangeAspect="1"/>
        </xdr:cNvPicPr>
      </xdr:nvPicPr>
      <xdr:blipFill>
        <a:blip xmlns:r="http://schemas.openxmlformats.org/officeDocument/2006/relationships" r:embed="rId2"/>
        <a:stretch>
          <a:fillRect/>
        </a:stretch>
      </xdr:blipFill>
      <xdr:spPr>
        <a:xfrm>
          <a:off x="13763625" y="0"/>
          <a:ext cx="12253595" cy="5494020"/>
        </a:xfrm>
        <a:prstGeom prst="rect">
          <a:avLst/>
        </a:prstGeom>
      </xdr:spPr>
    </xdr:pic>
    <xdr:clientData/>
  </xdr:twoCellAnchor>
  <xdr:twoCellAnchor editAs="oneCell">
    <xdr:from>
      <xdr:col>15</xdr:col>
      <xdr:colOff>0</xdr:colOff>
      <xdr:row>34</xdr:row>
      <xdr:rowOff>0</xdr:rowOff>
    </xdr:from>
    <xdr:to>
      <xdr:col>35</xdr:col>
      <xdr:colOff>275400</xdr:colOff>
      <xdr:row>71</xdr:row>
      <xdr:rowOff>38690</xdr:rowOff>
    </xdr:to>
    <xdr:pic>
      <xdr:nvPicPr>
        <xdr:cNvPr id="6" name="图片 5"/>
        <xdr:cNvPicPr>
          <a:picLocks noChangeAspect="1"/>
        </xdr:cNvPicPr>
      </xdr:nvPicPr>
      <xdr:blipFill>
        <a:blip xmlns:r="http://schemas.openxmlformats.org/officeDocument/2006/relationships" r:embed="rId3"/>
        <a:stretch>
          <a:fillRect/>
        </a:stretch>
      </xdr:blipFill>
      <xdr:spPr>
        <a:xfrm>
          <a:off x="13763625" y="5829300"/>
          <a:ext cx="13990955" cy="6381750"/>
        </a:xfrm>
        <a:prstGeom prst="rect">
          <a:avLst/>
        </a:prstGeom>
      </xdr:spPr>
    </xdr:pic>
    <xdr:clientData/>
  </xdr:twoCellAnchor>
  <xdr:twoCellAnchor editAs="oneCell">
    <xdr:from>
      <xdr:col>15</xdr:col>
      <xdr:colOff>0</xdr:colOff>
      <xdr:row>73</xdr:row>
      <xdr:rowOff>0</xdr:rowOff>
    </xdr:from>
    <xdr:to>
      <xdr:col>34</xdr:col>
      <xdr:colOff>100072</xdr:colOff>
      <xdr:row>107</xdr:row>
      <xdr:rowOff>0</xdr:rowOff>
    </xdr:to>
    <xdr:pic>
      <xdr:nvPicPr>
        <xdr:cNvPr id="7" name="图片 6"/>
        <xdr:cNvPicPr>
          <a:picLocks noChangeAspect="1"/>
        </xdr:cNvPicPr>
      </xdr:nvPicPr>
      <xdr:blipFill>
        <a:blip xmlns:r="http://schemas.openxmlformats.org/officeDocument/2006/relationships" r:embed="rId4"/>
        <a:stretch>
          <a:fillRect/>
        </a:stretch>
      </xdr:blipFill>
      <xdr:spPr>
        <a:xfrm>
          <a:off x="13763625" y="12515850"/>
          <a:ext cx="13129895" cy="5829300"/>
        </a:xfrm>
        <a:prstGeom prst="rect">
          <a:avLst/>
        </a:prstGeom>
      </xdr:spPr>
    </xdr:pic>
    <xdr:clientData/>
  </xdr:twoCellAnchor>
  <xdr:twoCellAnchor editAs="oneCell">
    <xdr:from>
      <xdr:col>15</xdr:col>
      <xdr:colOff>0</xdr:colOff>
      <xdr:row>108</xdr:row>
      <xdr:rowOff>0</xdr:rowOff>
    </xdr:from>
    <xdr:to>
      <xdr:col>34</xdr:col>
      <xdr:colOff>0</xdr:colOff>
      <xdr:row>143</xdr:row>
      <xdr:rowOff>122485</xdr:rowOff>
    </xdr:to>
    <xdr:pic>
      <xdr:nvPicPr>
        <xdr:cNvPr id="8" name="图片 7"/>
        <xdr:cNvPicPr>
          <a:picLocks noChangeAspect="1"/>
        </xdr:cNvPicPr>
      </xdr:nvPicPr>
      <xdr:blipFill>
        <a:blip xmlns:r="http://schemas.openxmlformats.org/officeDocument/2006/relationships" r:embed="rId5"/>
        <a:stretch>
          <a:fillRect/>
        </a:stretch>
      </xdr:blipFill>
      <xdr:spPr>
        <a:xfrm>
          <a:off x="13763625" y="18516600"/>
          <a:ext cx="13030200" cy="6122670"/>
        </a:xfrm>
        <a:prstGeom prst="rect">
          <a:avLst/>
        </a:prstGeom>
      </xdr:spPr>
    </xdr:pic>
    <xdr:clientData/>
  </xdr:twoCellAnchor>
  <xdr:twoCellAnchor editAs="oneCell">
    <xdr:from>
      <xdr:col>15</xdr:col>
      <xdr:colOff>0</xdr:colOff>
      <xdr:row>146</xdr:row>
      <xdr:rowOff>0</xdr:rowOff>
    </xdr:from>
    <xdr:to>
      <xdr:col>35</xdr:col>
      <xdr:colOff>62022</xdr:colOff>
      <xdr:row>180</xdr:row>
      <xdr:rowOff>99607</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63625" y="25031700"/>
          <a:ext cx="13777595" cy="592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564616</xdr:colOff>
      <xdr:row>18</xdr:row>
      <xdr:rowOff>76492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79915" cy="3162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61599</xdr:colOff>
      <xdr:row>28</xdr:row>
      <xdr:rowOff>122374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291195" cy="4922520"/>
        </a:xfrm>
        <a:prstGeom prst="rect">
          <a:avLst/>
        </a:prstGeom>
      </xdr:spPr>
    </xdr:pic>
    <xdr:clientData/>
  </xdr:twoCellAnchor>
  <xdr:twoCellAnchor editAs="oneCell">
    <xdr:from>
      <xdr:col>14</xdr:col>
      <xdr:colOff>0</xdr:colOff>
      <xdr:row>0</xdr:row>
      <xdr:rowOff>0</xdr:rowOff>
    </xdr:from>
    <xdr:to>
      <xdr:col>27</xdr:col>
      <xdr:colOff>556995</xdr:colOff>
      <xdr:row>22</xdr:row>
      <xdr:rowOff>145141</xdr:rowOff>
    </xdr:to>
    <xdr:pic>
      <xdr:nvPicPr>
        <xdr:cNvPr id="5" name="图片 4"/>
        <xdr:cNvPicPr>
          <a:picLocks noChangeAspect="1"/>
        </xdr:cNvPicPr>
      </xdr:nvPicPr>
      <xdr:blipFill>
        <a:blip xmlns:r="http://schemas.openxmlformats.org/officeDocument/2006/relationships" r:embed="rId2"/>
        <a:stretch>
          <a:fillRect/>
        </a:stretch>
      </xdr:blipFill>
      <xdr:spPr>
        <a:xfrm>
          <a:off x="9601200" y="0"/>
          <a:ext cx="9472295" cy="391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80016.02</v>
          </cell>
          <cell r="C14">
            <v>42708</v>
          </cell>
          <cell r="D14">
            <v>46939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本次估价的“抵押净值”是指估价对象“抵押价格”减去估价对象在估价期日以“土地销售收入”为基数计算的预计抵押权实现进行处置时需缴纳的各项费用、税金等相关费用后的价格。</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受贵公司委托，我公司对出让国有建设用地使用权抵押价格进行了预评估。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66881平方米。根据《建设工程规划许可证》[]、《出让合同》[]，估价对象规划建筑面积为128526.97平方米。</v>
      </c>
    </row>
    <row r="8" spans="1:55" s="3138" customFormat="1">
      <c r="A8" s="3146" t="s">
        <v>8</v>
      </c>
      <c r="B8" s="3148" t="str">
        <f>'预评函-1'!A7</f>
        <v>简述项目推广名，项目类型（用途），估价对象分布，各用途面积明细情况：XX用途建筑面积XX平方米，XX用途建筑面积XX平方米，……。复杂面积清单需设‘附表’列示：抵押物清单详见附表。</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2020年3月10日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根据《国有土地使用证》[]，估价对象（分摊）出让国有建设用地使用权面积为66881平方米。根据《建设工程规划许可证》[]、《出让合同》[]，估价对象规划建筑面积为128526.97平方米。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6月13日地下车库2063年6月13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估价期日：2020年3月10日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66881</v>
      </c>
    </row>
    <row r="44" spans="1:2">
      <c r="A44" s="3146" t="s">
        <v>44</v>
      </c>
      <c r="B44" s="3148" t="str">
        <f>'预评函-2'!O3</f>
        <v>规划建筑面积/㎡</v>
      </c>
    </row>
    <row r="45" spans="1:2">
      <c r="A45" s="3146" t="s">
        <v>45</v>
      </c>
      <c r="B45" s="3148">
        <f>'预评函-2'!O5</f>
        <v>128526.97</v>
      </c>
    </row>
    <row r="46" spans="1:2">
      <c r="A46" s="3146" t="s">
        <v>46</v>
      </c>
      <c r="B46" s="3148">
        <f ca="1">'预评函-2'!P5</f>
        <v>12263</v>
      </c>
    </row>
    <row r="47" spans="1:2">
      <c r="A47" s="3146" t="s">
        <v>47</v>
      </c>
      <c r="B47" s="3148">
        <f ca="1">'预评函-2'!Q5</f>
        <v>6381</v>
      </c>
    </row>
    <row r="48" spans="1:2">
      <c r="A48" s="3146" t="s">
        <v>48</v>
      </c>
      <c r="B48" s="3148">
        <f ca="1">'预评函-2'!R5</f>
        <v>82019</v>
      </c>
    </row>
    <row r="49" spans="1:2">
      <c r="A49" s="3146" t="s">
        <v>49</v>
      </c>
      <c r="B49" s="3148" t="str">
        <f>'预评函-2'!A6</f>
        <v>抵押价格</v>
      </c>
    </row>
    <row r="50" spans="1:2">
      <c r="A50" s="3146" t="s">
        <v>50</v>
      </c>
      <c r="B50" s="3148">
        <f ca="1">'预评函-2'!R6</f>
        <v>82019</v>
      </c>
    </row>
    <row r="51" spans="1:2">
      <c r="A51" s="3146" t="s">
        <v>51</v>
      </c>
      <c r="B51" s="3148" t="str">
        <f>'预评函-2'!A7</f>
        <v>——</v>
      </c>
    </row>
    <row r="52" spans="1:2">
      <c r="A52" s="3146" t="s">
        <v>52</v>
      </c>
      <c r="B52" s="3148" t="str">
        <f>'预评函-2'!R7</f>
        <v>——</v>
      </c>
    </row>
    <row r="53" spans="1:2">
      <c r="A53" s="3146" t="s">
        <v>53</v>
      </c>
      <c r="B53" s="3148">
        <f>'预评函-2'!A8</f>
        <v>0</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18" sqref="H18"/>
    </sheetView>
  </sheetViews>
  <sheetFormatPr defaultColWidth="10" defaultRowHeight="14.25"/>
  <cols>
    <col min="1" max="1" width="15.375" style="2877" customWidth="1"/>
    <col min="2" max="2" width="11.375" style="2877" customWidth="1"/>
    <col min="3" max="3" width="12.625" style="2877" customWidth="1"/>
    <col min="4" max="4" width="10" style="2877" customWidth="1"/>
    <col min="5" max="5" width="12.5" style="2877" customWidth="1"/>
    <col min="6" max="6" width="11.375" style="2877" customWidth="1"/>
    <col min="7" max="7" width="12.375" style="2877" customWidth="1"/>
    <col min="8" max="8" width="10" style="2877" customWidth="1"/>
    <col min="9" max="9" width="1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348</v>
      </c>
      <c r="B1" s="3192" t="str">
        <f>IF(B10="北京市","北京市",C10)&amp;F10&amp;B16&amp;"国有建设用地使用权"&amp;B9&amp;"预评估"</f>
        <v>出让国有建设用地使用权抵押价格预评估</v>
      </c>
      <c r="C1" s="3193"/>
      <c r="D1" s="3193"/>
      <c r="E1" s="3193"/>
      <c r="F1" s="3193"/>
      <c r="G1" s="3193"/>
      <c r="H1" s="3193"/>
      <c r="I1" s="3194"/>
      <c r="J1" s="2884"/>
      <c r="K1" s="3002" t="str">
        <f>IF(B10="北京市","北京市",C10)&amp;F10&amp;B16&amp;"国有建设用地使用权"&amp;B9</f>
        <v>出让国有建设用地使用权抵押价格</v>
      </c>
      <c r="L1" s="3003"/>
      <c r="M1" s="3003"/>
      <c r="N1" s="2884"/>
      <c r="O1" s="3004"/>
      <c r="P1" s="2884"/>
      <c r="Q1" s="2884"/>
      <c r="R1" s="2884"/>
      <c r="S1" s="2884"/>
      <c r="T1" s="2884"/>
      <c r="U1" s="2884"/>
    </row>
    <row r="2" spans="1:21">
      <c r="A2" s="2882" t="s">
        <v>349</v>
      </c>
      <c r="B2" s="2883"/>
      <c r="D2" s="2884"/>
      <c r="E2" s="2884"/>
      <c r="F2" s="2884"/>
      <c r="G2" s="2884"/>
      <c r="H2" s="2882"/>
      <c r="I2" s="3004"/>
      <c r="J2" s="2884"/>
      <c r="K2" s="3002" t="str">
        <f>IF(B10="北京市","北京市",C10)&amp;F10&amp;B16&amp;"国有建设用地使用权"</f>
        <v>出让国有建设用地使用权</v>
      </c>
      <c r="L2" s="3003"/>
      <c r="M2" s="3003"/>
      <c r="N2" s="2884"/>
      <c r="O2" s="3004"/>
      <c r="P2" s="2884"/>
      <c r="Q2" s="2884"/>
      <c r="R2" s="2884"/>
      <c r="S2" s="2884"/>
      <c r="T2" s="2884"/>
      <c r="U2" s="2884"/>
    </row>
    <row r="3" spans="1:21">
      <c r="A3" s="2885" t="s">
        <v>350</v>
      </c>
      <c r="B3" s="2886"/>
      <c r="C3" s="2887" t="s">
        <v>351</v>
      </c>
      <c r="D3" s="2886">
        <v>43900</v>
      </c>
      <c r="E3" s="2884"/>
      <c r="F3" s="2884"/>
      <c r="G3" s="2884"/>
      <c r="H3" s="2882"/>
      <c r="I3" s="3004"/>
      <c r="J3" s="2884"/>
      <c r="K3" s="3005"/>
      <c r="L3" s="3003"/>
      <c r="M3" s="3003"/>
      <c r="N3" s="2884"/>
      <c r="O3" s="3004"/>
      <c r="P3" s="2884"/>
      <c r="Q3" s="2884"/>
      <c r="R3" s="2884"/>
      <c r="S3" s="2884"/>
      <c r="T3" s="2884"/>
      <c r="U3" s="2884"/>
    </row>
    <row r="4" spans="1:21" ht="28.5">
      <c r="A4" s="2888" t="s">
        <v>352</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353</v>
      </c>
      <c r="B5" s="2892"/>
      <c r="C5" s="2893"/>
      <c r="D5" s="2894"/>
      <c r="E5" s="2884"/>
      <c r="F5" s="2884"/>
      <c r="G5" s="2884"/>
      <c r="H5" s="2882"/>
      <c r="I5" s="3004"/>
      <c r="J5" s="2884"/>
      <c r="K5" s="3005"/>
      <c r="L5" s="3003"/>
      <c r="M5" s="3003"/>
      <c r="N5" s="2884"/>
      <c r="O5" s="3004"/>
      <c r="P5" s="2884"/>
      <c r="Q5" s="2884"/>
      <c r="R5" s="2884"/>
      <c r="S5" s="2884"/>
      <c r="T5" s="2884"/>
      <c r="U5" s="2884"/>
    </row>
    <row r="6" spans="1:21" ht="26.25">
      <c r="A6" s="2887" t="s">
        <v>354</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355</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333</v>
      </c>
      <c r="B8" s="2898" t="s">
        <v>335</v>
      </c>
      <c r="C8" s="2899"/>
      <c r="D8" s="3229" t="s">
        <v>356</v>
      </c>
      <c r="E8" s="2900" t="s">
        <v>340</v>
      </c>
      <c r="F8" s="2901"/>
      <c r="G8" s="2882"/>
      <c r="H8" s="2882"/>
      <c r="I8" s="3007"/>
      <c r="J8" s="2884"/>
      <c r="K8" s="3005"/>
      <c r="L8" s="3003"/>
      <c r="M8" s="3003"/>
      <c r="N8" s="2884"/>
      <c r="O8" s="3004"/>
      <c r="P8" s="2884"/>
      <c r="Q8" s="2884"/>
      <c r="R8" s="2884"/>
      <c r="S8" s="2884"/>
      <c r="T8" s="2884"/>
      <c r="U8" s="2884"/>
    </row>
    <row r="9" spans="1:21">
      <c r="A9" s="2902" t="s">
        <v>357</v>
      </c>
      <c r="B9" s="2903" t="s">
        <v>340</v>
      </c>
      <c r="C9" s="2904"/>
      <c r="D9" s="3230"/>
      <c r="E9" s="2903"/>
      <c r="F9" s="2905"/>
      <c r="G9" s="2906"/>
      <c r="H9" s="2906"/>
      <c r="I9" s="3008"/>
      <c r="J9" s="2884"/>
      <c r="K9" s="3005"/>
      <c r="L9" s="3003"/>
      <c r="M9" s="3003"/>
      <c r="N9" s="2884"/>
      <c r="O9" s="3004"/>
      <c r="P9" s="2884"/>
      <c r="Q9" s="2884"/>
      <c r="R9" s="2884"/>
      <c r="S9" s="2884"/>
      <c r="T9" s="2884"/>
      <c r="U9" s="2884"/>
    </row>
    <row r="10" spans="1:21">
      <c r="A10" s="2907" t="s">
        <v>358</v>
      </c>
      <c r="B10" s="2908" t="s">
        <v>359</v>
      </c>
      <c r="C10" s="2909"/>
      <c r="D10" s="2894"/>
      <c r="E10" s="2910" t="s">
        <v>360</v>
      </c>
      <c r="F10" s="2911"/>
      <c r="G10" s="2912"/>
      <c r="H10" s="2913"/>
      <c r="I10" s="2894"/>
      <c r="J10" s="2884"/>
      <c r="K10" s="3005"/>
      <c r="L10" s="3003"/>
      <c r="M10" s="3003"/>
      <c r="N10" s="2884"/>
      <c r="O10" s="3004"/>
      <c r="P10" s="2884"/>
      <c r="Q10" s="2884"/>
      <c r="R10" s="2884"/>
      <c r="S10" s="2884"/>
      <c r="T10" s="2884"/>
      <c r="U10" s="2884"/>
    </row>
    <row r="11" spans="1:21">
      <c r="A11" s="2914" t="s">
        <v>361</v>
      </c>
      <c r="B11" s="2915" t="s">
        <v>362</v>
      </c>
      <c r="C11" s="2916"/>
      <c r="D11" s="2917"/>
      <c r="E11" s="2882"/>
      <c r="F11" s="2882"/>
      <c r="G11" s="2882"/>
      <c r="H11" s="2882"/>
      <c r="I11" s="2882"/>
      <c r="J11" s="2884"/>
      <c r="K11" s="3005"/>
      <c r="L11" s="3003"/>
      <c r="M11" s="3003"/>
      <c r="N11" s="2884"/>
      <c r="O11" s="3004"/>
      <c r="P11" s="2884"/>
      <c r="Q11" s="2884"/>
      <c r="R11" s="2884"/>
      <c r="S11" s="2884"/>
      <c r="T11" s="2884"/>
      <c r="U11" s="2884"/>
    </row>
    <row r="12" spans="1:21">
      <c r="A12" s="2918" t="s">
        <v>363</v>
      </c>
      <c r="B12" s="3195"/>
      <c r="C12" s="3196"/>
      <c r="D12" s="3197"/>
      <c r="E12" s="2919" t="s">
        <v>364</v>
      </c>
      <c r="F12" s="3198" t="s">
        <v>365</v>
      </c>
      <c r="G12" s="3199"/>
      <c r="H12" s="3199"/>
      <c r="I12" s="3200"/>
      <c r="J12" s="2884"/>
      <c r="K12" s="3005"/>
      <c r="L12" s="3003"/>
      <c r="M12" s="3003"/>
      <c r="N12" s="2884"/>
      <c r="O12" s="3004"/>
      <c r="P12" s="2884"/>
      <c r="Q12" s="2884"/>
      <c r="R12" s="2884"/>
      <c r="S12" s="2884"/>
      <c r="T12" s="2884"/>
      <c r="U12" s="2884"/>
    </row>
    <row r="13" spans="1:21">
      <c r="A13" s="2920" t="s">
        <v>366</v>
      </c>
      <c r="B13" s="3195"/>
      <c r="C13" s="3196"/>
      <c r="D13" s="3197"/>
      <c r="E13" s="2919" t="s">
        <v>364</v>
      </c>
      <c r="F13" s="3198" t="s">
        <v>367</v>
      </c>
      <c r="G13" s="3199"/>
      <c r="H13" s="3199"/>
      <c r="I13" s="3200"/>
      <c r="J13" s="2884"/>
      <c r="K13" s="3005"/>
      <c r="L13" s="3003"/>
      <c r="M13" s="3003"/>
      <c r="N13" s="2884"/>
      <c r="O13" s="3004"/>
      <c r="P13" s="2884"/>
      <c r="Q13" s="2884"/>
      <c r="R13" s="2884"/>
      <c r="S13" s="2884"/>
      <c r="T13" s="2884"/>
      <c r="U13" s="2884"/>
    </row>
    <row r="14" spans="1:21">
      <c r="A14" s="2885" t="s">
        <v>368</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369</v>
      </c>
      <c r="E15" s="2926" t="s">
        <v>370</v>
      </c>
      <c r="F15" s="2926" t="s">
        <v>371</v>
      </c>
      <c r="G15" s="2927" t="s">
        <v>372</v>
      </c>
      <c r="H15" s="2927" t="s">
        <v>373</v>
      </c>
      <c r="I15" s="2927" t="s">
        <v>164</v>
      </c>
      <c r="J15" s="2884"/>
      <c r="K15" s="3005"/>
      <c r="L15" s="3003"/>
      <c r="M15" s="3003"/>
      <c r="N15" s="2884"/>
      <c r="O15" s="3004"/>
      <c r="P15" s="2884"/>
      <c r="Q15" s="2884"/>
      <c r="R15" s="2884"/>
      <c r="S15" s="2884"/>
      <c r="T15" s="2884"/>
      <c r="U15" s="2884"/>
    </row>
    <row r="16" spans="1:21" ht="42.75">
      <c r="A16" s="2928" t="s">
        <v>374</v>
      </c>
      <c r="B16" s="2929" t="s">
        <v>375</v>
      </c>
      <c r="C16" s="2919" t="s">
        <v>345</v>
      </c>
      <c r="D16" s="2926" t="s">
        <v>369</v>
      </c>
      <c r="E16" s="2930"/>
      <c r="F16" s="2930"/>
      <c r="G16" s="2930" t="s">
        <v>376</v>
      </c>
      <c r="H16" s="2930"/>
      <c r="I16" s="2927" t="s">
        <v>164</v>
      </c>
      <c r="J16" s="2884"/>
      <c r="K16" s="3010" t="str">
        <f>IF(D17="","",D16&amp;TEXT(D17,"yyyy年m月d日;;"))</f>
        <v>住宅2083年6月13日</v>
      </c>
      <c r="L16" s="2919" t="str">
        <f>IF(OR(K16="",M16=""),"","、")</f>
        <v/>
      </c>
      <c r="M16" s="3010" t="str">
        <f>IF(E17="","",E16&amp;TEXT(E17,"yyyy年m月d日;;"))</f>
        <v/>
      </c>
      <c r="N16" s="2919" t="str">
        <f>IF(OR(M16="",O16=""),"","、")</f>
        <v/>
      </c>
      <c r="O16" s="3010" t="str">
        <f>IF(F17="","",F16&amp;TEXT(F17,"yyyy年m月d日;;"))</f>
        <v/>
      </c>
      <c r="P16" s="2919" t="str">
        <f>IF(OR(O16="",Q16=""),"","、")</f>
        <v/>
      </c>
      <c r="Q16" s="3010" t="str">
        <f>IF(G17="","",G16&amp;TEXT(G17,"yyyy年m月d日;;"))</f>
        <v>地下车库2063年6月13日</v>
      </c>
      <c r="R16" s="2919" t="str">
        <f>IF(OR(Q16="",S16=""),"","、")</f>
        <v/>
      </c>
      <c r="S16" s="3010" t="str">
        <f>IF(H17="","",H16&amp;TEXT(H17,"yyyy年m月d日;;"))</f>
        <v/>
      </c>
      <c r="T16" s="2919" t="str">
        <f>IF(OR(S16="",U16=""),"","、")</f>
        <v/>
      </c>
      <c r="U16" s="3010" t="str">
        <f>IF(I17="","",I16&amp;TEXT(I17,"yyyy年m月d日;;"))</f>
        <v/>
      </c>
    </row>
    <row r="17" spans="1:21">
      <c r="A17" s="2931"/>
      <c r="B17" s="2932"/>
      <c r="C17" s="2933" t="s">
        <v>377</v>
      </c>
      <c r="D17" s="2934">
        <v>67005</v>
      </c>
      <c r="E17" s="2934"/>
      <c r="F17" s="2934"/>
      <c r="G17" s="2934">
        <v>59700</v>
      </c>
      <c r="H17" s="2934"/>
      <c r="I17" s="2934"/>
      <c r="J17" s="2884"/>
      <c r="K17" s="3002" t="str">
        <f>CONCATENATE(K16,L16,M16,N16,O16,P16,Q16,R16,S16,T16,,U16)</f>
        <v>住宅2083年6月13日地下车库2063年6月13日</v>
      </c>
      <c r="L17" s="3003"/>
      <c r="M17" s="3003"/>
      <c r="N17" s="2884"/>
      <c r="O17" s="3004"/>
      <c r="P17" s="2884"/>
      <c r="Q17" s="2884"/>
      <c r="R17" s="2884"/>
      <c r="S17" s="2884"/>
      <c r="T17" s="2884"/>
      <c r="U17" s="2884"/>
    </row>
    <row r="18" spans="1:21">
      <c r="A18" s="2931"/>
      <c r="B18" s="2932"/>
      <c r="C18" s="2933" t="s">
        <v>378</v>
      </c>
      <c r="D18" s="2935">
        <v>70</v>
      </c>
      <c r="E18" s="2935"/>
      <c r="F18" s="2935"/>
      <c r="G18" s="2935">
        <v>50</v>
      </c>
      <c r="H18" s="2935"/>
      <c r="I18" s="2935"/>
      <c r="J18" s="2884"/>
      <c r="K18" s="3005"/>
      <c r="L18" s="3003"/>
      <c r="M18" s="3003"/>
      <c r="N18" s="2884"/>
      <c r="O18" s="3004"/>
      <c r="P18" s="2884"/>
      <c r="Q18" s="2884"/>
      <c r="R18" s="2884"/>
      <c r="S18" s="2884"/>
      <c r="T18" s="2884"/>
      <c r="U18" s="2884"/>
    </row>
    <row r="19" spans="1:21">
      <c r="A19" s="2931"/>
      <c r="B19" s="2932"/>
      <c r="C19" s="2882" t="s">
        <v>379</v>
      </c>
      <c r="D19" s="2936">
        <f>IF(B16="出让",IF(D17="","",ROUNDDOWN(MIN((D17-$D$3)/365,D18),2)),D18)</f>
        <v>63.3</v>
      </c>
      <c r="E19" s="2937" t="str">
        <f>IF(B16="出让",IF(E17="","",ROUNDDOWN(MIN((E17-$D$3)/365,E18),2)),E18)</f>
        <v/>
      </c>
      <c r="F19" s="2937" t="str">
        <f>IF(B16="出让",IF(F17="","",ROUNDDOWN(MIN((F17-$D$3)/365,F18),2)),F18)</f>
        <v/>
      </c>
      <c r="G19" s="2937">
        <f>IF(B16="出让",IF(G17="","",ROUNDDOWN(MIN((G17-$D$3)/365,G18),2)),G18)</f>
        <v>43.28</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380</v>
      </c>
      <c r="D20" s="3201"/>
      <c r="E20" s="3202"/>
      <c r="F20" s="3202"/>
      <c r="G20" s="3202"/>
      <c r="H20" s="3202"/>
      <c r="I20" s="3203"/>
      <c r="J20" s="2884"/>
      <c r="K20" s="3005"/>
      <c r="L20" s="3003"/>
      <c r="M20" s="3003"/>
      <c r="N20" s="2884"/>
      <c r="O20" s="3004"/>
      <c r="P20" s="2884"/>
      <c r="Q20" s="2884"/>
      <c r="R20" s="2884"/>
      <c r="S20" s="2884"/>
      <c r="T20" s="2884"/>
      <c r="U20" s="2884"/>
    </row>
    <row r="21" spans="1:21">
      <c r="A21" s="2931" t="s">
        <v>381</v>
      </c>
      <c r="B21" s="2941" t="s">
        <v>382</v>
      </c>
      <c r="C21" s="2942">
        <f>'数据-汇总表'!E3</f>
        <v>128526.97</v>
      </c>
      <c r="D21" s="2943" t="s">
        <v>383</v>
      </c>
      <c r="E21" s="3204" t="s">
        <v>384</v>
      </c>
      <c r="F21" s="3205"/>
      <c r="G21" s="3205"/>
      <c r="H21" s="3205"/>
      <c r="I21" s="3206"/>
      <c r="J21" s="2884"/>
      <c r="K21" s="3005"/>
      <c r="L21" s="3003"/>
      <c r="M21" s="3003"/>
      <c r="N21" s="2884"/>
      <c r="O21" s="3004"/>
      <c r="P21" s="2884"/>
      <c r="Q21" s="2884"/>
      <c r="R21" s="2884"/>
      <c r="S21" s="2884"/>
      <c r="T21" s="2884"/>
      <c r="U21" s="2884"/>
    </row>
    <row r="22" spans="1:21">
      <c r="A22" s="2944" t="s">
        <v>138</v>
      </c>
      <c r="B22" s="2885" t="s">
        <v>385</v>
      </c>
      <c r="C22" s="2927">
        <f>'数据-汇总表'!D3</f>
        <v>66881</v>
      </c>
      <c r="D22" s="2920" t="s">
        <v>383</v>
      </c>
      <c r="E22" s="3204" t="s">
        <v>365</v>
      </c>
      <c r="F22" s="3205"/>
      <c r="G22" s="3205"/>
      <c r="H22" s="3205"/>
      <c r="I22" s="3206"/>
      <c r="J22" s="2884"/>
      <c r="K22" s="3005"/>
      <c r="L22" s="3003"/>
      <c r="M22" s="3003"/>
      <c r="N22" s="2884"/>
      <c r="O22" s="3004"/>
      <c r="P22" s="2884"/>
      <c r="Q22" s="2884"/>
      <c r="R22" s="2884"/>
      <c r="S22" s="2884"/>
      <c r="T22" s="2884"/>
      <c r="U22" s="2884"/>
    </row>
    <row r="23" spans="1:21" ht="42.75">
      <c r="A23" s="2945" t="s">
        <v>386</v>
      </c>
      <c r="B23" s="2946" t="s">
        <v>387</v>
      </c>
      <c r="C23" s="2947"/>
      <c r="D23" s="2948" t="s">
        <v>388</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364</v>
      </c>
      <c r="B24" s="3207" t="s">
        <v>389</v>
      </c>
      <c r="C24" s="3208"/>
      <c r="D24" s="3209" t="s">
        <v>390</v>
      </c>
      <c r="E24" s="3210"/>
      <c r="F24" s="2953" t="s">
        <v>391</v>
      </c>
      <c r="G24" s="2884"/>
      <c r="H24" s="2884"/>
      <c r="I24" s="3007"/>
      <c r="J24" s="2884"/>
      <c r="K24" s="3231" t="s">
        <v>392</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28.5">
      <c r="A25" s="2954"/>
      <c r="B25" s="2955" t="s">
        <v>393</v>
      </c>
      <c r="C25" s="2956" t="s">
        <v>394</v>
      </c>
      <c r="D25" s="2957"/>
      <c r="E25" s="2958" t="s">
        <v>138</v>
      </c>
      <c r="F25" s="2959"/>
      <c r="G25" s="2884"/>
      <c r="H25" s="2884"/>
      <c r="I25" s="3007"/>
      <c r="J25" s="2884"/>
      <c r="K25" s="3231"/>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28.5">
      <c r="A26" s="2960"/>
      <c r="B26" s="2961" t="s">
        <v>395</v>
      </c>
      <c r="C26" s="2956" t="s">
        <v>396</v>
      </c>
      <c r="D26" s="2882"/>
      <c r="E26" s="2882"/>
      <c r="F26" s="2962"/>
      <c r="G26" s="2884"/>
      <c r="H26" s="2884"/>
      <c r="I26" s="3007"/>
      <c r="J26" s="2884"/>
      <c r="K26" s="3231"/>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397</v>
      </c>
      <c r="B27" s="2964" t="s">
        <v>398</v>
      </c>
      <c r="C27" s="2965"/>
      <c r="D27" s="2966" t="s">
        <v>398</v>
      </c>
      <c r="E27" s="2967"/>
      <c r="F27" s="2962"/>
      <c r="G27" s="2884"/>
      <c r="H27" s="2884"/>
      <c r="I27" s="3007"/>
      <c r="J27" s="2884"/>
      <c r="K27" s="3005"/>
      <c r="L27" s="3003"/>
      <c r="M27" s="3003"/>
      <c r="N27" s="2884"/>
      <c r="O27" s="3004"/>
      <c r="P27" s="2884"/>
      <c r="Q27" s="2884"/>
      <c r="R27" s="2884"/>
      <c r="S27" s="2884"/>
      <c r="T27" s="2884"/>
      <c r="U27" s="2884"/>
    </row>
    <row r="28" spans="1:21">
      <c r="A28" s="2968"/>
      <c r="B28" s="2964" t="s">
        <v>399</v>
      </c>
      <c r="C28" s="2969"/>
      <c r="D28" s="2970" t="s">
        <v>399</v>
      </c>
      <c r="E28" s="2971"/>
      <c r="F28" s="2962"/>
      <c r="G28" s="2884"/>
      <c r="H28" s="2884"/>
      <c r="I28" s="3007"/>
      <c r="J28" s="2884"/>
      <c r="K28" s="3005"/>
      <c r="L28" s="3003"/>
      <c r="M28" s="3003"/>
      <c r="N28" s="2884"/>
      <c r="O28" s="3004"/>
      <c r="P28" s="2884"/>
      <c r="Q28" s="2884"/>
      <c r="R28" s="2884"/>
      <c r="S28" s="2884"/>
      <c r="T28" s="2884"/>
      <c r="U28" s="2884"/>
    </row>
    <row r="29" spans="1:21">
      <c r="A29" s="2968"/>
      <c r="B29" s="2964" t="s">
        <v>400</v>
      </c>
      <c r="C29" s="2969"/>
      <c r="D29" s="2970" t="s">
        <v>400</v>
      </c>
      <c r="E29" s="2971"/>
      <c r="F29" s="2962"/>
      <c r="G29" s="2884"/>
      <c r="H29" s="2884"/>
      <c r="I29" s="3007"/>
      <c r="J29" s="2884"/>
      <c r="K29" s="3005"/>
      <c r="L29" s="3003"/>
      <c r="M29" s="3003"/>
      <c r="N29" s="2884"/>
      <c r="O29" s="3004"/>
      <c r="P29" s="2884"/>
      <c r="Q29" s="2884"/>
      <c r="R29" s="2884"/>
      <c r="S29" s="2884"/>
      <c r="T29" s="2884"/>
      <c r="U29" s="2884"/>
    </row>
    <row r="30" spans="1:21">
      <c r="A30" s="2972"/>
      <c r="B30" s="2973" t="s">
        <v>401</v>
      </c>
      <c r="C30" s="2974"/>
      <c r="D30" s="2975" t="s">
        <v>401</v>
      </c>
      <c r="E30" s="2976"/>
      <c r="F30" s="2977"/>
      <c r="G30" s="2906"/>
      <c r="H30" s="2906"/>
      <c r="I30" s="3008"/>
      <c r="J30" s="2884"/>
      <c r="K30" s="3005"/>
      <c r="L30" s="3003"/>
      <c r="M30" s="3003"/>
      <c r="N30" s="2884"/>
      <c r="O30" s="3004"/>
      <c r="P30" s="2884"/>
      <c r="Q30" s="2884"/>
      <c r="R30" s="2884"/>
      <c r="S30" s="2884"/>
      <c r="T30" s="2884"/>
      <c r="U30" s="2884"/>
    </row>
    <row r="31" spans="1:21">
      <c r="A31" s="3223" t="s">
        <v>402</v>
      </c>
      <c r="B31" s="2941" t="s">
        <v>403</v>
      </c>
      <c r="C31" s="3211"/>
      <c r="D31" s="3212"/>
      <c r="E31" s="2884"/>
      <c r="F31" s="2884"/>
      <c r="G31" s="2884"/>
      <c r="H31" s="2884"/>
      <c r="I31" s="3007"/>
      <c r="J31" s="2884"/>
      <c r="K31" s="3012"/>
      <c r="L31" s="2884"/>
      <c r="M31" s="2884"/>
      <c r="N31" s="2884"/>
      <c r="O31" s="2884"/>
      <c r="P31" s="2884"/>
      <c r="Q31" s="2884"/>
      <c r="R31" s="2884"/>
      <c r="S31" s="2884"/>
      <c r="T31" s="2884"/>
      <c r="U31" s="2884"/>
    </row>
    <row r="32" spans="1:21">
      <c r="A32" s="3223"/>
      <c r="B32" s="2885" t="s">
        <v>404</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23"/>
      <c r="B33" s="2885" t="s">
        <v>405</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24"/>
      <c r="B34" s="2885" t="s">
        <v>406</v>
      </c>
      <c r="C34" s="3213"/>
      <c r="D34" s="3214"/>
      <c r="E34" s="2884"/>
      <c r="F34" s="2884"/>
      <c r="G34" s="2884"/>
      <c r="H34" s="2884"/>
      <c r="I34" s="3007"/>
      <c r="J34" s="2884"/>
      <c r="K34" s="3012"/>
      <c r="L34" s="2884"/>
      <c r="M34" s="2884"/>
      <c r="N34" s="2884"/>
      <c r="O34" s="2884"/>
      <c r="P34" s="2884"/>
      <c r="Q34" s="2884"/>
      <c r="R34" s="2884"/>
      <c r="S34" s="2884"/>
      <c r="T34" s="2884"/>
      <c r="U34" s="2884"/>
    </row>
    <row r="35" spans="1:21">
      <c r="A35" s="3225" t="s">
        <v>407</v>
      </c>
      <c r="B35" s="2930"/>
      <c r="C35" s="2981" t="str">
        <f>IF(B35="场地平整","——","具体情况：")</f>
        <v>具体情况：</v>
      </c>
      <c r="D35" s="3215"/>
      <c r="E35" s="3216"/>
      <c r="F35" s="3216"/>
      <c r="G35" s="3216"/>
      <c r="H35" s="3216"/>
      <c r="I35" s="3217"/>
      <c r="J35" s="2884"/>
      <c r="K35" s="3013"/>
      <c r="L35" s="3003"/>
      <c r="M35" s="3003"/>
      <c r="N35" s="2884"/>
      <c r="O35" s="3004"/>
      <c r="P35" s="2884"/>
      <c r="Q35" s="2884"/>
      <c r="R35" s="2884"/>
      <c r="S35" s="2884"/>
      <c r="T35" s="2884"/>
      <c r="U35" s="2884"/>
    </row>
    <row r="36" spans="1:21">
      <c r="A36" s="3223"/>
      <c r="B36" s="3218" t="s">
        <v>408</v>
      </c>
      <c r="C36" s="3219"/>
      <c r="D36" s="2982"/>
      <c r="E36" s="3220"/>
      <c r="F36" s="3220"/>
      <c r="G36" s="2920" t="str">
        <f>IF(B35="场地未平整","估价结果处理","")</f>
        <v/>
      </c>
      <c r="H36" s="3221"/>
      <c r="I36" s="3221"/>
      <c r="J36" s="2884"/>
      <c r="K36" s="3013"/>
      <c r="L36" s="3003"/>
      <c r="M36" s="3003"/>
      <c r="N36" s="2884"/>
      <c r="O36" s="3004"/>
      <c r="P36" s="2884"/>
      <c r="Q36" s="2884"/>
      <c r="R36" s="2884"/>
      <c r="S36" s="2884"/>
      <c r="T36" s="2884"/>
      <c r="U36" s="2884"/>
    </row>
    <row r="37" spans="1:21" ht="28.5">
      <c r="A37" s="3223"/>
      <c r="B37" s="3226" t="s">
        <v>409</v>
      </c>
      <c r="C37" s="2983" t="s">
        <v>410</v>
      </c>
      <c r="D37" s="2984"/>
      <c r="E37" s="2985"/>
      <c r="F37" s="2884"/>
      <c r="G37" s="2884"/>
      <c r="H37" s="2884"/>
      <c r="I37" s="3007"/>
      <c r="J37" s="2884"/>
      <c r="K37" s="3013"/>
      <c r="L37" s="2884"/>
      <c r="M37" s="2884"/>
      <c r="N37" s="2884"/>
      <c r="O37" s="2884"/>
      <c r="P37" s="2884"/>
      <c r="Q37" s="2884"/>
      <c r="R37" s="2884"/>
      <c r="S37" s="2884"/>
      <c r="T37" s="2884"/>
      <c r="U37" s="2884"/>
    </row>
    <row r="38" spans="1:21">
      <c r="A38" s="3223"/>
      <c r="B38" s="3227"/>
      <c r="C38" s="2897" t="s">
        <v>411</v>
      </c>
      <c r="D38" s="2986">
        <f>ROUNDDOWN(MIN(('数据-取费表'!$B$2-D37)/365,D34),1)</f>
        <v>120.2</v>
      </c>
      <c r="E38" s="2987" t="s">
        <v>412</v>
      </c>
      <c r="F38" s="2884"/>
      <c r="G38" s="2884"/>
      <c r="H38" s="2884"/>
      <c r="I38" s="3007"/>
      <c r="J38" s="2884"/>
      <c r="K38" s="3013"/>
      <c r="L38" s="2884"/>
      <c r="M38" s="2884"/>
      <c r="N38" s="2884"/>
      <c r="O38" s="2884"/>
      <c r="P38" s="2884"/>
      <c r="Q38" s="2884"/>
      <c r="R38" s="2884"/>
      <c r="S38" s="2884"/>
      <c r="T38" s="2884"/>
      <c r="U38" s="2884"/>
    </row>
    <row r="39" spans="1:21">
      <c r="A39" s="3224"/>
      <c r="B39" s="3228"/>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413</v>
      </c>
      <c r="B40" s="2989"/>
      <c r="C40" s="2989"/>
      <c r="D40" s="2989"/>
      <c r="E40" s="2989"/>
      <c r="F40" s="2989"/>
      <c r="G40" s="2989"/>
      <c r="H40" s="2989"/>
      <c r="I40" s="3007"/>
      <c r="J40" s="2884"/>
      <c r="K40" s="3001">
        <f>COUNTIF(B40:H40,"——")</f>
        <v>0</v>
      </c>
      <c r="L40" s="2919" t="s">
        <v>414</v>
      </c>
      <c r="M40" s="3000" t="s">
        <v>415</v>
      </c>
      <c r="N40" s="3000" t="s">
        <v>288</v>
      </c>
      <c r="O40" s="3000" t="s">
        <v>280</v>
      </c>
      <c r="P40" s="3000" t="s">
        <v>270</v>
      </c>
      <c r="Q40" s="3000" t="s">
        <v>259</v>
      </c>
      <c r="R40" s="3000" t="s">
        <v>247</v>
      </c>
      <c r="S40" s="3232" t="s">
        <v>416</v>
      </c>
      <c r="T40" s="3022" t="str">
        <f>NUMBERSTRING(7-K40,1)&amp;"通"</f>
        <v>七通</v>
      </c>
      <c r="U40" s="2884"/>
    </row>
    <row r="41" spans="1:21">
      <c r="A41" s="2887"/>
      <c r="B41" s="3222" t="s">
        <v>417</v>
      </c>
      <c r="C41" s="3222"/>
      <c r="D41" s="3222"/>
      <c r="E41" s="3222"/>
      <c r="F41" s="2990">
        <f>C10</f>
        <v>0</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32"/>
      <c r="T41" s="2922" t="str">
        <f>IF(T40="一通",L41,IF(T40="二通",M41,IF(T40="三通",N41,IF(T40="四通",O41,IF(T40="五通",P41,IF(T40="六通",Q41,R41))))))</f>
        <v>、、、、、、</v>
      </c>
      <c r="U41" s="2884"/>
    </row>
    <row r="42" spans="1:21">
      <c r="A42" s="2991"/>
      <c r="B42" s="2926" t="s">
        <v>370</v>
      </c>
      <c r="C42" s="2926" t="s">
        <v>371</v>
      </c>
      <c r="D42" s="2926" t="s">
        <v>369</v>
      </c>
      <c r="E42" s="2919" t="s">
        <v>164</v>
      </c>
      <c r="F42" s="2992"/>
      <c r="G42" s="2884"/>
      <c r="H42" s="2884"/>
      <c r="I42" s="3007"/>
      <c r="J42" s="2884"/>
      <c r="K42" s="3005"/>
      <c r="L42" s="3003"/>
      <c r="M42" s="3003"/>
      <c r="N42" s="2884"/>
      <c r="O42" s="3004"/>
      <c r="P42" s="2884"/>
      <c r="Q42" s="2884"/>
      <c r="R42" s="2884"/>
      <c r="S42" s="2884"/>
      <c r="T42" s="2884"/>
      <c r="U42" s="2884"/>
    </row>
    <row r="43" spans="1:21">
      <c r="A43" s="2993" t="s">
        <v>217</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418</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25">
      <c r="A45" s="2996" t="s">
        <v>419</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420</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28.5">
      <c r="A48" s="2919" t="s">
        <v>421</v>
      </c>
      <c r="B48" s="2927" t="s">
        <v>422</v>
      </c>
      <c r="C48" s="2927" t="s">
        <v>423</v>
      </c>
      <c r="D48" s="2927" t="s">
        <v>424</v>
      </c>
      <c r="E48" s="2927" t="s">
        <v>425</v>
      </c>
      <c r="F48" s="2927" t="s">
        <v>426</v>
      </c>
      <c r="G48" s="2927" t="s">
        <v>427</v>
      </c>
      <c r="H48" s="2927" t="s">
        <v>428</v>
      </c>
      <c r="I48" s="2927" t="s">
        <v>429</v>
      </c>
      <c r="J48" s="3018" t="s">
        <v>430</v>
      </c>
      <c r="K48" s="2926" t="s">
        <v>431</v>
      </c>
      <c r="L48" s="2926" t="s">
        <v>432</v>
      </c>
      <c r="M48" s="2926" t="s">
        <v>433</v>
      </c>
      <c r="N48" s="2927" t="s">
        <v>434</v>
      </c>
      <c r="O48" s="2927" t="s">
        <v>435</v>
      </c>
      <c r="P48" s="2927" t="s">
        <v>436</v>
      </c>
      <c r="Q48" s="2919" t="s">
        <v>437</v>
      </c>
      <c r="R48" s="2919" t="s">
        <v>438</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tabSelected="1" view="pageBreakPreview" zoomScaleNormal="100" zoomScaleSheetLayoutView="100" workbookViewId="0">
      <pane xSplit="4" ySplit="12" topLeftCell="G13" activePane="bottomRight" state="frozen"/>
      <selection pane="topRight"/>
      <selection pane="bottomLeft"/>
      <selection pane="bottomRight" activeCell="B3" sqref="B3"/>
    </sheetView>
  </sheetViews>
  <sheetFormatPr defaultColWidth="8.875" defaultRowHeight="14.25"/>
  <cols>
    <col min="1" max="1" width="10.625" style="2763" customWidth="1"/>
    <col min="2" max="2" width="11" style="2763" customWidth="1"/>
    <col min="3" max="3" width="10.375" style="2763" customWidth="1"/>
    <col min="4" max="4" width="9.125" style="2763" customWidth="1"/>
    <col min="5" max="6" width="10" style="2761" customWidth="1"/>
    <col min="7" max="8" width="10" style="2763" customWidth="1"/>
    <col min="9" max="9" width="10.625" style="2763" customWidth="1"/>
    <col min="10" max="10" width="9.5" style="2763" customWidth="1"/>
    <col min="11" max="11" width="11" style="2763" customWidth="1"/>
    <col min="12" max="12" width="9.5" style="2763" customWidth="1"/>
    <col min="13" max="13" width="11.875" style="2763" customWidth="1"/>
    <col min="14" max="14" width="9.5" style="2763" customWidth="1"/>
    <col min="15" max="15" width="9.875" style="2763" customWidth="1"/>
    <col min="16" max="16" width="9.75" style="2763" customWidth="1"/>
    <col min="17" max="17" width="9.375" style="2763" hidden="1" customWidth="1"/>
    <col min="18" max="18" width="9.25" style="2763" hidden="1" customWidth="1"/>
    <col min="19" max="19" width="10.875" style="2763" hidden="1" customWidth="1"/>
    <col min="20" max="21" width="10.75" style="2763" hidden="1" customWidth="1"/>
    <col min="22" max="22" width="10.875" style="2763" hidden="1" customWidth="1"/>
    <col min="23" max="27" width="10.75" style="2763" hidden="1" customWidth="1"/>
    <col min="28" max="28" width="10.875" style="2763" hidden="1" customWidth="1"/>
    <col min="29" max="29" width="11" style="2763" customWidth="1"/>
    <col min="30" max="30" width="10" style="2763" customWidth="1"/>
    <col min="31" max="31" width="9.75" style="2763" customWidth="1"/>
    <col min="32" max="39" width="9.5" style="2763" customWidth="1"/>
    <col min="40" max="40" width="14.75" style="2763" customWidth="1"/>
    <col min="41" max="46" width="9.5" style="2763" customWidth="1"/>
    <col min="47" max="47" width="18.125" style="2763" customWidth="1"/>
    <col min="48" max="50" width="9.75" style="2763" customWidth="1"/>
    <col min="51" max="55" width="10.5" style="2763" customWidth="1"/>
    <col min="56" max="56" width="9.5" style="2763" customWidth="1"/>
    <col min="57" max="63" width="9.125" style="2763" customWidth="1"/>
    <col min="64" max="64" width="9.5" style="2763" customWidth="1"/>
    <col min="65" max="65" width="9.125" style="2763" customWidth="1"/>
    <col min="66" max="66" width="9.5" style="2763" customWidth="1"/>
    <col min="67" max="69" width="9.125" style="2763" customWidth="1"/>
    <col min="70" max="70" width="9.5" style="2763" customWidth="1"/>
    <col min="71" max="71" width="9" style="2763" customWidth="1"/>
    <col min="72" max="72" width="9.125" style="2763" customWidth="1"/>
    <col min="73" max="16384" width="8.875" style="2763"/>
  </cols>
  <sheetData>
    <row r="1" spans="1:72" ht="20.25">
      <c r="A1" s="2764" t="s">
        <v>439</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440</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441</v>
      </c>
      <c r="B2" s="124" t="s">
        <v>442</v>
      </c>
      <c r="C2" s="124" t="s">
        <v>443</v>
      </c>
      <c r="D2" s="2766"/>
      <c r="E2" s="2264"/>
      <c r="F2" s="2258"/>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444</v>
      </c>
      <c r="AZ2" s="2850" t="s">
        <v>445</v>
      </c>
      <c r="BA2" s="2851" t="s">
        <v>446</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2.75">
      <c r="A3" s="2767">
        <v>66881</v>
      </c>
      <c r="B3" s="2768">
        <f>IF(C3="否",G5-AT5,G5)</f>
        <v>128526.97</v>
      </c>
      <c r="C3" s="2769" t="s">
        <v>447</v>
      </c>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2.75">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2.75">
      <c r="A5" s="937" t="s">
        <v>448</v>
      </c>
      <c r="B5" s="1041"/>
      <c r="C5" s="1041"/>
      <c r="D5" s="2179"/>
      <c r="E5" s="2773" t="s">
        <v>138</v>
      </c>
      <c r="F5" s="2773">
        <f>SUM(F13:F572)</f>
        <v>0</v>
      </c>
      <c r="G5" s="2773">
        <f>SUM(G13:G572)</f>
        <v>138185.97</v>
      </c>
      <c r="H5" s="2773">
        <f t="shared" ref="H5:AT5" si="0">SUM(H13:H641)</f>
        <v>127983.47</v>
      </c>
      <c r="I5" s="2773">
        <f t="shared" si="0"/>
        <v>22356.86</v>
      </c>
      <c r="J5" s="2773">
        <f t="shared" si="0"/>
        <v>0</v>
      </c>
      <c r="K5" s="2773">
        <f t="shared" si="0"/>
        <v>54440.01</v>
      </c>
      <c r="L5" s="2773">
        <f t="shared" si="0"/>
        <v>0</v>
      </c>
      <c r="M5" s="2773">
        <f t="shared" si="0"/>
        <v>51186.6</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543.5</v>
      </c>
      <c r="AD5" s="2773">
        <f t="shared" si="0"/>
        <v>0</v>
      </c>
      <c r="AE5" s="2773">
        <f t="shared" si="0"/>
        <v>0</v>
      </c>
      <c r="AF5" s="2773">
        <f t="shared" si="0"/>
        <v>0</v>
      </c>
      <c r="AG5" s="2773">
        <f t="shared" si="0"/>
        <v>0</v>
      </c>
      <c r="AH5" s="2773">
        <f t="shared" si="0"/>
        <v>0</v>
      </c>
      <c r="AI5" s="2773">
        <f t="shared" si="0"/>
        <v>0</v>
      </c>
      <c r="AJ5" s="2773">
        <f t="shared" si="0"/>
        <v>0</v>
      </c>
      <c r="AK5" s="2773">
        <f t="shared" si="0"/>
        <v>0</v>
      </c>
      <c r="AL5" s="2773">
        <f t="shared" si="0"/>
        <v>543.5</v>
      </c>
      <c r="AM5" s="2773">
        <f t="shared" si="0"/>
        <v>0</v>
      </c>
      <c r="AN5" s="2773">
        <f t="shared" si="0"/>
        <v>0</v>
      </c>
      <c r="AO5" s="2773">
        <f t="shared" si="0"/>
        <v>0</v>
      </c>
      <c r="AP5" s="2773">
        <f t="shared" si="0"/>
        <v>0</v>
      </c>
      <c r="AQ5" s="2773">
        <f t="shared" si="0"/>
        <v>0</v>
      </c>
      <c r="AR5" s="2773">
        <f t="shared" si="0"/>
        <v>0</v>
      </c>
      <c r="AS5" s="2773">
        <f t="shared" si="0"/>
        <v>0</v>
      </c>
      <c r="AT5" s="2773">
        <f t="shared" si="0"/>
        <v>9659</v>
      </c>
      <c r="AU5" s="2068"/>
      <c r="AV5" s="937" t="s">
        <v>448</v>
      </c>
      <c r="AW5" s="1041"/>
      <c r="AX5" s="1041"/>
      <c r="AY5" s="2856" t="s">
        <v>138</v>
      </c>
      <c r="AZ5" s="2857">
        <f t="shared" ref="AZ5:BT5" si="1">SUM(AZ13:AZ641)</f>
        <v>128526.97</v>
      </c>
      <c r="BA5" s="2857">
        <f t="shared" si="1"/>
        <v>127983.47</v>
      </c>
      <c r="BB5" s="2857">
        <f t="shared" si="1"/>
        <v>22356.86</v>
      </c>
      <c r="BC5" s="2857">
        <f t="shared" si="1"/>
        <v>54440.01</v>
      </c>
      <c r="BD5" s="2857">
        <f t="shared" si="1"/>
        <v>51186.6</v>
      </c>
      <c r="BE5" s="2857">
        <f t="shared" si="1"/>
        <v>0</v>
      </c>
      <c r="BF5" s="2857">
        <f t="shared" si="1"/>
        <v>0</v>
      </c>
      <c r="BG5" s="2857">
        <f t="shared" si="1"/>
        <v>0</v>
      </c>
      <c r="BH5" s="2857">
        <f t="shared" si="1"/>
        <v>0</v>
      </c>
      <c r="BI5" s="2857">
        <f t="shared" si="1"/>
        <v>0</v>
      </c>
      <c r="BJ5" s="2857">
        <f t="shared" si="1"/>
        <v>0</v>
      </c>
      <c r="BK5" s="2857">
        <f t="shared" si="1"/>
        <v>0</v>
      </c>
      <c r="BL5" s="2857">
        <f t="shared" si="1"/>
        <v>543.5</v>
      </c>
      <c r="BM5" s="2857">
        <f t="shared" si="1"/>
        <v>0</v>
      </c>
      <c r="BN5" s="2857">
        <f t="shared" si="1"/>
        <v>0</v>
      </c>
      <c r="BO5" s="2857">
        <f t="shared" si="1"/>
        <v>0</v>
      </c>
      <c r="BP5" s="2857">
        <f t="shared" si="1"/>
        <v>0</v>
      </c>
      <c r="BQ5" s="2857">
        <f t="shared" si="1"/>
        <v>543.5</v>
      </c>
      <c r="BR5" s="2857">
        <f t="shared" si="1"/>
        <v>0</v>
      </c>
      <c r="BS5" s="2857">
        <f t="shared" si="1"/>
        <v>0</v>
      </c>
      <c r="BT5" s="2866">
        <f t="shared" si="1"/>
        <v>0</v>
      </c>
    </row>
    <row r="6" spans="1:72" s="2760" customFormat="1" ht="12.75">
      <c r="A6" s="937" t="s">
        <v>449</v>
      </c>
      <c r="B6" s="2774"/>
      <c r="C6" s="2774"/>
      <c r="D6" s="2775"/>
      <c r="E6" s="2773">
        <f>H6+AC6+AT6</f>
        <v>66881.000000000015</v>
      </c>
      <c r="F6" s="2773" t="s">
        <v>138</v>
      </c>
      <c r="G6" s="2773" t="s">
        <v>138</v>
      </c>
      <c r="H6" s="2776">
        <f>SUMIF(I$12:AB$12,"总值",I6:AB6)</f>
        <v>66598.180000000008</v>
      </c>
      <c r="I6" s="2773">
        <f t="shared" ref="I6:AB6" si="2">ROUND($A$3*I5/$B$3,2)</f>
        <v>11633.74</v>
      </c>
      <c r="J6" s="2773">
        <f t="shared" si="2"/>
        <v>0</v>
      </c>
      <c r="K6" s="2773">
        <f t="shared" si="2"/>
        <v>28328.7</v>
      </c>
      <c r="L6" s="2773">
        <f t="shared" si="2"/>
        <v>0</v>
      </c>
      <c r="M6" s="2773">
        <f t="shared" si="2"/>
        <v>26635.74</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282.82</v>
      </c>
      <c r="AD6" s="2773">
        <f t="shared" ref="AD6:AS6" si="3">ROUND($A$3*AD5/$B$3,2)</f>
        <v>0</v>
      </c>
      <c r="AE6" s="2773">
        <f t="shared" si="3"/>
        <v>0</v>
      </c>
      <c r="AF6" s="2773">
        <f t="shared" si="3"/>
        <v>0</v>
      </c>
      <c r="AG6" s="2773">
        <f t="shared" si="3"/>
        <v>0</v>
      </c>
      <c r="AH6" s="2773">
        <f t="shared" si="3"/>
        <v>0</v>
      </c>
      <c r="AI6" s="2773">
        <f t="shared" si="3"/>
        <v>0</v>
      </c>
      <c r="AJ6" s="2773">
        <f t="shared" si="3"/>
        <v>0</v>
      </c>
      <c r="AK6" s="2773">
        <f t="shared" si="3"/>
        <v>0</v>
      </c>
      <c r="AL6" s="2773">
        <f t="shared" si="3"/>
        <v>282.82</v>
      </c>
      <c r="AM6" s="2773">
        <f t="shared" si="3"/>
        <v>0</v>
      </c>
      <c r="AN6" s="2773">
        <f t="shared" si="3"/>
        <v>0</v>
      </c>
      <c r="AO6" s="2773">
        <f t="shared" si="3"/>
        <v>0</v>
      </c>
      <c r="AP6" s="2773">
        <f t="shared" si="3"/>
        <v>0</v>
      </c>
      <c r="AQ6" s="2773">
        <f t="shared" si="3"/>
        <v>0</v>
      </c>
      <c r="AR6" s="2773">
        <f t="shared" si="3"/>
        <v>0</v>
      </c>
      <c r="AS6" s="2773">
        <f t="shared" si="3"/>
        <v>0</v>
      </c>
      <c r="AT6" s="2776">
        <f>IF(C3="是",ROUND($A$3*AT5/$B$3,2),0)</f>
        <v>0</v>
      </c>
      <c r="AU6" s="2833"/>
      <c r="AV6" s="937" t="s">
        <v>449</v>
      </c>
      <c r="AW6" s="2774"/>
      <c r="AX6" s="2774"/>
      <c r="AY6" s="2858">
        <f>IF(AY3&gt;0,AY3,ROUND($A$3*AZ5/$B$3,2))</f>
        <v>66881</v>
      </c>
      <c r="AZ6" s="2773" t="s">
        <v>138</v>
      </c>
      <c r="BA6" s="2773">
        <f>ROUND($AY$6*BA5/$AZ$5,2)</f>
        <v>66598.179999999993</v>
      </c>
      <c r="BB6" s="2773">
        <f>ROUND($AY$6*BB5/$AZ$5,2)</f>
        <v>11633.74</v>
      </c>
      <c r="BC6" s="2773">
        <f t="shared" ref="BC6:BH6" si="4">ROUND($AY$6*BC5/$AZ$5,2)</f>
        <v>28328.7</v>
      </c>
      <c r="BD6" s="2773">
        <f t="shared" si="4"/>
        <v>26635.74</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282.82</v>
      </c>
      <c r="BM6" s="2773">
        <f t="shared" si="5"/>
        <v>0</v>
      </c>
      <c r="BN6" s="2773">
        <f t="shared" si="5"/>
        <v>0</v>
      </c>
      <c r="BO6" s="2773">
        <f t="shared" si="5"/>
        <v>0</v>
      </c>
      <c r="BP6" s="2773">
        <f t="shared" si="5"/>
        <v>0</v>
      </c>
      <c r="BQ6" s="2773">
        <f t="shared" si="5"/>
        <v>282.82</v>
      </c>
      <c r="BR6" s="2773">
        <f t="shared" si="5"/>
        <v>0</v>
      </c>
      <c r="BS6" s="2773">
        <f t="shared" si="5"/>
        <v>0</v>
      </c>
      <c r="BT6" s="2867">
        <f t="shared" si="5"/>
        <v>0</v>
      </c>
    </row>
    <row r="7" spans="1:72" s="184" customFormat="1" ht="24.75">
      <c r="A7" s="2777" t="s">
        <v>450</v>
      </c>
      <c r="B7" s="2777" t="s">
        <v>451</v>
      </c>
      <c r="C7" s="2777" t="s">
        <v>452</v>
      </c>
      <c r="D7" s="2777" t="s">
        <v>453</v>
      </c>
      <c r="E7" s="2777" t="s">
        <v>449</v>
      </c>
      <c r="F7" s="2777" t="s">
        <v>454</v>
      </c>
      <c r="G7" s="2778" t="s">
        <v>455</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456</v>
      </c>
      <c r="AV7" s="2239" t="s">
        <v>450</v>
      </c>
      <c r="AW7" s="2258" t="s">
        <v>451</v>
      </c>
      <c r="AX7" s="2239" t="s">
        <v>452</v>
      </c>
      <c r="AY7" s="1041" t="s">
        <v>457</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458</v>
      </c>
      <c r="H8" s="2782" t="s">
        <v>459</v>
      </c>
      <c r="I8" s="2806"/>
      <c r="J8" s="123"/>
      <c r="K8" s="123"/>
      <c r="L8" s="123"/>
      <c r="M8" s="123"/>
      <c r="N8" s="123"/>
      <c r="O8" s="123"/>
      <c r="P8" s="123"/>
      <c r="Q8" s="123"/>
      <c r="R8" s="123"/>
      <c r="S8" s="123"/>
      <c r="T8" s="123"/>
      <c r="U8" s="123"/>
      <c r="V8" s="2818"/>
      <c r="W8" s="123"/>
      <c r="X8" s="123"/>
      <c r="Y8" s="123"/>
      <c r="Z8" s="123"/>
      <c r="AA8" s="2818"/>
      <c r="AB8" s="2820"/>
      <c r="AC8" s="1981" t="s">
        <v>460</v>
      </c>
      <c r="AD8" s="2821"/>
      <c r="AE8" s="2822"/>
      <c r="AF8" s="123"/>
      <c r="AG8" s="123"/>
      <c r="AH8" s="123"/>
      <c r="AI8" s="123"/>
      <c r="AJ8" s="123"/>
      <c r="AK8" s="123"/>
      <c r="AL8" s="123"/>
      <c r="AM8" s="123"/>
      <c r="AN8" s="123"/>
      <c r="AO8" s="123"/>
      <c r="AP8" s="123"/>
      <c r="AQ8" s="123"/>
      <c r="AR8" s="123"/>
      <c r="AS8" s="181"/>
      <c r="AT8" s="2835" t="s">
        <v>461</v>
      </c>
      <c r="AU8" s="2780" t="s">
        <v>462</v>
      </c>
      <c r="AV8" s="815"/>
      <c r="AW8" s="2264"/>
      <c r="AX8" s="815"/>
      <c r="AY8" s="2258" t="s">
        <v>449</v>
      </c>
      <c r="AZ8" s="122" t="s">
        <v>442</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80"/>
      <c r="B9" s="2780"/>
      <c r="C9" s="2780"/>
      <c r="D9" s="2780"/>
      <c r="E9" s="2780"/>
      <c r="F9" s="2780"/>
      <c r="G9" s="815"/>
      <c r="H9" s="2783" t="s">
        <v>463</v>
      </c>
      <c r="I9" s="2807" t="s">
        <v>464</v>
      </c>
      <c r="J9" s="1981"/>
      <c r="K9" s="2807" t="s">
        <v>464</v>
      </c>
      <c r="L9" s="1981"/>
      <c r="M9" s="2807" t="s">
        <v>465</v>
      </c>
      <c r="N9" s="1981"/>
      <c r="O9" s="2808"/>
      <c r="P9" s="1981"/>
      <c r="Q9" s="2808"/>
      <c r="R9" s="1981"/>
      <c r="S9" s="2808"/>
      <c r="T9" s="1981"/>
      <c r="U9" s="2808"/>
      <c r="V9" s="1981"/>
      <c r="W9" s="2808"/>
      <c r="X9" s="2819"/>
      <c r="Y9" s="2808"/>
      <c r="Z9" s="1981"/>
      <c r="AA9" s="2808"/>
      <c r="AB9" s="1981"/>
      <c r="AC9" s="2781" t="s">
        <v>463</v>
      </c>
      <c r="AD9" s="937" t="s">
        <v>466</v>
      </c>
      <c r="AE9" s="1060"/>
      <c r="AF9" s="937" t="s">
        <v>467</v>
      </c>
      <c r="AG9" s="1060"/>
      <c r="AH9" s="937" t="s">
        <v>466</v>
      </c>
      <c r="AI9" s="1060"/>
      <c r="AJ9" s="937" t="s">
        <v>467</v>
      </c>
      <c r="AK9" s="1060"/>
      <c r="AL9" s="937" t="s">
        <v>466</v>
      </c>
      <c r="AM9" s="1060"/>
      <c r="AN9" s="937" t="s">
        <v>467</v>
      </c>
      <c r="AO9" s="1060"/>
      <c r="AP9" s="2836" t="s">
        <v>466</v>
      </c>
      <c r="AQ9" s="2837"/>
      <c r="AR9" s="2836" t="s">
        <v>467</v>
      </c>
      <c r="AS9" s="2838"/>
      <c r="AT9" s="2780"/>
      <c r="AU9" s="2780" t="s">
        <v>468</v>
      </c>
      <c r="AV9" s="815"/>
      <c r="AW9" s="2264"/>
      <c r="AX9" s="815"/>
      <c r="AY9" s="2240"/>
      <c r="AZ9" s="2240" t="s">
        <v>458</v>
      </c>
      <c r="BA9" s="2859" t="s">
        <v>469</v>
      </c>
      <c r="BB9" s="2860"/>
      <c r="BC9" s="885"/>
      <c r="BD9" s="885"/>
      <c r="BE9" s="885"/>
      <c r="BF9" s="885"/>
      <c r="BG9" s="885"/>
      <c r="BH9" s="885"/>
      <c r="BI9" s="885"/>
      <c r="BJ9" s="885"/>
      <c r="BK9" s="2865"/>
      <c r="BL9" s="937" t="s">
        <v>470</v>
      </c>
      <c r="BM9" s="123"/>
      <c r="BN9" s="2806"/>
      <c r="BO9" s="123"/>
      <c r="BP9" s="123"/>
      <c r="BQ9" s="123"/>
      <c r="BR9" s="123"/>
      <c r="BS9" s="123"/>
      <c r="BT9" s="865"/>
    </row>
    <row r="10" spans="1:72" s="187" customFormat="1" ht="12.75">
      <c r="A10" s="2780"/>
      <c r="B10" s="2780"/>
      <c r="C10" s="2780"/>
      <c r="D10" s="2780"/>
      <c r="E10" s="2780"/>
      <c r="F10" s="2780"/>
      <c r="G10" s="815"/>
      <c r="H10" s="2240"/>
      <c r="I10" s="2807" t="s">
        <v>369</v>
      </c>
      <c r="J10" s="1981"/>
      <c r="K10" s="2809" t="s">
        <v>369</v>
      </c>
      <c r="L10" s="1981"/>
      <c r="M10" s="2809" t="s">
        <v>372</v>
      </c>
      <c r="N10" s="1981"/>
      <c r="O10" s="2810"/>
      <c r="P10" s="1981"/>
      <c r="Q10" s="2810"/>
      <c r="R10" s="1981"/>
      <c r="S10" s="2810"/>
      <c r="T10" s="1981"/>
      <c r="U10" s="2810"/>
      <c r="V10" s="1981"/>
      <c r="W10" s="2810"/>
      <c r="X10" s="1981"/>
      <c r="Y10" s="2810"/>
      <c r="Z10" s="1981"/>
      <c r="AA10" s="2810"/>
      <c r="AB10" s="1981"/>
      <c r="AC10" s="815"/>
      <c r="AD10" s="2358" t="s">
        <v>231</v>
      </c>
      <c r="AE10" s="2823"/>
      <c r="AF10" s="2358" t="s">
        <v>231</v>
      </c>
      <c r="AG10" s="2823"/>
      <c r="AH10" s="2358" t="s">
        <v>471</v>
      </c>
      <c r="AI10" s="2823"/>
      <c r="AJ10" s="937" t="s">
        <v>472</v>
      </c>
      <c r="AK10" s="2829"/>
      <c r="AL10" s="2358" t="s">
        <v>473</v>
      </c>
      <c r="AM10" s="2830"/>
      <c r="AN10" s="937" t="s">
        <v>474</v>
      </c>
      <c r="AO10" s="1060"/>
      <c r="AP10" s="2836" t="s">
        <v>475</v>
      </c>
      <c r="AQ10" s="2837"/>
      <c r="AR10" s="2836" t="s">
        <v>475</v>
      </c>
      <c r="AS10" s="2837"/>
      <c r="AT10" s="2780"/>
      <c r="AU10" s="2780"/>
      <c r="AV10" s="815"/>
      <c r="AW10" s="2264"/>
      <c r="AX10" s="815"/>
      <c r="AY10" s="2240"/>
      <c r="AZ10" s="2240"/>
      <c r="BA10" s="2784" t="s">
        <v>463</v>
      </c>
      <c r="BB10" s="2861" t="str">
        <f>I9</f>
        <v>地上</v>
      </c>
      <c r="BC10" s="898" t="str">
        <f>K9</f>
        <v>地上</v>
      </c>
      <c r="BD10" s="898" t="str">
        <f>M9</f>
        <v>地下</v>
      </c>
      <c r="BE10" s="898">
        <f>O9</f>
        <v>0</v>
      </c>
      <c r="BF10" s="898">
        <f>Q9</f>
        <v>0</v>
      </c>
      <c r="BG10" s="898">
        <f>S9</f>
        <v>0</v>
      </c>
      <c r="BH10" s="898">
        <f>U9</f>
        <v>0</v>
      </c>
      <c r="BI10" s="898">
        <f>W9</f>
        <v>0</v>
      </c>
      <c r="BJ10" s="898">
        <f>Y9</f>
        <v>0</v>
      </c>
      <c r="BK10" s="898">
        <f>AA9</f>
        <v>0</v>
      </c>
      <c r="BL10" s="894" t="s">
        <v>463</v>
      </c>
      <c r="BM10" s="122" t="str">
        <f>AD9</f>
        <v>地上</v>
      </c>
      <c r="BN10" s="898" t="str">
        <f>AF9</f>
        <v>地下</v>
      </c>
      <c r="BO10" s="122" t="str">
        <f>AH9</f>
        <v>地上</v>
      </c>
      <c r="BP10" s="898" t="str">
        <f>AJ9</f>
        <v>地下</v>
      </c>
      <c r="BQ10" s="122" t="str">
        <f>AL9</f>
        <v>地上</v>
      </c>
      <c r="BR10" s="898" t="str">
        <f>AN9</f>
        <v>地下</v>
      </c>
      <c r="BS10" s="122" t="str">
        <f>AP9</f>
        <v>地上</v>
      </c>
      <c r="BT10" s="2249" t="str">
        <f>AR9</f>
        <v>地下</v>
      </c>
    </row>
    <row r="11" spans="1:72" s="187" customFormat="1" ht="12.75">
      <c r="A11" s="2780"/>
      <c r="B11" s="2780"/>
      <c r="C11" s="2780"/>
      <c r="D11" s="2780"/>
      <c r="E11" s="2780"/>
      <c r="F11" s="2780"/>
      <c r="G11" s="815"/>
      <c r="H11" s="2784"/>
      <c r="I11" s="2811" t="s">
        <v>476</v>
      </c>
      <c r="J11" s="2812"/>
      <c r="K11" s="2811" t="s">
        <v>477</v>
      </c>
      <c r="L11" s="2812"/>
      <c r="M11" s="2813"/>
      <c r="N11" s="2812"/>
      <c r="O11" s="2813"/>
      <c r="P11" s="2812"/>
      <c r="Q11" s="2813"/>
      <c r="R11" s="2812"/>
      <c r="S11" s="2813"/>
      <c r="T11" s="2812"/>
      <c r="U11" s="2813"/>
      <c r="V11" s="2812"/>
      <c r="W11" s="2813"/>
      <c r="X11" s="2812"/>
      <c r="Y11" s="2813"/>
      <c r="Z11" s="2812"/>
      <c r="AA11" s="2813"/>
      <c r="AB11" s="2812"/>
      <c r="AC11" s="815"/>
      <c r="AD11" s="2824" t="s">
        <v>478</v>
      </c>
      <c r="AE11" s="181"/>
      <c r="AF11" s="2824" t="s">
        <v>478</v>
      </c>
      <c r="AG11" s="181"/>
      <c r="AH11" s="2824" t="s">
        <v>479</v>
      </c>
      <c r="AI11" s="2831"/>
      <c r="AJ11" s="2824" t="s">
        <v>479</v>
      </c>
      <c r="AK11" s="2829"/>
      <c r="AL11" s="122"/>
      <c r="AM11" s="181"/>
      <c r="AN11" s="122"/>
      <c r="AO11" s="181"/>
      <c r="AP11" s="2839"/>
      <c r="AQ11" s="2840"/>
      <c r="AR11" s="2839"/>
      <c r="AS11" s="2840"/>
      <c r="AT11" s="2264"/>
      <c r="AU11" s="2780"/>
      <c r="AV11" s="815"/>
      <c r="AW11" s="2264"/>
      <c r="AX11" s="815"/>
      <c r="AY11" s="2240"/>
      <c r="AZ11" s="2240"/>
      <c r="BA11" s="2240"/>
      <c r="BB11" s="2820" t="str">
        <f>I10</f>
        <v>住宅</v>
      </c>
      <c r="BC11" s="2820" t="str">
        <f>K10</f>
        <v>住宅</v>
      </c>
      <c r="BD11" s="2820" t="str">
        <f>M10</f>
        <v>车库</v>
      </c>
      <c r="BE11" s="2820">
        <f>O10</f>
        <v>0</v>
      </c>
      <c r="BF11" s="2820">
        <f>Q10</f>
        <v>0</v>
      </c>
      <c r="BG11" s="2820">
        <f>S10</f>
        <v>0</v>
      </c>
      <c r="BH11" s="2820">
        <f>U10</f>
        <v>0</v>
      </c>
      <c r="BI11" s="2820">
        <f>W10</f>
        <v>0</v>
      </c>
      <c r="BJ11" s="2820">
        <f>Y10</f>
        <v>0</v>
      </c>
      <c r="BK11" s="282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41" t="str">
        <f>AR10</f>
        <v>未注明</v>
      </c>
    </row>
    <row r="12" spans="1:72" s="184" customFormat="1" ht="12.75">
      <c r="A12" s="2785"/>
      <c r="B12" s="2785"/>
      <c r="C12" s="2785"/>
      <c r="D12" s="2785"/>
      <c r="E12" s="2785"/>
      <c r="F12" s="2785"/>
      <c r="G12" s="2248"/>
      <c r="H12" s="2786"/>
      <c r="I12" s="2179"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068" t="s">
        <v>481</v>
      </c>
      <c r="W12" s="124" t="s">
        <v>480</v>
      </c>
      <c r="X12" s="124" t="s">
        <v>481</v>
      </c>
      <c r="Y12" s="124" t="s">
        <v>480</v>
      </c>
      <c r="Z12" s="124" t="s">
        <v>481</v>
      </c>
      <c r="AA12" s="124" t="s">
        <v>480</v>
      </c>
      <c r="AB12" s="124" t="s">
        <v>481</v>
      </c>
      <c r="AC12" s="2825"/>
      <c r="AD12" s="2179"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841" t="s">
        <v>480</v>
      </c>
      <c r="AQ12" s="2841" t="s">
        <v>481</v>
      </c>
      <c r="AR12" s="2842" t="s">
        <v>480</v>
      </c>
      <c r="AS12" s="2843" t="s">
        <v>481</v>
      </c>
      <c r="AT12" s="2844"/>
      <c r="AU12" s="2785"/>
      <c r="AV12" s="2244"/>
      <c r="AW12" s="2258"/>
      <c r="AX12" s="2244"/>
      <c r="AY12" s="2862"/>
      <c r="AZ12" s="2240"/>
      <c r="BA12" s="2784"/>
      <c r="BB12" s="121" t="str">
        <f>I11</f>
        <v>洋房</v>
      </c>
      <c r="BC12" s="2863" t="str">
        <f>K11</f>
        <v>叠拼</v>
      </c>
      <c r="BD12" s="2863">
        <f>M11</f>
        <v>0</v>
      </c>
      <c r="BE12" s="2820">
        <f>O11</f>
        <v>0</v>
      </c>
      <c r="BF12" s="2820">
        <f>Q11</f>
        <v>0</v>
      </c>
      <c r="BG12" s="2820">
        <f>S11</f>
        <v>0</v>
      </c>
      <c r="BH12" s="2820">
        <f>U11</f>
        <v>0</v>
      </c>
      <c r="BI12" s="2820">
        <f>W11</f>
        <v>0</v>
      </c>
      <c r="BJ12" s="2820">
        <f>Y11</f>
        <v>0</v>
      </c>
      <c r="BK12" s="282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41">
        <f>AR11</f>
        <v>0</v>
      </c>
    </row>
    <row r="13" spans="1:72" s="184" customFormat="1" ht="12.75">
      <c r="A13" s="2787"/>
      <c r="B13" s="2787"/>
      <c r="C13" s="2787"/>
      <c r="D13" s="2788"/>
      <c r="E13" s="2773">
        <f t="shared" ref="E13:E20" si="6">IF($C$3="是",ROUND($A$3*G13/$B$3,2),ROUND($A$3*(G13-AT13)/$B$3,2))</f>
        <v>0</v>
      </c>
      <c r="F13" s="2789"/>
      <c r="G13" s="2790">
        <f t="shared" ref="G13:G20" si="7">H13+AC13+AT13</f>
        <v>0</v>
      </c>
      <c r="H13" s="2776">
        <f t="shared" ref="H13:H20" si="8">SUMIF(I$12:AB$12,"总值",I13:AB13)</f>
        <v>0</v>
      </c>
      <c r="I13" s="2814"/>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f t="shared" si="10"/>
        <v>0</v>
      </c>
      <c r="AY13" s="2179">
        <f t="shared" ref="AY13:AY20" si="11">ROUND($AY$6*AZ13/$AZ$5,2)</f>
        <v>0</v>
      </c>
      <c r="AZ13" s="2773">
        <f t="shared" ref="AZ13:AZ20" si="12">BA13+BL13</f>
        <v>0</v>
      </c>
      <c r="BA13" s="2773">
        <f t="shared" ref="BA13:BA20" si="13">SUM(BB13:BK13)</f>
        <v>0</v>
      </c>
      <c r="BB13" s="2773">
        <f t="shared" ref="BB13:BB20" si="14">IF($D13="是",I13-J13,0)</f>
        <v>0</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2.75">
      <c r="A14" s="2787"/>
      <c r="B14" s="2787"/>
      <c r="C14" s="2791" t="s">
        <v>483</v>
      </c>
      <c r="D14" s="2788" t="s">
        <v>484</v>
      </c>
      <c r="E14" s="2773">
        <f t="shared" si="6"/>
        <v>66881</v>
      </c>
      <c r="F14" s="2789"/>
      <c r="G14" s="2790">
        <f t="shared" si="7"/>
        <v>138185.97</v>
      </c>
      <c r="H14" s="2776">
        <f t="shared" si="8"/>
        <v>127983.47</v>
      </c>
      <c r="I14" s="2814">
        <f>Sheet1!F6</f>
        <v>22356.86</v>
      </c>
      <c r="J14" s="2814"/>
      <c r="K14" s="2814">
        <f>Sheet1!F7</f>
        <v>54440.01</v>
      </c>
      <c r="L14" s="2814"/>
      <c r="M14" s="2814">
        <f>Sheet1!F10</f>
        <v>51186.6</v>
      </c>
      <c r="N14" s="2815"/>
      <c r="O14" s="2815"/>
      <c r="P14" s="2815"/>
      <c r="Q14" s="2815"/>
      <c r="R14" s="2815"/>
      <c r="S14" s="2815"/>
      <c r="T14" s="2815"/>
      <c r="U14" s="2815"/>
      <c r="V14" s="2815"/>
      <c r="W14" s="2815"/>
      <c r="X14" s="2815"/>
      <c r="Y14" s="2815"/>
      <c r="Z14" s="2815"/>
      <c r="AA14" s="2815"/>
      <c r="AB14" s="2815"/>
      <c r="AC14" s="2773">
        <f t="shared" si="9"/>
        <v>543.5</v>
      </c>
      <c r="AD14" s="2826"/>
      <c r="AE14" s="2826"/>
      <c r="AF14" s="2826"/>
      <c r="AG14" s="2826"/>
      <c r="AH14" s="2826"/>
      <c r="AI14" s="2826"/>
      <c r="AJ14" s="2826"/>
      <c r="AK14" s="2826"/>
      <c r="AL14" s="2826">
        <f>Sheet1!F8</f>
        <v>543.5</v>
      </c>
      <c r="AM14" s="2826"/>
      <c r="AN14" s="2826"/>
      <c r="AO14" s="2826"/>
      <c r="AP14" s="2826"/>
      <c r="AQ14" s="2826"/>
      <c r="AR14" s="2826"/>
      <c r="AS14" s="2826"/>
      <c r="AT14" s="2845">
        <f>Sheet1!F11</f>
        <v>9659</v>
      </c>
      <c r="AU14" s="2846"/>
      <c r="AV14" s="124">
        <f t="shared" si="10"/>
        <v>0</v>
      </c>
      <c r="AW14" s="124">
        <f t="shared" si="10"/>
        <v>0</v>
      </c>
      <c r="AX14" s="124" t="str">
        <f t="shared" si="10"/>
        <v>B 区</v>
      </c>
      <c r="AY14" s="2179">
        <f t="shared" si="11"/>
        <v>66881</v>
      </c>
      <c r="AZ14" s="2773">
        <f t="shared" si="12"/>
        <v>128526.97</v>
      </c>
      <c r="BA14" s="2773">
        <f t="shared" si="13"/>
        <v>127983.47</v>
      </c>
      <c r="BB14" s="2773">
        <f t="shared" si="14"/>
        <v>22356.86</v>
      </c>
      <c r="BC14" s="2773">
        <f t="shared" si="15"/>
        <v>54440.01</v>
      </c>
      <c r="BD14" s="2773">
        <f t="shared" si="16"/>
        <v>51186.6</v>
      </c>
      <c r="BE14" s="2773">
        <f t="shared" si="17"/>
        <v>0</v>
      </c>
      <c r="BF14" s="2773">
        <f t="shared" si="18"/>
        <v>0</v>
      </c>
      <c r="BG14" s="2773">
        <f t="shared" si="19"/>
        <v>0</v>
      </c>
      <c r="BH14" s="2773">
        <f t="shared" si="20"/>
        <v>0</v>
      </c>
      <c r="BI14" s="2773">
        <f t="shared" si="21"/>
        <v>0</v>
      </c>
      <c r="BJ14" s="2773">
        <f t="shared" si="22"/>
        <v>0</v>
      </c>
      <c r="BK14" s="2773">
        <f t="shared" si="23"/>
        <v>0</v>
      </c>
      <c r="BL14" s="2773">
        <f t="shared" si="24"/>
        <v>543.5</v>
      </c>
      <c r="BM14" s="2773">
        <f t="shared" si="25"/>
        <v>0</v>
      </c>
      <c r="BN14" s="2773">
        <f t="shared" si="26"/>
        <v>0</v>
      </c>
      <c r="BO14" s="2773">
        <f t="shared" si="27"/>
        <v>0</v>
      </c>
      <c r="BP14" s="2773">
        <f t="shared" si="28"/>
        <v>0</v>
      </c>
      <c r="BQ14" s="2773">
        <f t="shared" si="29"/>
        <v>543.5</v>
      </c>
      <c r="BR14" s="2773">
        <f t="shared" si="30"/>
        <v>0</v>
      </c>
      <c r="BS14" s="2773">
        <f t="shared" si="31"/>
        <v>0</v>
      </c>
      <c r="BT14" s="2867">
        <f t="shared" si="32"/>
        <v>0</v>
      </c>
    </row>
    <row r="15" spans="1:72" s="184" customFormat="1" ht="12.75">
      <c r="A15" s="2787"/>
      <c r="B15" s="2787"/>
      <c r="C15" s="2791"/>
      <c r="D15" s="2788"/>
      <c r="E15" s="2773">
        <f t="shared" si="6"/>
        <v>0</v>
      </c>
      <c r="F15" s="2789"/>
      <c r="G15" s="2790">
        <f t="shared" si="7"/>
        <v>0</v>
      </c>
      <c r="H15" s="2776">
        <f t="shared" si="8"/>
        <v>0</v>
      </c>
      <c r="I15" s="2814"/>
      <c r="J15" s="2814"/>
      <c r="K15" s="2814"/>
      <c r="L15" s="2814"/>
      <c r="M15" s="2814"/>
      <c r="N15" s="2815"/>
      <c r="O15" s="2815"/>
      <c r="P15" s="2815"/>
      <c r="Q15" s="2815"/>
      <c r="R15" s="2815"/>
      <c r="S15" s="2815"/>
      <c r="T15" s="2815"/>
      <c r="U15" s="2815"/>
      <c r="V15" s="2815"/>
      <c r="W15" s="2815"/>
      <c r="X15" s="2815"/>
      <c r="Y15" s="2815"/>
      <c r="Z15" s="2815"/>
      <c r="AA15" s="2815"/>
      <c r="AB15" s="2815"/>
      <c r="AC15" s="2773">
        <f t="shared" si="9"/>
        <v>0</v>
      </c>
      <c r="AD15" s="2826"/>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f t="shared" si="10"/>
        <v>0</v>
      </c>
      <c r="AY15" s="2179">
        <f t="shared" si="11"/>
        <v>0</v>
      </c>
      <c r="AZ15" s="2773">
        <f t="shared" si="12"/>
        <v>0</v>
      </c>
      <c r="BA15" s="2773">
        <f t="shared" si="13"/>
        <v>0</v>
      </c>
      <c r="BB15" s="2773">
        <f t="shared" si="14"/>
        <v>0</v>
      </c>
      <c r="BC15" s="2773">
        <f t="shared" si="15"/>
        <v>0</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2.75">
      <c r="A16" s="2787"/>
      <c r="B16" s="2787"/>
      <c r="C16" s="2791"/>
      <c r="D16" s="2788"/>
      <c r="E16" s="2773">
        <f t="shared" si="6"/>
        <v>0</v>
      </c>
      <c r="F16" s="2789"/>
      <c r="G16" s="2790">
        <f t="shared" si="7"/>
        <v>0</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0</v>
      </c>
      <c r="AD16" s="2826"/>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f t="shared" si="10"/>
        <v>0</v>
      </c>
      <c r="AY16" s="2179">
        <f t="shared" si="11"/>
        <v>0</v>
      </c>
      <c r="AZ16" s="2773">
        <f t="shared" si="12"/>
        <v>0</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0</v>
      </c>
      <c r="BM16" s="2773">
        <f t="shared" si="25"/>
        <v>0</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12.75">
      <c r="A17" s="2787"/>
      <c r="B17" s="2787"/>
      <c r="C17" s="2791"/>
      <c r="D17" s="2788"/>
      <c r="E17" s="2773">
        <f t="shared" si="6"/>
        <v>0</v>
      </c>
      <c r="F17" s="2789"/>
      <c r="G17" s="2790">
        <f t="shared" si="7"/>
        <v>0</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0</v>
      </c>
      <c r="AD17" s="2826"/>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f t="shared" si="10"/>
        <v>0</v>
      </c>
      <c r="AY17" s="2179">
        <f t="shared" si="11"/>
        <v>0</v>
      </c>
      <c r="AZ17" s="2773">
        <f t="shared" si="12"/>
        <v>0</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0</v>
      </c>
      <c r="BM17" s="2773">
        <f t="shared" si="25"/>
        <v>0</v>
      </c>
      <c r="BN17" s="2773">
        <f t="shared" si="26"/>
        <v>0</v>
      </c>
      <c r="BO17" s="2773">
        <f t="shared" si="27"/>
        <v>0</v>
      </c>
      <c r="BP17" s="2773">
        <f t="shared" si="28"/>
        <v>0</v>
      </c>
      <c r="BQ17" s="2773">
        <f t="shared" si="29"/>
        <v>0</v>
      </c>
      <c r="BR17" s="2773">
        <f t="shared" si="30"/>
        <v>0</v>
      </c>
      <c r="BS17" s="2773">
        <f t="shared" si="31"/>
        <v>0</v>
      </c>
      <c r="BT17" s="2867">
        <f t="shared" si="32"/>
        <v>0</v>
      </c>
    </row>
    <row r="18" spans="1:72">
      <c r="A18" s="2792"/>
      <c r="B18" s="2793"/>
      <c r="C18" s="2793"/>
      <c r="D18" s="2794"/>
      <c r="E18" s="2795">
        <f t="shared" si="6"/>
        <v>0</v>
      </c>
      <c r="F18" s="2796"/>
      <c r="G18" s="2797">
        <f t="shared" si="7"/>
        <v>0</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0</v>
      </c>
      <c r="AD18" s="2827"/>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f t="shared" si="10"/>
        <v>0</v>
      </c>
      <c r="AY18" s="2864">
        <f t="shared" si="11"/>
        <v>0</v>
      </c>
      <c r="AZ18" s="2795">
        <f t="shared" si="12"/>
        <v>0</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0</v>
      </c>
      <c r="BM18" s="2795">
        <f t="shared" si="25"/>
        <v>0</v>
      </c>
      <c r="BN18" s="2795">
        <f t="shared" si="26"/>
        <v>0</v>
      </c>
      <c r="BO18" s="2795">
        <f t="shared" si="27"/>
        <v>0</v>
      </c>
      <c r="BP18" s="2795">
        <f t="shared" si="28"/>
        <v>0</v>
      </c>
      <c r="BQ18" s="2795">
        <f t="shared" si="29"/>
        <v>0</v>
      </c>
      <c r="BR18" s="2795">
        <f t="shared" si="30"/>
        <v>0</v>
      </c>
      <c r="BS18" s="2795">
        <f t="shared" si="31"/>
        <v>0</v>
      </c>
      <c r="BT18" s="2869">
        <f t="shared" si="32"/>
        <v>0</v>
      </c>
    </row>
    <row r="19" spans="1:72">
      <c r="A19" s="2792"/>
      <c r="B19" s="2799"/>
      <c r="C19" s="2800"/>
      <c r="D19" s="2801"/>
      <c r="E19" s="2795">
        <f t="shared" si="6"/>
        <v>0</v>
      </c>
      <c r="F19" s="2796"/>
      <c r="G19" s="2797">
        <f t="shared" si="7"/>
        <v>0</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0</v>
      </c>
      <c r="AD19" s="2827"/>
      <c r="AE19" s="2827"/>
      <c r="AF19" s="2800"/>
      <c r="AG19" s="2827"/>
      <c r="AH19" s="2827"/>
      <c r="AI19" s="2827"/>
      <c r="AJ19" s="2827"/>
      <c r="AK19" s="2827"/>
      <c r="AL19" s="2827"/>
      <c r="AM19" s="2827"/>
      <c r="AN19" s="2800"/>
      <c r="AO19" s="2827"/>
      <c r="AP19" s="2827"/>
      <c r="AQ19" s="2827"/>
      <c r="AR19" s="2827"/>
      <c r="AS19" s="2827"/>
      <c r="AT19" s="2847"/>
      <c r="AU19" s="2848"/>
      <c r="AV19" s="447">
        <f t="shared" si="10"/>
        <v>0</v>
      </c>
      <c r="AW19" s="447">
        <f t="shared" si="10"/>
        <v>0</v>
      </c>
      <c r="AX19" s="447">
        <f t="shared" si="10"/>
        <v>0</v>
      </c>
      <c r="AY19" s="2864">
        <f t="shared" si="11"/>
        <v>0</v>
      </c>
      <c r="AZ19" s="2795">
        <f t="shared" si="12"/>
        <v>0</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0</v>
      </c>
      <c r="BM19" s="2795">
        <f t="shared" si="25"/>
        <v>0</v>
      </c>
      <c r="BN19" s="2795">
        <f t="shared" si="26"/>
        <v>0</v>
      </c>
      <c r="BO19" s="2795">
        <f t="shared" si="27"/>
        <v>0</v>
      </c>
      <c r="BP19" s="2795">
        <f t="shared" si="28"/>
        <v>0</v>
      </c>
      <c r="BQ19" s="2795">
        <f t="shared" si="29"/>
        <v>0</v>
      </c>
      <c r="BR19" s="2795">
        <f t="shared" si="30"/>
        <v>0</v>
      </c>
      <c r="BS19" s="2795">
        <f t="shared" si="31"/>
        <v>0</v>
      </c>
      <c r="BT19" s="2869">
        <f t="shared" si="32"/>
        <v>0</v>
      </c>
    </row>
    <row r="20" spans="1:72">
      <c r="A20" s="2792"/>
      <c r="B20" s="2799"/>
      <c r="C20" s="2800"/>
      <c r="D20" s="2801"/>
      <c r="E20" s="2795">
        <f t="shared" si="6"/>
        <v>0</v>
      </c>
      <c r="F20" s="2796"/>
      <c r="G20" s="2797">
        <f t="shared" si="7"/>
        <v>0</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0</v>
      </c>
      <c r="AD20" s="2827"/>
      <c r="AE20" s="2827"/>
      <c r="AF20" s="2800"/>
      <c r="AG20" s="2827"/>
      <c r="AH20" s="2827"/>
      <c r="AI20" s="2827"/>
      <c r="AJ20" s="2827"/>
      <c r="AK20" s="2827"/>
      <c r="AL20" s="2827"/>
      <c r="AM20" s="2827"/>
      <c r="AN20" s="2800"/>
      <c r="AO20" s="2827"/>
      <c r="AP20" s="2827"/>
      <c r="AQ20" s="2827"/>
      <c r="AR20" s="2827"/>
      <c r="AS20" s="2827"/>
      <c r="AT20" s="2847"/>
      <c r="AU20" s="2848"/>
      <c r="AV20" s="447">
        <f t="shared" si="10"/>
        <v>0</v>
      </c>
      <c r="AW20" s="447">
        <f t="shared" si="10"/>
        <v>0</v>
      </c>
      <c r="AX20" s="447">
        <f t="shared" si="10"/>
        <v>0</v>
      </c>
      <c r="AY20" s="2864">
        <f t="shared" si="11"/>
        <v>0</v>
      </c>
      <c r="AZ20" s="2795">
        <f t="shared" si="12"/>
        <v>0</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0</v>
      </c>
      <c r="BM20" s="2795">
        <f t="shared" si="25"/>
        <v>0</v>
      </c>
      <c r="BN20" s="2795">
        <f t="shared" si="26"/>
        <v>0</v>
      </c>
      <c r="BO20" s="2795">
        <f t="shared" si="27"/>
        <v>0</v>
      </c>
      <c r="BP20" s="2795">
        <f t="shared" si="28"/>
        <v>0</v>
      </c>
      <c r="BQ20" s="2795">
        <f t="shared" si="29"/>
        <v>0</v>
      </c>
      <c r="BR20" s="2795">
        <f t="shared" si="30"/>
        <v>0</v>
      </c>
      <c r="BS20" s="2795">
        <f t="shared" si="31"/>
        <v>0</v>
      </c>
      <c r="BT20" s="2869">
        <f t="shared" si="32"/>
        <v>0</v>
      </c>
    </row>
    <row r="21" spans="1:72">
      <c r="A21" s="2792"/>
      <c r="B21" s="2802"/>
      <c r="C21" s="2800"/>
      <c r="D21" s="2801"/>
      <c r="E21" s="2795">
        <f t="shared" ref="E21:E112" si="33">IF($C$3="是",ROUND($A$3*G21/$B$3,2),ROUND($A$3*(G21-AT21)/$B$3,2))</f>
        <v>0</v>
      </c>
      <c r="F21" s="2796"/>
      <c r="G21" s="2797">
        <f t="shared" ref="G21:G109" si="34">H21+AC21+AT21</f>
        <v>0</v>
      </c>
      <c r="H21" s="2798">
        <f t="shared" ref="H21:H109" si="35">SUMIF(I$12:AB$12,"总值",I21:AB21)</f>
        <v>0</v>
      </c>
      <c r="I21" s="2804"/>
      <c r="J21" s="2816"/>
      <c r="K21" s="2804"/>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0</v>
      </c>
      <c r="AD21" s="2827"/>
      <c r="AE21" s="2827"/>
      <c r="AF21" s="2828"/>
      <c r="AG21" s="2827"/>
      <c r="AH21" s="2827"/>
      <c r="AI21" s="2827"/>
      <c r="AJ21" s="2827"/>
      <c r="AK21" s="2827"/>
      <c r="AL21" s="2827"/>
      <c r="AM21" s="2827"/>
      <c r="AN21" s="2817"/>
      <c r="AO21" s="2827"/>
      <c r="AP21" s="2827"/>
      <c r="AQ21" s="2827"/>
      <c r="AR21" s="2827"/>
      <c r="AS21" s="2827"/>
      <c r="AT21" s="2847"/>
      <c r="AU21" s="2848"/>
      <c r="AV21" s="447">
        <f t="shared" ref="AV21:AV112" si="37">A21</f>
        <v>0</v>
      </c>
      <c r="AW21" s="447">
        <f t="shared" ref="AW21:AW112" si="38">B21</f>
        <v>0</v>
      </c>
      <c r="AX21" s="447">
        <f t="shared" ref="AX21:AX112" si="39">C21</f>
        <v>0</v>
      </c>
      <c r="AY21" s="2864">
        <f t="shared" ref="AY21:AY109" si="40">ROUND($AY$6*AZ21/$AZ$5,2)</f>
        <v>0</v>
      </c>
      <c r="AZ21" s="2795">
        <f t="shared" ref="AZ21:AZ109" si="41">BA21+BL21</f>
        <v>0</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0</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0</v>
      </c>
      <c r="BR21" s="2795">
        <f t="shared" ref="BR21:BR109" si="59">IF($D21="是",AN21-AO21,0)</f>
        <v>0</v>
      </c>
      <c r="BS21" s="2795">
        <f t="shared" ref="BS21:BS109" si="60">IF($D21="是",AP21-AQ21,0)</f>
        <v>0</v>
      </c>
      <c r="BT21" s="2869">
        <f t="shared" ref="BT21:BT109" si="61">IF($D21="是",AR21-AS21,0)</f>
        <v>0</v>
      </c>
    </row>
    <row r="22" spans="1:72">
      <c r="A22" s="2792"/>
      <c r="B22" s="2802"/>
      <c r="C22" s="2800"/>
      <c r="D22" s="2801"/>
      <c r="E22" s="2795">
        <f t="shared" si="33"/>
        <v>0</v>
      </c>
      <c r="F22" s="2796"/>
      <c r="G22" s="2797">
        <f t="shared" si="34"/>
        <v>0</v>
      </c>
      <c r="H22" s="2798">
        <f t="shared" si="35"/>
        <v>0</v>
      </c>
      <c r="I22" s="2804"/>
      <c r="J22" s="2816"/>
      <c r="K22" s="2804"/>
      <c r="L22" s="2816"/>
      <c r="M22" s="2817"/>
      <c r="N22" s="2816"/>
      <c r="O22" s="2816"/>
      <c r="P22" s="2816"/>
      <c r="Q22" s="2816"/>
      <c r="R22" s="2816"/>
      <c r="S22" s="2816"/>
      <c r="T22" s="2816"/>
      <c r="U22" s="2816"/>
      <c r="V22" s="2816"/>
      <c r="W22" s="2816"/>
      <c r="X22" s="2816"/>
      <c r="Y22" s="2816"/>
      <c r="Z22" s="2816"/>
      <c r="AA22" s="2816"/>
      <c r="AB22" s="2816"/>
      <c r="AC22" s="2795">
        <f t="shared" si="36"/>
        <v>0</v>
      </c>
      <c r="AD22" s="2817"/>
      <c r="AE22" s="2827"/>
      <c r="AF22" s="2828"/>
      <c r="AG22" s="2827"/>
      <c r="AH22" s="2827"/>
      <c r="AI22" s="2827"/>
      <c r="AJ22" s="2827"/>
      <c r="AK22" s="2827"/>
      <c r="AL22" s="2817"/>
      <c r="AM22" s="2827"/>
      <c r="AN22" s="2817"/>
      <c r="AO22" s="2827"/>
      <c r="AP22" s="2827"/>
      <c r="AQ22" s="2827"/>
      <c r="AR22" s="2827"/>
      <c r="AS22" s="2827"/>
      <c r="AT22" s="2847"/>
      <c r="AU22" s="2848"/>
      <c r="AV22" s="447">
        <f t="shared" si="37"/>
        <v>0</v>
      </c>
      <c r="AW22" s="447">
        <f t="shared" si="38"/>
        <v>0</v>
      </c>
      <c r="AX22" s="447">
        <f t="shared" si="39"/>
        <v>0</v>
      </c>
      <c r="AY22" s="2864">
        <f t="shared" si="40"/>
        <v>0</v>
      </c>
      <c r="AZ22" s="2795">
        <f t="shared" si="41"/>
        <v>0</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0</v>
      </c>
      <c r="BM22" s="2795">
        <f t="shared" si="54"/>
        <v>0</v>
      </c>
      <c r="BN22" s="2795">
        <f t="shared" si="55"/>
        <v>0</v>
      </c>
      <c r="BO22" s="2795">
        <f t="shared" si="56"/>
        <v>0</v>
      </c>
      <c r="BP22" s="2795">
        <f t="shared" si="57"/>
        <v>0</v>
      </c>
      <c r="BQ22" s="2795">
        <f t="shared" si="58"/>
        <v>0</v>
      </c>
      <c r="BR22" s="2795">
        <f t="shared" si="59"/>
        <v>0</v>
      </c>
      <c r="BS22" s="2795">
        <f t="shared" si="60"/>
        <v>0</v>
      </c>
      <c r="BT22" s="2869">
        <f t="shared" si="61"/>
        <v>0</v>
      </c>
    </row>
    <row r="23" spans="1:72">
      <c r="A23" s="2792"/>
      <c r="B23" s="2802"/>
      <c r="C23" s="2800"/>
      <c r="D23" s="2801"/>
      <c r="E23" s="2795">
        <f t="shared" si="33"/>
        <v>0</v>
      </c>
      <c r="F23" s="2796"/>
      <c r="G23" s="2797">
        <f t="shared" si="34"/>
        <v>0</v>
      </c>
      <c r="H23" s="2798">
        <f t="shared" si="35"/>
        <v>0</v>
      </c>
      <c r="I23" s="2804"/>
      <c r="J23" s="2816"/>
      <c r="K23" s="2804"/>
      <c r="L23" s="2816"/>
      <c r="M23" s="2817"/>
      <c r="N23" s="2816"/>
      <c r="O23" s="2816"/>
      <c r="P23" s="2816"/>
      <c r="Q23" s="2816"/>
      <c r="R23" s="2816"/>
      <c r="S23" s="2816"/>
      <c r="T23" s="2816"/>
      <c r="U23" s="2816"/>
      <c r="V23" s="2816"/>
      <c r="W23" s="2816"/>
      <c r="X23" s="2816"/>
      <c r="Y23" s="2816"/>
      <c r="Z23" s="2816"/>
      <c r="AA23" s="2816"/>
      <c r="AB23" s="2816"/>
      <c r="AC23" s="2795">
        <f t="shared" si="36"/>
        <v>0</v>
      </c>
      <c r="AD23" s="2827"/>
      <c r="AE23" s="2827"/>
      <c r="AF23" s="2828"/>
      <c r="AG23" s="2827"/>
      <c r="AH23" s="2827"/>
      <c r="AI23" s="2827"/>
      <c r="AJ23" s="2827"/>
      <c r="AK23" s="2827"/>
      <c r="AL23" s="2817"/>
      <c r="AM23" s="2827"/>
      <c r="AN23" s="2817"/>
      <c r="AO23" s="2827"/>
      <c r="AP23" s="2827"/>
      <c r="AQ23" s="2827"/>
      <c r="AR23" s="2827"/>
      <c r="AS23" s="2827"/>
      <c r="AT23" s="2847"/>
      <c r="AU23" s="2848"/>
      <c r="AV23" s="447">
        <f t="shared" si="37"/>
        <v>0</v>
      </c>
      <c r="AW23" s="447">
        <f t="shared" si="38"/>
        <v>0</v>
      </c>
      <c r="AX23" s="447">
        <f t="shared" si="39"/>
        <v>0</v>
      </c>
      <c r="AY23" s="2864">
        <f t="shared" si="40"/>
        <v>0</v>
      </c>
      <c r="AZ23" s="2795">
        <f t="shared" si="41"/>
        <v>0</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0</v>
      </c>
      <c r="BM23" s="2795">
        <f t="shared" si="54"/>
        <v>0</v>
      </c>
      <c r="BN23" s="2795">
        <f t="shared" si="55"/>
        <v>0</v>
      </c>
      <c r="BO23" s="2795">
        <f t="shared" si="56"/>
        <v>0</v>
      </c>
      <c r="BP23" s="2795">
        <f t="shared" si="57"/>
        <v>0</v>
      </c>
      <c r="BQ23" s="2795">
        <f t="shared" si="58"/>
        <v>0</v>
      </c>
      <c r="BR23" s="2795">
        <f t="shared" si="59"/>
        <v>0</v>
      </c>
      <c r="BS23" s="2795">
        <f t="shared" si="60"/>
        <v>0</v>
      </c>
      <c r="BT23" s="2869">
        <f t="shared" si="61"/>
        <v>0</v>
      </c>
    </row>
    <row r="24" spans="1:72">
      <c r="A24" s="2792"/>
      <c r="B24" s="2802"/>
      <c r="C24" s="2800"/>
      <c r="D24" s="2801"/>
      <c r="E24" s="2795">
        <f t="shared" si="33"/>
        <v>0</v>
      </c>
      <c r="F24" s="2796"/>
      <c r="G24" s="2797">
        <f t="shared" si="34"/>
        <v>0</v>
      </c>
      <c r="H24" s="2798">
        <f t="shared" si="35"/>
        <v>0</v>
      </c>
      <c r="I24" s="2804"/>
      <c r="J24" s="2816"/>
      <c r="K24" s="2804"/>
      <c r="L24" s="2816"/>
      <c r="M24" s="2816"/>
      <c r="N24" s="2816"/>
      <c r="O24" s="2817"/>
      <c r="P24" s="2816"/>
      <c r="Q24" s="2816"/>
      <c r="R24" s="2816"/>
      <c r="S24" s="2816"/>
      <c r="T24" s="2816"/>
      <c r="U24" s="2816"/>
      <c r="V24" s="2816"/>
      <c r="W24" s="2816"/>
      <c r="X24" s="2816"/>
      <c r="Y24" s="2816"/>
      <c r="Z24" s="2816"/>
      <c r="AA24" s="2816"/>
      <c r="AB24" s="2816"/>
      <c r="AC24" s="2795">
        <f t="shared" si="36"/>
        <v>0</v>
      </c>
      <c r="AD24" s="2827"/>
      <c r="AE24" s="2827"/>
      <c r="AF24" s="2828"/>
      <c r="AG24" s="2827"/>
      <c r="AH24" s="2827"/>
      <c r="AI24" s="2827"/>
      <c r="AJ24" s="2827"/>
      <c r="AK24" s="2827"/>
      <c r="AL24" s="2827"/>
      <c r="AM24" s="2827"/>
      <c r="AN24" s="2817"/>
      <c r="AO24" s="2827"/>
      <c r="AP24" s="2827"/>
      <c r="AQ24" s="2827"/>
      <c r="AR24" s="2827"/>
      <c r="AS24" s="2827"/>
      <c r="AT24" s="2847"/>
      <c r="AU24" s="2848"/>
      <c r="AV24" s="447">
        <f t="shared" si="37"/>
        <v>0</v>
      </c>
      <c r="AW24" s="447">
        <f t="shared" si="38"/>
        <v>0</v>
      </c>
      <c r="AX24" s="447">
        <f t="shared" si="39"/>
        <v>0</v>
      </c>
      <c r="AY24" s="2864">
        <f t="shared" si="40"/>
        <v>0</v>
      </c>
      <c r="AZ24" s="2795">
        <f t="shared" si="41"/>
        <v>0</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0</v>
      </c>
      <c r="BM24" s="2795">
        <f t="shared" si="54"/>
        <v>0</v>
      </c>
      <c r="BN24" s="2795">
        <f t="shared" si="55"/>
        <v>0</v>
      </c>
      <c r="BO24" s="2795">
        <f t="shared" si="56"/>
        <v>0</v>
      </c>
      <c r="BP24" s="2795">
        <f t="shared" si="57"/>
        <v>0</v>
      </c>
      <c r="BQ24" s="2795">
        <f t="shared" si="58"/>
        <v>0</v>
      </c>
      <c r="BR24" s="2795">
        <f t="shared" si="59"/>
        <v>0</v>
      </c>
      <c r="BS24" s="2795">
        <f t="shared" si="60"/>
        <v>0</v>
      </c>
      <c r="BT24" s="2869">
        <f t="shared" si="61"/>
        <v>0</v>
      </c>
    </row>
    <row r="25" spans="1:72">
      <c r="A25" s="2792"/>
      <c r="B25" s="2802"/>
      <c r="C25" s="2800"/>
      <c r="D25" s="2801"/>
      <c r="E25" s="2795">
        <f t="shared" si="33"/>
        <v>0</v>
      </c>
      <c r="F25" s="2796"/>
      <c r="G25" s="2797">
        <f t="shared" si="34"/>
        <v>0</v>
      </c>
      <c r="H25" s="2798">
        <f t="shared" si="35"/>
        <v>0</v>
      </c>
      <c r="I25" s="2804"/>
      <c r="J25" s="2816"/>
      <c r="K25" s="2804"/>
      <c r="L25" s="2816"/>
      <c r="M25" s="2816"/>
      <c r="N25" s="2816"/>
      <c r="O25" s="2816"/>
      <c r="P25" s="2816"/>
      <c r="Q25" s="2816"/>
      <c r="R25" s="2816"/>
      <c r="S25" s="2816"/>
      <c r="T25" s="2816"/>
      <c r="U25" s="2816"/>
      <c r="V25" s="2816"/>
      <c r="W25" s="2816"/>
      <c r="X25" s="2816"/>
      <c r="Y25" s="2816"/>
      <c r="Z25" s="2816"/>
      <c r="AA25" s="2816"/>
      <c r="AB25" s="2816"/>
      <c r="AC25" s="2795">
        <f t="shared" si="36"/>
        <v>0</v>
      </c>
      <c r="AD25" s="2827"/>
      <c r="AE25" s="2827"/>
      <c r="AF25" s="2828"/>
      <c r="AG25" s="2827"/>
      <c r="AH25" s="2827"/>
      <c r="AI25" s="2827"/>
      <c r="AJ25" s="2827"/>
      <c r="AK25" s="2827"/>
      <c r="AL25" s="2827"/>
      <c r="AM25" s="2827"/>
      <c r="AN25" s="2827"/>
      <c r="AO25" s="2827"/>
      <c r="AP25" s="2827"/>
      <c r="AQ25" s="2827"/>
      <c r="AR25" s="2827"/>
      <c r="AS25" s="2827"/>
      <c r="AT25" s="2847"/>
      <c r="AU25" s="2848"/>
      <c r="AV25" s="447">
        <f t="shared" si="37"/>
        <v>0</v>
      </c>
      <c r="AW25" s="447">
        <f t="shared" si="38"/>
        <v>0</v>
      </c>
      <c r="AX25" s="447">
        <f t="shared" si="39"/>
        <v>0</v>
      </c>
      <c r="AY25" s="2864">
        <f t="shared" si="40"/>
        <v>0</v>
      </c>
      <c r="AZ25" s="2795">
        <f t="shared" si="41"/>
        <v>0</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0</v>
      </c>
      <c r="BM25" s="2795">
        <f t="shared" si="54"/>
        <v>0</v>
      </c>
      <c r="BN25" s="2795">
        <f t="shared" si="55"/>
        <v>0</v>
      </c>
      <c r="BO25" s="2795">
        <f t="shared" si="56"/>
        <v>0</v>
      </c>
      <c r="BP25" s="2795">
        <f t="shared" si="57"/>
        <v>0</v>
      </c>
      <c r="BQ25" s="2795">
        <f t="shared" si="58"/>
        <v>0</v>
      </c>
      <c r="BR25" s="2795">
        <f t="shared" si="59"/>
        <v>0</v>
      </c>
      <c r="BS25" s="2795">
        <f t="shared" si="60"/>
        <v>0</v>
      </c>
      <c r="BT25" s="2869">
        <f t="shared" si="61"/>
        <v>0</v>
      </c>
    </row>
    <row r="26" spans="1:72">
      <c r="A26" s="2792"/>
      <c r="B26" s="2802"/>
      <c r="C26" s="2800"/>
      <c r="D26" s="2801"/>
      <c r="E26" s="2795">
        <f t="shared" si="33"/>
        <v>0</v>
      </c>
      <c r="F26" s="2796"/>
      <c r="G26" s="2797">
        <f t="shared" si="34"/>
        <v>0</v>
      </c>
      <c r="H26" s="2798">
        <f t="shared" si="35"/>
        <v>0</v>
      </c>
      <c r="I26" s="2804"/>
      <c r="J26" s="2816"/>
      <c r="K26" s="2804"/>
      <c r="L26" s="2816"/>
      <c r="M26" s="2816"/>
      <c r="N26" s="2816"/>
      <c r="O26" s="2816"/>
      <c r="P26" s="2816"/>
      <c r="Q26" s="2816"/>
      <c r="R26" s="2816"/>
      <c r="S26" s="2816"/>
      <c r="T26" s="2816"/>
      <c r="U26" s="2816"/>
      <c r="V26" s="2816"/>
      <c r="W26" s="2816"/>
      <c r="X26" s="2816"/>
      <c r="Y26" s="2816"/>
      <c r="Z26" s="2816"/>
      <c r="AA26" s="2816"/>
      <c r="AB26" s="2816"/>
      <c r="AC26" s="2795">
        <f t="shared" si="36"/>
        <v>0</v>
      </c>
      <c r="AD26" s="2827"/>
      <c r="AE26" s="2827"/>
      <c r="AF26" s="2828"/>
      <c r="AG26" s="2827"/>
      <c r="AH26" s="2827"/>
      <c r="AI26" s="2827"/>
      <c r="AJ26" s="2827"/>
      <c r="AK26" s="2827"/>
      <c r="AL26" s="2827"/>
      <c r="AM26" s="2827"/>
      <c r="AN26" s="2827"/>
      <c r="AO26" s="2827"/>
      <c r="AP26" s="2827"/>
      <c r="AQ26" s="2827"/>
      <c r="AR26" s="2827"/>
      <c r="AS26" s="2827"/>
      <c r="AT26" s="2847"/>
      <c r="AU26" s="2848"/>
      <c r="AV26" s="447">
        <f t="shared" si="37"/>
        <v>0</v>
      </c>
      <c r="AW26" s="447">
        <f t="shared" si="38"/>
        <v>0</v>
      </c>
      <c r="AX26" s="447">
        <f t="shared" si="39"/>
        <v>0</v>
      </c>
      <c r="AY26" s="2864">
        <f t="shared" si="40"/>
        <v>0</v>
      </c>
      <c r="AZ26" s="2795">
        <f t="shared" si="41"/>
        <v>0</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0</v>
      </c>
      <c r="BM26" s="2795">
        <f t="shared" si="54"/>
        <v>0</v>
      </c>
      <c r="BN26" s="2795">
        <f t="shared" si="55"/>
        <v>0</v>
      </c>
      <c r="BO26" s="2795">
        <f t="shared" si="56"/>
        <v>0</v>
      </c>
      <c r="BP26" s="2795">
        <f t="shared" si="57"/>
        <v>0</v>
      </c>
      <c r="BQ26" s="2795">
        <f t="shared" si="58"/>
        <v>0</v>
      </c>
      <c r="BR26" s="2795">
        <f t="shared" si="59"/>
        <v>0</v>
      </c>
      <c r="BS26" s="2795">
        <f t="shared" si="60"/>
        <v>0</v>
      </c>
      <c r="BT26" s="2869">
        <f t="shared" si="61"/>
        <v>0</v>
      </c>
    </row>
    <row r="27" spans="1:72">
      <c r="A27" s="2792"/>
      <c r="B27" s="2802"/>
      <c r="C27" s="2800"/>
      <c r="D27" s="2801"/>
      <c r="E27" s="2795">
        <f t="shared" si="33"/>
        <v>0</v>
      </c>
      <c r="F27" s="2796"/>
      <c r="G27" s="2797">
        <f t="shared" si="34"/>
        <v>0</v>
      </c>
      <c r="H27" s="2798">
        <f t="shared" si="35"/>
        <v>0</v>
      </c>
      <c r="I27" s="2804"/>
      <c r="J27" s="2816"/>
      <c r="K27" s="2804"/>
      <c r="L27" s="2816"/>
      <c r="M27" s="2816"/>
      <c r="N27" s="2816"/>
      <c r="O27" s="2816"/>
      <c r="P27" s="2816"/>
      <c r="Q27" s="2816"/>
      <c r="R27" s="2816"/>
      <c r="S27" s="2816"/>
      <c r="T27" s="2816"/>
      <c r="U27" s="2816"/>
      <c r="V27" s="2816"/>
      <c r="W27" s="2816"/>
      <c r="X27" s="2816"/>
      <c r="Y27" s="2816"/>
      <c r="Z27" s="2816"/>
      <c r="AA27" s="2816"/>
      <c r="AB27" s="2816"/>
      <c r="AC27" s="2795">
        <f t="shared" si="36"/>
        <v>0</v>
      </c>
      <c r="AD27" s="2827"/>
      <c r="AE27" s="2827"/>
      <c r="AF27" s="2828"/>
      <c r="AG27" s="2827"/>
      <c r="AH27" s="2827"/>
      <c r="AI27" s="2827"/>
      <c r="AJ27" s="2827"/>
      <c r="AK27" s="2827"/>
      <c r="AL27" s="2827"/>
      <c r="AM27" s="2827"/>
      <c r="AN27" s="2827"/>
      <c r="AO27" s="2827"/>
      <c r="AP27" s="2827"/>
      <c r="AQ27" s="2827"/>
      <c r="AR27" s="2827"/>
      <c r="AS27" s="2827"/>
      <c r="AT27" s="2847"/>
      <c r="AU27" s="2848"/>
      <c r="AV27" s="447">
        <f t="shared" si="37"/>
        <v>0</v>
      </c>
      <c r="AW27" s="447">
        <f t="shared" si="38"/>
        <v>0</v>
      </c>
      <c r="AX27" s="447">
        <f t="shared" si="39"/>
        <v>0</v>
      </c>
      <c r="AY27" s="2864">
        <f t="shared" si="40"/>
        <v>0</v>
      </c>
      <c r="AZ27" s="2795">
        <f t="shared" si="41"/>
        <v>0</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0</v>
      </c>
      <c r="BM27" s="2795">
        <f t="shared" si="54"/>
        <v>0</v>
      </c>
      <c r="BN27" s="2795">
        <f t="shared" si="55"/>
        <v>0</v>
      </c>
      <c r="BO27" s="2795">
        <f t="shared" si="56"/>
        <v>0</v>
      </c>
      <c r="BP27" s="2795">
        <f t="shared" si="57"/>
        <v>0</v>
      </c>
      <c r="BQ27" s="2795">
        <f t="shared" si="58"/>
        <v>0</v>
      </c>
      <c r="BR27" s="2795">
        <f t="shared" si="59"/>
        <v>0</v>
      </c>
      <c r="BS27" s="2795">
        <f t="shared" si="60"/>
        <v>0</v>
      </c>
      <c r="BT27" s="2869">
        <f t="shared" si="61"/>
        <v>0</v>
      </c>
    </row>
    <row r="28" spans="1:72">
      <c r="A28" s="2792"/>
      <c r="B28" s="2802"/>
      <c r="C28" s="2800"/>
      <c r="D28" s="2801"/>
      <c r="E28" s="2795">
        <f t="shared" si="33"/>
        <v>0</v>
      </c>
      <c r="F28" s="2796"/>
      <c r="G28" s="2797">
        <f t="shared" si="34"/>
        <v>0</v>
      </c>
      <c r="H28" s="2798">
        <f t="shared" si="35"/>
        <v>0</v>
      </c>
      <c r="I28" s="2804"/>
      <c r="J28" s="2816"/>
      <c r="K28" s="2804"/>
      <c r="L28" s="2816"/>
      <c r="M28" s="2816"/>
      <c r="N28" s="2816"/>
      <c r="O28" s="2816"/>
      <c r="P28" s="2816"/>
      <c r="Q28" s="2816"/>
      <c r="R28" s="2816"/>
      <c r="S28" s="2816"/>
      <c r="T28" s="2816"/>
      <c r="U28" s="2816"/>
      <c r="V28" s="2816"/>
      <c r="W28" s="2816"/>
      <c r="X28" s="2816"/>
      <c r="Y28" s="2816"/>
      <c r="Z28" s="2816"/>
      <c r="AA28" s="2816"/>
      <c r="AB28" s="2816"/>
      <c r="AC28" s="2795">
        <f t="shared" si="36"/>
        <v>0</v>
      </c>
      <c r="AD28" s="2827"/>
      <c r="AE28" s="2827"/>
      <c r="AF28" s="2804"/>
      <c r="AG28" s="2827"/>
      <c r="AH28" s="2827"/>
      <c r="AI28" s="2827"/>
      <c r="AJ28" s="2827"/>
      <c r="AK28" s="2827"/>
      <c r="AL28" s="2827"/>
      <c r="AM28" s="2827"/>
      <c r="AN28" s="2827"/>
      <c r="AO28" s="2827"/>
      <c r="AP28" s="2827"/>
      <c r="AQ28" s="2827"/>
      <c r="AR28" s="2827"/>
      <c r="AS28" s="2827"/>
      <c r="AT28" s="2847"/>
      <c r="AU28" s="2848"/>
      <c r="AV28" s="447">
        <f t="shared" si="37"/>
        <v>0</v>
      </c>
      <c r="AW28" s="447">
        <f t="shared" si="38"/>
        <v>0</v>
      </c>
      <c r="AX28" s="447">
        <f t="shared" si="39"/>
        <v>0</v>
      </c>
      <c r="AY28" s="2864">
        <f t="shared" si="40"/>
        <v>0</v>
      </c>
      <c r="AZ28" s="2795">
        <f t="shared" si="41"/>
        <v>0</v>
      </c>
      <c r="BA28" s="2795">
        <f t="shared" si="42"/>
        <v>0</v>
      </c>
      <c r="BB28" s="2795">
        <f t="shared" si="43"/>
        <v>0</v>
      </c>
      <c r="BC28" s="2795">
        <f t="shared" si="44"/>
        <v>0</v>
      </c>
      <c r="BD28" s="2795">
        <f t="shared" si="45"/>
        <v>0</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c r="A29" s="2792"/>
      <c r="B29" s="2803"/>
      <c r="C29" s="2804"/>
      <c r="D29" s="2801"/>
      <c r="E29" s="2795">
        <f t="shared" si="33"/>
        <v>0</v>
      </c>
      <c r="F29" s="2796"/>
      <c r="G29" s="2797">
        <f t="shared" si="34"/>
        <v>0</v>
      </c>
      <c r="H29" s="2798">
        <f t="shared" si="35"/>
        <v>0</v>
      </c>
      <c r="I29" s="2804"/>
      <c r="J29" s="2816"/>
      <c r="K29" s="2804"/>
      <c r="L29" s="2816"/>
      <c r="M29" s="2816"/>
      <c r="N29" s="2816"/>
      <c r="O29" s="2816"/>
      <c r="P29" s="2816"/>
      <c r="Q29" s="2816"/>
      <c r="R29" s="2816"/>
      <c r="S29" s="2816"/>
      <c r="T29" s="2816"/>
      <c r="U29" s="2816"/>
      <c r="V29" s="2816"/>
      <c r="W29" s="2816"/>
      <c r="X29" s="2816"/>
      <c r="Y29" s="2816"/>
      <c r="Z29" s="2816"/>
      <c r="AA29" s="2816"/>
      <c r="AB29" s="2816"/>
      <c r="AC29" s="2795">
        <f t="shared" si="36"/>
        <v>0</v>
      </c>
      <c r="AD29" s="2827"/>
      <c r="AE29" s="2827"/>
      <c r="AF29" s="2804"/>
      <c r="AG29" s="2827"/>
      <c r="AH29" s="2827"/>
      <c r="AI29" s="2827"/>
      <c r="AJ29" s="2827"/>
      <c r="AK29" s="2827"/>
      <c r="AL29" s="2827"/>
      <c r="AM29" s="2827"/>
      <c r="AN29" s="2827"/>
      <c r="AO29" s="2827"/>
      <c r="AP29" s="2827"/>
      <c r="AQ29" s="2827"/>
      <c r="AR29" s="2827"/>
      <c r="AS29" s="2827"/>
      <c r="AT29" s="2847"/>
      <c r="AU29" s="2848"/>
      <c r="AV29" s="447">
        <f t="shared" si="37"/>
        <v>0</v>
      </c>
      <c r="AW29" s="447">
        <f t="shared" si="38"/>
        <v>0</v>
      </c>
      <c r="AX29" s="447">
        <f t="shared" si="39"/>
        <v>0</v>
      </c>
      <c r="AY29" s="2864">
        <f t="shared" si="40"/>
        <v>0</v>
      </c>
      <c r="AZ29" s="2795">
        <f t="shared" si="41"/>
        <v>0</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0</v>
      </c>
      <c r="BM29" s="2795">
        <f t="shared" si="54"/>
        <v>0</v>
      </c>
      <c r="BN29" s="2795">
        <f t="shared" si="55"/>
        <v>0</v>
      </c>
      <c r="BO29" s="2795">
        <f t="shared" si="56"/>
        <v>0</v>
      </c>
      <c r="BP29" s="2795">
        <f t="shared" si="57"/>
        <v>0</v>
      </c>
      <c r="BQ29" s="2795">
        <f t="shared" si="58"/>
        <v>0</v>
      </c>
      <c r="BR29" s="2795">
        <f t="shared" si="59"/>
        <v>0</v>
      </c>
      <c r="BS29" s="2795">
        <f t="shared" si="60"/>
        <v>0</v>
      </c>
      <c r="BT29" s="2869">
        <f t="shared" si="61"/>
        <v>0</v>
      </c>
    </row>
    <row r="30" spans="1:72">
      <c r="A30" s="2792"/>
      <c r="B30" s="2802"/>
      <c r="C30" s="2800"/>
      <c r="D30" s="2801"/>
      <c r="E30" s="2795">
        <f t="shared" si="33"/>
        <v>0</v>
      </c>
      <c r="F30" s="2796"/>
      <c r="G30" s="2797">
        <f t="shared" si="34"/>
        <v>0</v>
      </c>
      <c r="H30" s="2798">
        <f t="shared" si="35"/>
        <v>0</v>
      </c>
      <c r="I30" s="2804"/>
      <c r="J30" s="2816"/>
      <c r="K30" s="2804"/>
      <c r="L30" s="2816"/>
      <c r="M30" s="2816"/>
      <c r="N30" s="2816"/>
      <c r="O30" s="2816"/>
      <c r="P30" s="2816"/>
      <c r="Q30" s="2816"/>
      <c r="R30" s="2816"/>
      <c r="S30" s="2816"/>
      <c r="T30" s="2816"/>
      <c r="U30" s="2816"/>
      <c r="V30" s="2816"/>
      <c r="W30" s="2816"/>
      <c r="X30" s="2816"/>
      <c r="Y30" s="2816"/>
      <c r="Z30" s="2816"/>
      <c r="AA30" s="2816"/>
      <c r="AB30" s="2816"/>
      <c r="AC30" s="2795">
        <f t="shared" si="36"/>
        <v>0</v>
      </c>
      <c r="AD30" s="2827"/>
      <c r="AE30" s="2827"/>
      <c r="AF30" s="2804"/>
      <c r="AG30" s="2827"/>
      <c r="AH30" s="2827"/>
      <c r="AI30" s="2827"/>
      <c r="AJ30" s="2827"/>
      <c r="AK30" s="2827"/>
      <c r="AL30" s="2827"/>
      <c r="AM30" s="2827"/>
      <c r="AN30" s="2827"/>
      <c r="AO30" s="2827"/>
      <c r="AP30" s="2827"/>
      <c r="AQ30" s="2827"/>
      <c r="AR30" s="2827"/>
      <c r="AS30" s="2827"/>
      <c r="AT30" s="2847"/>
      <c r="AU30" s="2848"/>
      <c r="AV30" s="447">
        <f t="shared" si="37"/>
        <v>0</v>
      </c>
      <c r="AW30" s="447">
        <f t="shared" si="38"/>
        <v>0</v>
      </c>
      <c r="AX30" s="447">
        <f t="shared" si="39"/>
        <v>0</v>
      </c>
      <c r="AY30" s="2864">
        <f t="shared" si="40"/>
        <v>0</v>
      </c>
      <c r="AZ30" s="2795">
        <f t="shared" si="41"/>
        <v>0</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0</v>
      </c>
      <c r="BM30" s="2795">
        <f t="shared" si="54"/>
        <v>0</v>
      </c>
      <c r="BN30" s="2795">
        <f t="shared" si="55"/>
        <v>0</v>
      </c>
      <c r="BO30" s="2795">
        <f t="shared" si="56"/>
        <v>0</v>
      </c>
      <c r="BP30" s="2795">
        <f t="shared" si="57"/>
        <v>0</v>
      </c>
      <c r="BQ30" s="2795">
        <f t="shared" si="58"/>
        <v>0</v>
      </c>
      <c r="BR30" s="2795">
        <f t="shared" si="59"/>
        <v>0</v>
      </c>
      <c r="BS30" s="2795">
        <f t="shared" si="60"/>
        <v>0</v>
      </c>
      <c r="BT30" s="2869">
        <f t="shared" si="61"/>
        <v>0</v>
      </c>
    </row>
    <row r="31" spans="1:72">
      <c r="A31" s="2792"/>
      <c r="B31" s="2802"/>
      <c r="C31" s="2800"/>
      <c r="D31" s="2801"/>
      <c r="E31" s="2795">
        <f t="shared" si="33"/>
        <v>0</v>
      </c>
      <c r="F31" s="2796"/>
      <c r="G31" s="2797">
        <f t="shared" si="34"/>
        <v>0</v>
      </c>
      <c r="H31" s="2798">
        <f t="shared" si="35"/>
        <v>0</v>
      </c>
      <c r="I31" s="2804"/>
      <c r="J31" s="2816"/>
      <c r="K31" s="2804"/>
      <c r="L31" s="2816"/>
      <c r="M31" s="2816"/>
      <c r="N31" s="2816"/>
      <c r="O31" s="2816"/>
      <c r="P31" s="2816"/>
      <c r="Q31" s="2816"/>
      <c r="R31" s="2816"/>
      <c r="S31" s="2816"/>
      <c r="T31" s="2816"/>
      <c r="U31" s="2816"/>
      <c r="V31" s="2816"/>
      <c r="W31" s="2816"/>
      <c r="X31" s="2816"/>
      <c r="Y31" s="2816"/>
      <c r="Z31" s="2816"/>
      <c r="AA31" s="2816"/>
      <c r="AB31" s="2816"/>
      <c r="AC31" s="2795">
        <f t="shared" si="36"/>
        <v>0</v>
      </c>
      <c r="AD31" s="2827"/>
      <c r="AE31" s="2827"/>
      <c r="AF31" s="2804"/>
      <c r="AG31" s="2827"/>
      <c r="AH31" s="2827"/>
      <c r="AI31" s="2827"/>
      <c r="AJ31" s="2827"/>
      <c r="AK31" s="2827"/>
      <c r="AL31" s="2827"/>
      <c r="AM31" s="2827"/>
      <c r="AN31" s="2827"/>
      <c r="AO31" s="2827"/>
      <c r="AP31" s="2827"/>
      <c r="AQ31" s="2827"/>
      <c r="AR31" s="2827"/>
      <c r="AS31" s="2827"/>
      <c r="AT31" s="2847"/>
      <c r="AU31" s="2848"/>
      <c r="AV31" s="447">
        <f t="shared" si="37"/>
        <v>0</v>
      </c>
      <c r="AW31" s="447">
        <f t="shared" si="38"/>
        <v>0</v>
      </c>
      <c r="AX31" s="447">
        <f t="shared" si="39"/>
        <v>0</v>
      </c>
      <c r="AY31" s="2864">
        <f t="shared" si="40"/>
        <v>0</v>
      </c>
      <c r="AZ31" s="2795">
        <f t="shared" si="41"/>
        <v>0</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0</v>
      </c>
      <c r="BM31" s="2795">
        <f t="shared" si="54"/>
        <v>0</v>
      </c>
      <c r="BN31" s="2795">
        <f t="shared" si="55"/>
        <v>0</v>
      </c>
      <c r="BO31" s="2795">
        <f t="shared" si="56"/>
        <v>0</v>
      </c>
      <c r="BP31" s="2795">
        <f t="shared" si="57"/>
        <v>0</v>
      </c>
      <c r="BQ31" s="2795">
        <f t="shared" si="58"/>
        <v>0</v>
      </c>
      <c r="BR31" s="2795">
        <f t="shared" si="59"/>
        <v>0</v>
      </c>
      <c r="BS31" s="2795">
        <f t="shared" si="60"/>
        <v>0</v>
      </c>
      <c r="BT31" s="2869">
        <f t="shared" si="61"/>
        <v>0</v>
      </c>
    </row>
    <row r="32" spans="1:72">
      <c r="A32" s="2792"/>
      <c r="B32" s="2802"/>
      <c r="C32" s="2800"/>
      <c r="D32" s="2801"/>
      <c r="E32" s="2795">
        <f t="shared" si="33"/>
        <v>0</v>
      </c>
      <c r="F32" s="2796"/>
      <c r="G32" s="2797">
        <f t="shared" si="34"/>
        <v>0</v>
      </c>
      <c r="H32" s="2798">
        <f t="shared" si="35"/>
        <v>0</v>
      </c>
      <c r="I32" s="2804"/>
      <c r="J32" s="2816"/>
      <c r="K32" s="2804"/>
      <c r="L32" s="2816"/>
      <c r="M32" s="2816"/>
      <c r="N32" s="2816"/>
      <c r="O32" s="2816"/>
      <c r="P32" s="2816"/>
      <c r="Q32" s="2816"/>
      <c r="R32" s="2816"/>
      <c r="S32" s="2816"/>
      <c r="T32" s="2816"/>
      <c r="U32" s="2816"/>
      <c r="V32" s="2816"/>
      <c r="W32" s="2816"/>
      <c r="X32" s="2816"/>
      <c r="Y32" s="2816"/>
      <c r="Z32" s="2816"/>
      <c r="AA32" s="2816"/>
      <c r="AB32" s="2816"/>
      <c r="AC32" s="2795">
        <f t="shared" si="36"/>
        <v>0</v>
      </c>
      <c r="AD32" s="2827"/>
      <c r="AE32" s="2827"/>
      <c r="AF32" s="2804"/>
      <c r="AG32" s="2827"/>
      <c r="AH32" s="2827"/>
      <c r="AI32" s="2827"/>
      <c r="AJ32" s="2827"/>
      <c r="AK32" s="2827"/>
      <c r="AL32" s="2827"/>
      <c r="AM32" s="2827"/>
      <c r="AN32" s="2827"/>
      <c r="AO32" s="2827"/>
      <c r="AP32" s="2827"/>
      <c r="AQ32" s="2827"/>
      <c r="AR32" s="2827"/>
      <c r="AS32" s="2827"/>
      <c r="AT32" s="2847"/>
      <c r="AU32" s="2848"/>
      <c r="AV32" s="447">
        <f t="shared" si="37"/>
        <v>0</v>
      </c>
      <c r="AW32" s="447">
        <f t="shared" si="38"/>
        <v>0</v>
      </c>
      <c r="AX32" s="447">
        <f t="shared" si="39"/>
        <v>0</v>
      </c>
      <c r="AY32" s="2864">
        <f t="shared" si="40"/>
        <v>0</v>
      </c>
      <c r="AZ32" s="2795">
        <f t="shared" si="41"/>
        <v>0</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0</v>
      </c>
      <c r="BM32" s="2795">
        <f t="shared" si="54"/>
        <v>0</v>
      </c>
      <c r="BN32" s="2795">
        <f t="shared" si="55"/>
        <v>0</v>
      </c>
      <c r="BO32" s="2795">
        <f t="shared" si="56"/>
        <v>0</v>
      </c>
      <c r="BP32" s="2795">
        <f t="shared" si="57"/>
        <v>0</v>
      </c>
      <c r="BQ32" s="2795">
        <f t="shared" si="58"/>
        <v>0</v>
      </c>
      <c r="BR32" s="2795">
        <f t="shared" si="59"/>
        <v>0</v>
      </c>
      <c r="BS32" s="2795">
        <f t="shared" si="60"/>
        <v>0</v>
      </c>
      <c r="BT32" s="2869">
        <f t="shared" si="61"/>
        <v>0</v>
      </c>
    </row>
    <row r="33" spans="1:72">
      <c r="A33" s="2792"/>
      <c r="B33" s="2802"/>
      <c r="C33" s="2800"/>
      <c r="D33" s="2801"/>
      <c r="E33" s="2795">
        <f t="shared" si="33"/>
        <v>0</v>
      </c>
      <c r="F33" s="2796"/>
      <c r="G33" s="2797">
        <f t="shared" si="34"/>
        <v>0</v>
      </c>
      <c r="H33" s="2798">
        <f t="shared" si="35"/>
        <v>0</v>
      </c>
      <c r="I33" s="2804"/>
      <c r="J33" s="2816"/>
      <c r="K33" s="2804"/>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4"/>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c r="A34" s="2792"/>
      <c r="B34" s="2802"/>
      <c r="C34" s="2800"/>
      <c r="D34" s="2801"/>
      <c r="E34" s="2795">
        <f t="shared" si="33"/>
        <v>0</v>
      </c>
      <c r="F34" s="2796"/>
      <c r="G34" s="2797">
        <f t="shared" si="34"/>
        <v>0</v>
      </c>
      <c r="H34" s="2798">
        <f t="shared" si="35"/>
        <v>0</v>
      </c>
      <c r="I34" s="2804"/>
      <c r="J34" s="2816"/>
      <c r="K34" s="2804"/>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4"/>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c r="A35" s="2792"/>
      <c r="B35" s="2802"/>
      <c r="C35" s="2800"/>
      <c r="D35" s="2801"/>
      <c r="E35" s="2795">
        <f t="shared" si="33"/>
        <v>0</v>
      </c>
      <c r="F35" s="2796"/>
      <c r="G35" s="2797">
        <f t="shared" si="34"/>
        <v>0</v>
      </c>
      <c r="H35" s="2798">
        <f t="shared" si="35"/>
        <v>0</v>
      </c>
      <c r="I35" s="2804"/>
      <c r="J35" s="2816"/>
      <c r="K35" s="2804"/>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4"/>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c r="A36" s="2792"/>
      <c r="B36" s="2802"/>
      <c r="C36" s="2800"/>
      <c r="D36" s="2801"/>
      <c r="E36" s="2795">
        <f t="shared" si="33"/>
        <v>0</v>
      </c>
      <c r="F36" s="2796"/>
      <c r="G36" s="2797">
        <f t="shared" si="34"/>
        <v>0</v>
      </c>
      <c r="H36" s="2798">
        <f t="shared" si="35"/>
        <v>0</v>
      </c>
      <c r="I36" s="2804"/>
      <c r="J36" s="2816"/>
      <c r="K36" s="2804"/>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4"/>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c r="A37" s="2792"/>
      <c r="B37" s="2802"/>
      <c r="C37" s="2800"/>
      <c r="D37" s="2801"/>
      <c r="E37" s="2795">
        <f t="shared" si="33"/>
        <v>0</v>
      </c>
      <c r="F37" s="2796"/>
      <c r="G37" s="2797">
        <f t="shared" si="34"/>
        <v>0</v>
      </c>
      <c r="H37" s="2798">
        <f t="shared" si="35"/>
        <v>0</v>
      </c>
      <c r="I37" s="2804"/>
      <c r="J37" s="2816"/>
      <c r="K37" s="2804"/>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4"/>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c r="A38" s="2792"/>
      <c r="B38" s="2802"/>
      <c r="C38" s="2800"/>
      <c r="D38" s="2801"/>
      <c r="E38" s="2795">
        <f t="shared" si="33"/>
        <v>0</v>
      </c>
      <c r="F38" s="2796"/>
      <c r="G38" s="2797">
        <f t="shared" si="34"/>
        <v>0</v>
      </c>
      <c r="H38" s="2798">
        <f t="shared" si="35"/>
        <v>0</v>
      </c>
      <c r="I38" s="2804"/>
      <c r="J38" s="2816"/>
      <c r="K38" s="2804"/>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4"/>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c r="A39" s="2792"/>
      <c r="B39" s="2802"/>
      <c r="C39" s="2800"/>
      <c r="D39" s="2801"/>
      <c r="E39" s="2795">
        <f t="shared" si="33"/>
        <v>0</v>
      </c>
      <c r="F39" s="2796"/>
      <c r="G39" s="2797">
        <f t="shared" si="34"/>
        <v>0</v>
      </c>
      <c r="H39" s="2798">
        <f t="shared" si="35"/>
        <v>0</v>
      </c>
      <c r="I39" s="2804"/>
      <c r="J39" s="2816"/>
      <c r="K39" s="2804"/>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4"/>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c r="A40" s="2792"/>
      <c r="B40" s="2802"/>
      <c r="C40" s="2800"/>
      <c r="D40" s="2801"/>
      <c r="E40" s="2795">
        <f t="shared" si="33"/>
        <v>0</v>
      </c>
      <c r="F40" s="2796"/>
      <c r="G40" s="2797">
        <f t="shared" si="34"/>
        <v>0</v>
      </c>
      <c r="H40" s="2798">
        <f t="shared" si="35"/>
        <v>0</v>
      </c>
      <c r="I40" s="2804"/>
      <c r="J40" s="2816"/>
      <c r="K40" s="2804"/>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4"/>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c r="A41" s="2792"/>
      <c r="B41" s="2802"/>
      <c r="C41" s="2800"/>
      <c r="D41" s="2801"/>
      <c r="E41" s="2795">
        <f t="shared" si="33"/>
        <v>0</v>
      </c>
      <c r="F41" s="2796"/>
      <c r="G41" s="2797">
        <f t="shared" si="34"/>
        <v>0</v>
      </c>
      <c r="H41" s="2798">
        <f t="shared" si="35"/>
        <v>0</v>
      </c>
      <c r="I41" s="2804"/>
      <c r="J41" s="2816"/>
      <c r="K41" s="2804"/>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4"/>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c r="A42" s="2792"/>
      <c r="B42" s="2802"/>
      <c r="C42" s="2800"/>
      <c r="D42" s="2801"/>
      <c r="E42" s="2795">
        <f t="shared" si="33"/>
        <v>0</v>
      </c>
      <c r="F42" s="2796"/>
      <c r="G42" s="2797">
        <f t="shared" si="34"/>
        <v>0</v>
      </c>
      <c r="H42" s="2798">
        <f t="shared" si="35"/>
        <v>0</v>
      </c>
      <c r="I42" s="2804"/>
      <c r="J42" s="2816"/>
      <c r="K42" s="2804"/>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4"/>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c r="A43" s="2792"/>
      <c r="B43" s="2802"/>
      <c r="C43" s="2800"/>
      <c r="D43" s="2801"/>
      <c r="E43" s="2795">
        <f t="shared" si="33"/>
        <v>0</v>
      </c>
      <c r="F43" s="2796"/>
      <c r="G43" s="2797">
        <f t="shared" si="34"/>
        <v>0</v>
      </c>
      <c r="H43" s="2798">
        <f t="shared" si="35"/>
        <v>0</v>
      </c>
      <c r="I43" s="2804"/>
      <c r="J43" s="2816"/>
      <c r="K43" s="2804"/>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4"/>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c r="A44" s="2792"/>
      <c r="B44" s="2802"/>
      <c r="C44" s="2800"/>
      <c r="D44" s="2801"/>
      <c r="E44" s="2795">
        <f t="shared" si="33"/>
        <v>0</v>
      </c>
      <c r="F44" s="2796"/>
      <c r="G44" s="2797">
        <f t="shared" si="34"/>
        <v>0</v>
      </c>
      <c r="H44" s="2798">
        <f t="shared" si="35"/>
        <v>0</v>
      </c>
      <c r="I44" s="2804"/>
      <c r="J44" s="2816"/>
      <c r="K44" s="2804"/>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4"/>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c r="A45" s="2792"/>
      <c r="B45" s="2802"/>
      <c r="C45" s="2800"/>
      <c r="D45" s="2801"/>
      <c r="E45" s="2795">
        <f t="shared" si="33"/>
        <v>0</v>
      </c>
      <c r="F45" s="2796"/>
      <c r="G45" s="2797">
        <f t="shared" si="34"/>
        <v>0</v>
      </c>
      <c r="H45" s="2798">
        <f t="shared" si="35"/>
        <v>0</v>
      </c>
      <c r="I45" s="2804"/>
      <c r="J45" s="2816"/>
      <c r="K45" s="2804"/>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4"/>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c r="A46" s="2792"/>
      <c r="B46" s="2802"/>
      <c r="C46" s="2800"/>
      <c r="D46" s="2801"/>
      <c r="E46" s="2795">
        <f t="shared" si="33"/>
        <v>0</v>
      </c>
      <c r="F46" s="2796"/>
      <c r="G46" s="2797">
        <f t="shared" si="34"/>
        <v>0</v>
      </c>
      <c r="H46" s="2798">
        <f t="shared" si="35"/>
        <v>0</v>
      </c>
      <c r="I46" s="2804"/>
      <c r="J46" s="2816"/>
      <c r="K46" s="2804"/>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4"/>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c r="A47" s="2792"/>
      <c r="B47" s="2802"/>
      <c r="C47" s="2800"/>
      <c r="D47" s="2801"/>
      <c r="E47" s="2795">
        <f t="shared" si="33"/>
        <v>0</v>
      </c>
      <c r="F47" s="2796"/>
      <c r="G47" s="2797">
        <f t="shared" si="34"/>
        <v>0</v>
      </c>
      <c r="H47" s="2798">
        <f t="shared" si="35"/>
        <v>0</v>
      </c>
      <c r="I47" s="2804"/>
      <c r="J47" s="2816"/>
      <c r="K47" s="2804"/>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c r="A48" s="2792"/>
      <c r="B48" s="2802"/>
      <c r="C48" s="2800"/>
      <c r="D48" s="2801"/>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c r="A49" s="2792"/>
      <c r="B49" s="2802"/>
      <c r="C49" s="2800"/>
      <c r="D49" s="2801"/>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c r="A50" s="2792"/>
      <c r="B50" s="2802"/>
      <c r="C50" s="2800"/>
      <c r="D50" s="2801"/>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c r="A51" s="2792"/>
      <c r="B51" s="2802"/>
      <c r="C51" s="2800"/>
      <c r="D51" s="2801"/>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c r="A52" s="2792"/>
      <c r="B52" s="2802"/>
      <c r="C52" s="2800"/>
      <c r="D52" s="2801"/>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c r="A53" s="2792"/>
      <c r="B53" s="2802"/>
      <c r="C53" s="2800"/>
      <c r="D53" s="2801"/>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c r="A54" s="2792"/>
      <c r="B54" s="2802"/>
      <c r="C54" s="2800"/>
      <c r="D54" s="2801"/>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c r="A55" s="2792"/>
      <c r="B55" s="2803"/>
      <c r="C55" s="2804"/>
      <c r="D55" s="2801"/>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c r="A113" s="2792"/>
      <c r="B113" s="2802"/>
      <c r="C113" s="2800"/>
      <c r="D113" s="2801"/>
      <c r="E113" s="2795">
        <f t="shared" ref="E113:E144" si="87">IF($C$3="是",ROUND($A$3*G113/$B$3,2),ROUND($A$3*(G113-AT113)/$B$3,2))</f>
        <v>0</v>
      </c>
      <c r="F113" s="2796"/>
      <c r="G113" s="2797">
        <f t="shared" si="62"/>
        <v>0</v>
      </c>
      <c r="H113" s="2798">
        <f t="shared" si="63"/>
        <v>0</v>
      </c>
      <c r="I113" s="2804"/>
      <c r="J113" s="2816"/>
      <c r="K113" s="2804"/>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c r="A114" s="2792"/>
      <c r="B114" s="2802"/>
      <c r="C114" s="2800"/>
      <c r="D114" s="2801"/>
      <c r="E114" s="2795">
        <f t="shared" si="87"/>
        <v>0</v>
      </c>
      <c r="F114" s="2796"/>
      <c r="G114" s="2797">
        <f t="shared" si="62"/>
        <v>0</v>
      </c>
      <c r="H114" s="2798">
        <f t="shared" si="63"/>
        <v>0</v>
      </c>
      <c r="I114" s="2804"/>
      <c r="J114" s="2816"/>
      <c r="K114" s="2804"/>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c r="A115" s="2792"/>
      <c r="B115" s="2802"/>
      <c r="C115" s="2800"/>
      <c r="D115" s="2801"/>
      <c r="E115" s="2795">
        <f t="shared" si="87"/>
        <v>0</v>
      </c>
      <c r="F115" s="2796"/>
      <c r="G115" s="2797">
        <f t="shared" si="62"/>
        <v>0</v>
      </c>
      <c r="H115" s="2798">
        <f t="shared" si="63"/>
        <v>0</v>
      </c>
      <c r="I115" s="2804"/>
      <c r="J115" s="2816"/>
      <c r="K115" s="2804"/>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c r="A116" s="2792"/>
      <c r="B116" s="2802"/>
      <c r="C116" s="2800"/>
      <c r="D116" s="2801"/>
      <c r="E116" s="2795">
        <f t="shared" si="87"/>
        <v>0</v>
      </c>
      <c r="F116" s="2796"/>
      <c r="G116" s="2797">
        <f t="shared" si="62"/>
        <v>0</v>
      </c>
      <c r="H116" s="2798">
        <f t="shared" si="63"/>
        <v>0</v>
      </c>
      <c r="I116" s="2804"/>
      <c r="J116" s="2816"/>
      <c r="K116" s="2804"/>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c r="A117" s="2792"/>
      <c r="B117" s="2802"/>
      <c r="C117" s="2800"/>
      <c r="D117" s="2801"/>
      <c r="E117" s="2795">
        <f t="shared" si="87"/>
        <v>0</v>
      </c>
      <c r="F117" s="2796"/>
      <c r="G117" s="2797">
        <f t="shared" si="62"/>
        <v>0</v>
      </c>
      <c r="H117" s="2798">
        <f t="shared" si="63"/>
        <v>0</v>
      </c>
      <c r="I117" s="2804"/>
      <c r="J117" s="2816"/>
      <c r="K117" s="2804"/>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c r="A118" s="2792"/>
      <c r="B118" s="2802"/>
      <c r="C118" s="2800"/>
      <c r="D118" s="2801"/>
      <c r="E118" s="2795">
        <f t="shared" si="87"/>
        <v>0</v>
      </c>
      <c r="F118" s="2796"/>
      <c r="G118" s="2797">
        <f t="shared" si="62"/>
        <v>0</v>
      </c>
      <c r="H118" s="2798">
        <f t="shared" si="63"/>
        <v>0</v>
      </c>
      <c r="I118" s="2804"/>
      <c r="J118" s="2816"/>
      <c r="K118" s="2804"/>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c r="A119" s="2792"/>
      <c r="B119" s="2802"/>
      <c r="C119" s="2800"/>
      <c r="D119" s="2801"/>
      <c r="E119" s="2795">
        <f t="shared" si="87"/>
        <v>0</v>
      </c>
      <c r="F119" s="2796"/>
      <c r="G119" s="2797">
        <f t="shared" si="62"/>
        <v>0</v>
      </c>
      <c r="H119" s="2798">
        <f t="shared" si="63"/>
        <v>0</v>
      </c>
      <c r="I119" s="2804"/>
      <c r="J119" s="2816"/>
      <c r="K119" s="2804"/>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c r="A120" s="2792"/>
      <c r="B120" s="2802"/>
      <c r="C120" s="2800"/>
      <c r="D120" s="2801"/>
      <c r="E120" s="2795">
        <f t="shared" si="87"/>
        <v>0</v>
      </c>
      <c r="F120" s="2796"/>
      <c r="G120" s="2797">
        <f t="shared" si="62"/>
        <v>0</v>
      </c>
      <c r="H120" s="2798">
        <f t="shared" si="63"/>
        <v>0</v>
      </c>
      <c r="I120" s="2804"/>
      <c r="J120" s="2816"/>
      <c r="K120" s="2804"/>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4"/>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c r="A121" s="2792"/>
      <c r="B121" s="2803"/>
      <c r="C121" s="2804"/>
      <c r="D121" s="2801"/>
      <c r="E121" s="2795">
        <f t="shared" si="87"/>
        <v>0</v>
      </c>
      <c r="F121" s="2796"/>
      <c r="G121" s="2797">
        <f t="shared" si="62"/>
        <v>0</v>
      </c>
      <c r="H121" s="2798">
        <f t="shared" si="63"/>
        <v>0</v>
      </c>
      <c r="I121" s="2804"/>
      <c r="J121" s="2816"/>
      <c r="K121" s="2804"/>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4"/>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c r="A122" s="2792"/>
      <c r="B122" s="2802"/>
      <c r="C122" s="2800"/>
      <c r="D122" s="2801"/>
      <c r="E122" s="2795">
        <f t="shared" si="87"/>
        <v>0</v>
      </c>
      <c r="F122" s="2796"/>
      <c r="G122" s="2797">
        <f t="shared" si="62"/>
        <v>0</v>
      </c>
      <c r="H122" s="2798">
        <f t="shared" si="63"/>
        <v>0</v>
      </c>
      <c r="I122" s="2804"/>
      <c r="J122" s="2816"/>
      <c r="K122" s="2804"/>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4"/>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c r="A123" s="2792"/>
      <c r="B123" s="2802"/>
      <c r="C123" s="2800"/>
      <c r="D123" s="2801"/>
      <c r="E123" s="2795">
        <f t="shared" si="87"/>
        <v>0</v>
      </c>
      <c r="F123" s="2796"/>
      <c r="G123" s="2797">
        <f t="shared" si="62"/>
        <v>0</v>
      </c>
      <c r="H123" s="2798">
        <f t="shared" si="63"/>
        <v>0</v>
      </c>
      <c r="I123" s="2804"/>
      <c r="J123" s="2816"/>
      <c r="K123" s="2804"/>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4"/>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c r="A124" s="2792"/>
      <c r="B124" s="2802"/>
      <c r="C124" s="2800"/>
      <c r="D124" s="2801"/>
      <c r="E124" s="2795">
        <f t="shared" si="87"/>
        <v>0</v>
      </c>
      <c r="F124" s="2796"/>
      <c r="G124" s="2797">
        <f t="shared" si="62"/>
        <v>0</v>
      </c>
      <c r="H124" s="2798">
        <f t="shared" si="63"/>
        <v>0</v>
      </c>
      <c r="I124" s="2804"/>
      <c r="J124" s="2816"/>
      <c r="K124" s="2804"/>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4"/>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c r="A125" s="2792"/>
      <c r="B125" s="2802"/>
      <c r="C125" s="2800"/>
      <c r="D125" s="2801"/>
      <c r="E125" s="2795">
        <f t="shared" si="87"/>
        <v>0</v>
      </c>
      <c r="F125" s="2796"/>
      <c r="G125" s="2797">
        <f t="shared" si="62"/>
        <v>0</v>
      </c>
      <c r="H125" s="2798">
        <f t="shared" si="63"/>
        <v>0</v>
      </c>
      <c r="I125" s="2804"/>
      <c r="J125" s="2816"/>
      <c r="K125" s="2804"/>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4"/>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c r="A126" s="2792"/>
      <c r="B126" s="2802"/>
      <c r="C126" s="2800"/>
      <c r="D126" s="2801"/>
      <c r="E126" s="2795">
        <f t="shared" si="87"/>
        <v>0</v>
      </c>
      <c r="F126" s="2796"/>
      <c r="G126" s="2797">
        <f t="shared" si="62"/>
        <v>0</v>
      </c>
      <c r="H126" s="2798">
        <f t="shared" si="63"/>
        <v>0</v>
      </c>
      <c r="I126" s="2804"/>
      <c r="J126" s="2816"/>
      <c r="K126" s="2804"/>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4"/>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c r="A127" s="2792"/>
      <c r="B127" s="2802"/>
      <c r="C127" s="2800"/>
      <c r="D127" s="2801"/>
      <c r="E127" s="2795">
        <f t="shared" si="87"/>
        <v>0</v>
      </c>
      <c r="F127" s="2796"/>
      <c r="G127" s="2797">
        <f t="shared" si="62"/>
        <v>0</v>
      </c>
      <c r="H127" s="2798">
        <f t="shared" si="63"/>
        <v>0</v>
      </c>
      <c r="I127" s="2804"/>
      <c r="J127" s="2816"/>
      <c r="K127" s="2804"/>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4"/>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c r="A128" s="2792"/>
      <c r="B128" s="2802"/>
      <c r="C128" s="2800"/>
      <c r="D128" s="2801"/>
      <c r="E128" s="2795">
        <f t="shared" si="87"/>
        <v>0</v>
      </c>
      <c r="F128" s="2796"/>
      <c r="G128" s="2797">
        <f t="shared" si="62"/>
        <v>0</v>
      </c>
      <c r="H128" s="2798">
        <f t="shared" si="63"/>
        <v>0</v>
      </c>
      <c r="I128" s="2804"/>
      <c r="J128" s="2816"/>
      <c r="K128" s="2804"/>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4"/>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c r="A129" s="2792"/>
      <c r="B129" s="2802"/>
      <c r="C129" s="2800"/>
      <c r="D129" s="2801"/>
      <c r="E129" s="2795">
        <f t="shared" si="87"/>
        <v>0</v>
      </c>
      <c r="F129" s="2796"/>
      <c r="G129" s="2797">
        <f t="shared" si="62"/>
        <v>0</v>
      </c>
      <c r="H129" s="2798">
        <f t="shared" si="63"/>
        <v>0</v>
      </c>
      <c r="I129" s="2804"/>
      <c r="J129" s="2816"/>
      <c r="K129" s="2804"/>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4"/>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c r="A130" s="2792"/>
      <c r="B130" s="2802"/>
      <c r="C130" s="2800"/>
      <c r="D130" s="2801"/>
      <c r="E130" s="2795">
        <f t="shared" si="87"/>
        <v>0</v>
      </c>
      <c r="F130" s="2796"/>
      <c r="G130" s="2797">
        <f t="shared" si="62"/>
        <v>0</v>
      </c>
      <c r="H130" s="2798">
        <f t="shared" si="63"/>
        <v>0</v>
      </c>
      <c r="I130" s="2804"/>
      <c r="J130" s="2816"/>
      <c r="K130" s="2804"/>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4"/>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c r="A131" s="2792"/>
      <c r="B131" s="2802"/>
      <c r="C131" s="2800"/>
      <c r="D131" s="2801"/>
      <c r="E131" s="2795">
        <f t="shared" si="87"/>
        <v>0</v>
      </c>
      <c r="F131" s="2796"/>
      <c r="G131" s="2797">
        <f t="shared" si="62"/>
        <v>0</v>
      </c>
      <c r="H131" s="2798">
        <f t="shared" si="63"/>
        <v>0</v>
      </c>
      <c r="I131" s="2804"/>
      <c r="J131" s="2816"/>
      <c r="K131" s="2804"/>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4"/>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c r="A132" s="2792"/>
      <c r="B132" s="2802"/>
      <c r="C132" s="2800"/>
      <c r="D132" s="2801"/>
      <c r="E132" s="2795">
        <f t="shared" si="87"/>
        <v>0</v>
      </c>
      <c r="F132" s="2796"/>
      <c r="G132" s="2797">
        <f t="shared" si="62"/>
        <v>0</v>
      </c>
      <c r="H132" s="2798">
        <f t="shared" si="63"/>
        <v>0</v>
      </c>
      <c r="I132" s="2804"/>
      <c r="J132" s="2816"/>
      <c r="K132" s="2804"/>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4"/>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c r="A133" s="2792"/>
      <c r="B133" s="2802"/>
      <c r="C133" s="2800"/>
      <c r="D133" s="2801"/>
      <c r="E133" s="2795">
        <f t="shared" si="87"/>
        <v>0</v>
      </c>
      <c r="F133" s="2796"/>
      <c r="G133" s="2797">
        <f t="shared" si="62"/>
        <v>0</v>
      </c>
      <c r="H133" s="2798">
        <f t="shared" si="63"/>
        <v>0</v>
      </c>
      <c r="I133" s="2804"/>
      <c r="J133" s="2816"/>
      <c r="K133" s="2804"/>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4"/>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c r="A134" s="2792"/>
      <c r="B134" s="2802"/>
      <c r="C134" s="2800"/>
      <c r="D134" s="2801"/>
      <c r="E134" s="2795">
        <f t="shared" si="87"/>
        <v>0</v>
      </c>
      <c r="F134" s="2796"/>
      <c r="G134" s="2797">
        <f t="shared" si="62"/>
        <v>0</v>
      </c>
      <c r="H134" s="2798">
        <f t="shared" si="63"/>
        <v>0</v>
      </c>
      <c r="I134" s="2804"/>
      <c r="J134" s="2816"/>
      <c r="K134" s="2804"/>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4"/>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c r="A135" s="2792"/>
      <c r="B135" s="2802"/>
      <c r="C135" s="2800"/>
      <c r="D135" s="2801"/>
      <c r="E135" s="2795">
        <f t="shared" si="87"/>
        <v>0</v>
      </c>
      <c r="F135" s="2796"/>
      <c r="G135" s="2797">
        <f t="shared" si="62"/>
        <v>0</v>
      </c>
      <c r="H135" s="2798">
        <f t="shared" si="63"/>
        <v>0</v>
      </c>
      <c r="I135" s="2804"/>
      <c r="J135" s="2816"/>
      <c r="K135" s="2804"/>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4"/>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c r="A136" s="2792"/>
      <c r="B136" s="2802"/>
      <c r="C136" s="2800"/>
      <c r="D136" s="2801"/>
      <c r="E136" s="2795">
        <f t="shared" si="87"/>
        <v>0</v>
      </c>
      <c r="F136" s="2796"/>
      <c r="G136" s="2797">
        <f t="shared" si="62"/>
        <v>0</v>
      </c>
      <c r="H136" s="2798">
        <f t="shared" si="63"/>
        <v>0</v>
      </c>
      <c r="I136" s="2804"/>
      <c r="J136" s="2816"/>
      <c r="K136" s="2804"/>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4"/>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c r="A137" s="2792"/>
      <c r="B137" s="2802"/>
      <c r="C137" s="2800"/>
      <c r="D137" s="2801"/>
      <c r="E137" s="2795">
        <f t="shared" si="87"/>
        <v>0</v>
      </c>
      <c r="F137" s="2796"/>
      <c r="G137" s="2797">
        <f t="shared" si="62"/>
        <v>0</v>
      </c>
      <c r="H137" s="2798">
        <f t="shared" si="63"/>
        <v>0</v>
      </c>
      <c r="I137" s="2804"/>
      <c r="J137" s="2816"/>
      <c r="K137" s="2804"/>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4"/>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c r="A138" s="2792"/>
      <c r="B138" s="2802"/>
      <c r="C138" s="2800"/>
      <c r="D138" s="2801"/>
      <c r="E138" s="2795">
        <f t="shared" si="87"/>
        <v>0</v>
      </c>
      <c r="F138" s="2796"/>
      <c r="G138" s="2797">
        <f t="shared" si="62"/>
        <v>0</v>
      </c>
      <c r="H138" s="2798">
        <f t="shared" si="63"/>
        <v>0</v>
      </c>
      <c r="I138" s="2804"/>
      <c r="J138" s="2816"/>
      <c r="K138" s="2804"/>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4"/>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c r="A139" s="2792"/>
      <c r="B139" s="2802"/>
      <c r="C139" s="2800"/>
      <c r="D139" s="2801"/>
      <c r="E139" s="2795">
        <f t="shared" si="87"/>
        <v>0</v>
      </c>
      <c r="F139" s="2796"/>
      <c r="G139" s="2797">
        <f t="shared" si="62"/>
        <v>0</v>
      </c>
      <c r="H139" s="2798">
        <f t="shared" si="63"/>
        <v>0</v>
      </c>
      <c r="I139" s="2804"/>
      <c r="J139" s="2816"/>
      <c r="K139" s="2804"/>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c r="A140" s="2792"/>
      <c r="B140" s="2802"/>
      <c r="C140" s="2800"/>
      <c r="D140" s="2801"/>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c r="A141" s="2792"/>
      <c r="B141" s="2802"/>
      <c r="C141" s="2800"/>
      <c r="D141" s="2801"/>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c r="A142" s="2792"/>
      <c r="B142" s="2802"/>
      <c r="C142" s="2800"/>
      <c r="D142" s="2801"/>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c r="A143" s="2792"/>
      <c r="B143" s="2802"/>
      <c r="C143" s="2800"/>
      <c r="D143" s="2801"/>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c r="A144" s="2792"/>
      <c r="B144" s="2802"/>
      <c r="C144" s="2800"/>
      <c r="D144" s="2801"/>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c r="A145" s="2792"/>
      <c r="B145" s="2802"/>
      <c r="C145" s="2800"/>
      <c r="D145" s="2801"/>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c r="A146" s="2792"/>
      <c r="B146" s="2802"/>
      <c r="C146" s="2800"/>
      <c r="D146" s="2801"/>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c r="A147" s="2792"/>
      <c r="B147" s="2803"/>
      <c r="C147" s="2804"/>
      <c r="D147" s="2801"/>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c r="A205" s="2792"/>
      <c r="B205" s="2802"/>
      <c r="C205" s="2800"/>
      <c r="D205" s="2801"/>
      <c r="E205" s="2795">
        <f t="shared" ref="E205:E296" si="149">IF($C$3="是",ROUND($A$3*G205/$B$3,2),ROUND($A$3*(G205-AT205)/$B$3,2))</f>
        <v>0</v>
      </c>
      <c r="F205" s="2796"/>
      <c r="G205" s="2797">
        <f t="shared" ref="G205:G293" si="150">H205+AC205+AT205</f>
        <v>0</v>
      </c>
      <c r="H205" s="2798">
        <f t="shared" ref="H205:H293" si="151">SUMIF(I$12:AB$12,"总值",I205:AB205)</f>
        <v>0</v>
      </c>
      <c r="I205" s="2804"/>
      <c r="J205" s="2816"/>
      <c r="K205" s="2804"/>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c r="A206" s="2792"/>
      <c r="B206" s="2802"/>
      <c r="C206" s="2800"/>
      <c r="D206" s="2801"/>
      <c r="E206" s="2795">
        <f t="shared" si="149"/>
        <v>0</v>
      </c>
      <c r="F206" s="2796"/>
      <c r="G206" s="2797">
        <f t="shared" si="150"/>
        <v>0</v>
      </c>
      <c r="H206" s="2798">
        <f t="shared" si="151"/>
        <v>0</v>
      </c>
      <c r="I206" s="2804"/>
      <c r="J206" s="2816"/>
      <c r="K206" s="2804"/>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c r="A207" s="2792"/>
      <c r="B207" s="2802"/>
      <c r="C207" s="2800"/>
      <c r="D207" s="2801"/>
      <c r="E207" s="2795">
        <f t="shared" si="149"/>
        <v>0</v>
      </c>
      <c r="F207" s="2796"/>
      <c r="G207" s="2797">
        <f t="shared" si="150"/>
        <v>0</v>
      </c>
      <c r="H207" s="2798">
        <f t="shared" si="151"/>
        <v>0</v>
      </c>
      <c r="I207" s="2804"/>
      <c r="J207" s="2816"/>
      <c r="K207" s="2804"/>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c r="A208" s="2792"/>
      <c r="B208" s="2802"/>
      <c r="C208" s="2800"/>
      <c r="D208" s="2801"/>
      <c r="E208" s="2795">
        <f t="shared" si="149"/>
        <v>0</v>
      </c>
      <c r="F208" s="2796"/>
      <c r="G208" s="2797">
        <f t="shared" si="150"/>
        <v>0</v>
      </c>
      <c r="H208" s="2798">
        <f t="shared" si="151"/>
        <v>0</v>
      </c>
      <c r="I208" s="2804"/>
      <c r="J208" s="2816"/>
      <c r="K208" s="2804"/>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c r="A209" s="2792"/>
      <c r="B209" s="2802"/>
      <c r="C209" s="2800"/>
      <c r="D209" s="2801"/>
      <c r="E209" s="2795">
        <f t="shared" si="149"/>
        <v>0</v>
      </c>
      <c r="F209" s="2796"/>
      <c r="G209" s="2797">
        <f t="shared" si="150"/>
        <v>0</v>
      </c>
      <c r="H209" s="2798">
        <f t="shared" si="151"/>
        <v>0</v>
      </c>
      <c r="I209" s="2804"/>
      <c r="J209" s="2816"/>
      <c r="K209" s="2804"/>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c r="A210" s="2792"/>
      <c r="B210" s="2802"/>
      <c r="C210" s="2800"/>
      <c r="D210" s="2801"/>
      <c r="E210" s="2795">
        <f t="shared" si="149"/>
        <v>0</v>
      </c>
      <c r="F210" s="2796"/>
      <c r="G210" s="2797">
        <f t="shared" si="150"/>
        <v>0</v>
      </c>
      <c r="H210" s="2798">
        <f t="shared" si="151"/>
        <v>0</v>
      </c>
      <c r="I210" s="2804"/>
      <c r="J210" s="2816"/>
      <c r="K210" s="2804"/>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c r="A211" s="2792"/>
      <c r="B211" s="2802"/>
      <c r="C211" s="2800"/>
      <c r="D211" s="2801"/>
      <c r="E211" s="2795">
        <f t="shared" si="149"/>
        <v>0</v>
      </c>
      <c r="F211" s="2796"/>
      <c r="G211" s="2797">
        <f t="shared" si="150"/>
        <v>0</v>
      </c>
      <c r="H211" s="2798">
        <f t="shared" si="151"/>
        <v>0</v>
      </c>
      <c r="I211" s="2804"/>
      <c r="J211" s="2816"/>
      <c r="K211" s="2804"/>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c r="A212" s="2792"/>
      <c r="B212" s="2802"/>
      <c r="C212" s="2800"/>
      <c r="D212" s="2801"/>
      <c r="E212" s="2795">
        <f t="shared" si="149"/>
        <v>0</v>
      </c>
      <c r="F212" s="2796"/>
      <c r="G212" s="2797">
        <f t="shared" si="150"/>
        <v>0</v>
      </c>
      <c r="H212" s="2798">
        <f t="shared" si="151"/>
        <v>0</v>
      </c>
      <c r="I212" s="2804"/>
      <c r="J212" s="2816"/>
      <c r="K212" s="2804"/>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4"/>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c r="A213" s="2792"/>
      <c r="B213" s="2803"/>
      <c r="C213" s="2804"/>
      <c r="D213" s="2801"/>
      <c r="E213" s="2795">
        <f t="shared" si="149"/>
        <v>0</v>
      </c>
      <c r="F213" s="2796"/>
      <c r="G213" s="2797">
        <f t="shared" si="150"/>
        <v>0</v>
      </c>
      <c r="H213" s="2798">
        <f t="shared" si="151"/>
        <v>0</v>
      </c>
      <c r="I213" s="2804"/>
      <c r="J213" s="2816"/>
      <c r="K213" s="2804"/>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4"/>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c r="A214" s="2792"/>
      <c r="B214" s="2802"/>
      <c r="C214" s="2800"/>
      <c r="D214" s="2801"/>
      <c r="E214" s="2795">
        <f t="shared" si="149"/>
        <v>0</v>
      </c>
      <c r="F214" s="2796"/>
      <c r="G214" s="2797">
        <f t="shared" si="150"/>
        <v>0</v>
      </c>
      <c r="H214" s="2798">
        <f t="shared" si="151"/>
        <v>0</v>
      </c>
      <c r="I214" s="2804"/>
      <c r="J214" s="2816"/>
      <c r="K214" s="2804"/>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4"/>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c r="A215" s="2792"/>
      <c r="B215" s="2802"/>
      <c r="C215" s="2800"/>
      <c r="D215" s="2801"/>
      <c r="E215" s="2795">
        <f t="shared" si="149"/>
        <v>0</v>
      </c>
      <c r="F215" s="2796"/>
      <c r="G215" s="2797">
        <f t="shared" si="150"/>
        <v>0</v>
      </c>
      <c r="H215" s="2798">
        <f t="shared" si="151"/>
        <v>0</v>
      </c>
      <c r="I215" s="2804"/>
      <c r="J215" s="2816"/>
      <c r="K215" s="2804"/>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4"/>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c r="A216" s="2792"/>
      <c r="B216" s="2802"/>
      <c r="C216" s="2800"/>
      <c r="D216" s="2801"/>
      <c r="E216" s="2795">
        <f t="shared" si="149"/>
        <v>0</v>
      </c>
      <c r="F216" s="2796"/>
      <c r="G216" s="2797">
        <f t="shared" si="150"/>
        <v>0</v>
      </c>
      <c r="H216" s="2798">
        <f t="shared" si="151"/>
        <v>0</v>
      </c>
      <c r="I216" s="2804"/>
      <c r="J216" s="2816"/>
      <c r="K216" s="2804"/>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4"/>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c r="A217" s="2792"/>
      <c r="B217" s="2802"/>
      <c r="C217" s="2800"/>
      <c r="D217" s="2801"/>
      <c r="E217" s="2795">
        <f t="shared" si="149"/>
        <v>0</v>
      </c>
      <c r="F217" s="2796"/>
      <c r="G217" s="2797">
        <f t="shared" si="150"/>
        <v>0</v>
      </c>
      <c r="H217" s="2798">
        <f t="shared" si="151"/>
        <v>0</v>
      </c>
      <c r="I217" s="2804"/>
      <c r="J217" s="2816"/>
      <c r="K217" s="2804"/>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4"/>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c r="A218" s="2792"/>
      <c r="B218" s="2802"/>
      <c r="C218" s="2800"/>
      <c r="D218" s="2801"/>
      <c r="E218" s="2795">
        <f t="shared" si="149"/>
        <v>0</v>
      </c>
      <c r="F218" s="2796"/>
      <c r="G218" s="2797">
        <f t="shared" si="150"/>
        <v>0</v>
      </c>
      <c r="H218" s="2798">
        <f t="shared" si="151"/>
        <v>0</v>
      </c>
      <c r="I218" s="2804"/>
      <c r="J218" s="2816"/>
      <c r="K218" s="2804"/>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4"/>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c r="A219" s="2792"/>
      <c r="B219" s="2802"/>
      <c r="C219" s="2800"/>
      <c r="D219" s="2801"/>
      <c r="E219" s="2795">
        <f t="shared" si="149"/>
        <v>0</v>
      </c>
      <c r="F219" s="2796"/>
      <c r="G219" s="2797">
        <f t="shared" si="150"/>
        <v>0</v>
      </c>
      <c r="H219" s="2798">
        <f t="shared" si="151"/>
        <v>0</v>
      </c>
      <c r="I219" s="2804"/>
      <c r="J219" s="2816"/>
      <c r="K219" s="2804"/>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4"/>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c r="A220" s="2792"/>
      <c r="B220" s="2802"/>
      <c r="C220" s="2800"/>
      <c r="D220" s="2801"/>
      <c r="E220" s="2795">
        <f t="shared" si="149"/>
        <v>0</v>
      </c>
      <c r="F220" s="2796"/>
      <c r="G220" s="2797">
        <f t="shared" si="150"/>
        <v>0</v>
      </c>
      <c r="H220" s="2798">
        <f t="shared" si="151"/>
        <v>0</v>
      </c>
      <c r="I220" s="2804"/>
      <c r="J220" s="2816"/>
      <c r="K220" s="2804"/>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4"/>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c r="A221" s="2792"/>
      <c r="B221" s="2802"/>
      <c r="C221" s="2800"/>
      <c r="D221" s="2801"/>
      <c r="E221" s="2795">
        <f t="shared" si="149"/>
        <v>0</v>
      </c>
      <c r="F221" s="2796"/>
      <c r="G221" s="2797">
        <f t="shared" si="150"/>
        <v>0</v>
      </c>
      <c r="H221" s="2798">
        <f t="shared" si="151"/>
        <v>0</v>
      </c>
      <c r="I221" s="2804"/>
      <c r="J221" s="2816"/>
      <c r="K221" s="2804"/>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4"/>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c r="A222" s="2792"/>
      <c r="B222" s="2802"/>
      <c r="C222" s="2800"/>
      <c r="D222" s="2801"/>
      <c r="E222" s="2795">
        <f t="shared" si="149"/>
        <v>0</v>
      </c>
      <c r="F222" s="2796"/>
      <c r="G222" s="2797">
        <f t="shared" si="150"/>
        <v>0</v>
      </c>
      <c r="H222" s="2798">
        <f t="shared" si="151"/>
        <v>0</v>
      </c>
      <c r="I222" s="2804"/>
      <c r="J222" s="2816"/>
      <c r="K222" s="2804"/>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4"/>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c r="A223" s="2792"/>
      <c r="B223" s="2802"/>
      <c r="C223" s="2800"/>
      <c r="D223" s="2801"/>
      <c r="E223" s="2795">
        <f t="shared" si="149"/>
        <v>0</v>
      </c>
      <c r="F223" s="2796"/>
      <c r="G223" s="2797">
        <f t="shared" si="150"/>
        <v>0</v>
      </c>
      <c r="H223" s="2798">
        <f t="shared" si="151"/>
        <v>0</v>
      </c>
      <c r="I223" s="2804"/>
      <c r="J223" s="2816"/>
      <c r="K223" s="2804"/>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4"/>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c r="A224" s="2792"/>
      <c r="B224" s="2802"/>
      <c r="C224" s="2800"/>
      <c r="D224" s="2801"/>
      <c r="E224" s="2795">
        <f t="shared" si="149"/>
        <v>0</v>
      </c>
      <c r="F224" s="2796"/>
      <c r="G224" s="2797">
        <f t="shared" si="150"/>
        <v>0</v>
      </c>
      <c r="H224" s="2798">
        <f t="shared" si="151"/>
        <v>0</v>
      </c>
      <c r="I224" s="2804"/>
      <c r="J224" s="2816"/>
      <c r="K224" s="2804"/>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4"/>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c r="A225" s="2792"/>
      <c r="B225" s="2802"/>
      <c r="C225" s="2800"/>
      <c r="D225" s="2801"/>
      <c r="E225" s="2795">
        <f t="shared" si="149"/>
        <v>0</v>
      </c>
      <c r="F225" s="2796"/>
      <c r="G225" s="2797">
        <f t="shared" si="150"/>
        <v>0</v>
      </c>
      <c r="H225" s="2798">
        <f t="shared" si="151"/>
        <v>0</v>
      </c>
      <c r="I225" s="2804"/>
      <c r="J225" s="2816"/>
      <c r="K225" s="2804"/>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4"/>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c r="A226" s="2792"/>
      <c r="B226" s="2802"/>
      <c r="C226" s="2800"/>
      <c r="D226" s="2801"/>
      <c r="E226" s="2795">
        <f t="shared" si="149"/>
        <v>0</v>
      </c>
      <c r="F226" s="2796"/>
      <c r="G226" s="2797">
        <f t="shared" si="150"/>
        <v>0</v>
      </c>
      <c r="H226" s="2798">
        <f t="shared" si="151"/>
        <v>0</v>
      </c>
      <c r="I226" s="2804"/>
      <c r="J226" s="2816"/>
      <c r="K226" s="2804"/>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4"/>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c r="A227" s="2792"/>
      <c r="B227" s="2802"/>
      <c r="C227" s="2800"/>
      <c r="D227" s="2801"/>
      <c r="E227" s="2795">
        <f t="shared" si="149"/>
        <v>0</v>
      </c>
      <c r="F227" s="2796"/>
      <c r="G227" s="2797">
        <f t="shared" si="150"/>
        <v>0</v>
      </c>
      <c r="H227" s="2798">
        <f t="shared" si="151"/>
        <v>0</v>
      </c>
      <c r="I227" s="2804"/>
      <c r="J227" s="2816"/>
      <c r="K227" s="2804"/>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4"/>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c r="A228" s="2792"/>
      <c r="B228" s="2802"/>
      <c r="C228" s="2800"/>
      <c r="D228" s="2801"/>
      <c r="E228" s="2795">
        <f t="shared" si="149"/>
        <v>0</v>
      </c>
      <c r="F228" s="2796"/>
      <c r="G228" s="2797">
        <f t="shared" si="150"/>
        <v>0</v>
      </c>
      <c r="H228" s="2798">
        <f t="shared" si="151"/>
        <v>0</v>
      </c>
      <c r="I228" s="2804"/>
      <c r="J228" s="2816"/>
      <c r="K228" s="2804"/>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4"/>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c r="A229" s="2792"/>
      <c r="B229" s="2802"/>
      <c r="C229" s="2800"/>
      <c r="D229" s="2801"/>
      <c r="E229" s="2795">
        <f t="shared" si="149"/>
        <v>0</v>
      </c>
      <c r="F229" s="2796"/>
      <c r="G229" s="2797">
        <f t="shared" si="150"/>
        <v>0</v>
      </c>
      <c r="H229" s="2798">
        <f t="shared" si="151"/>
        <v>0</v>
      </c>
      <c r="I229" s="2804"/>
      <c r="J229" s="2816"/>
      <c r="K229" s="2804"/>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4"/>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c r="A230" s="2792"/>
      <c r="B230" s="2802"/>
      <c r="C230" s="2800"/>
      <c r="D230" s="2801"/>
      <c r="E230" s="2795">
        <f t="shared" si="149"/>
        <v>0</v>
      </c>
      <c r="F230" s="2796"/>
      <c r="G230" s="2797">
        <f t="shared" si="150"/>
        <v>0</v>
      </c>
      <c r="H230" s="2798">
        <f t="shared" si="151"/>
        <v>0</v>
      </c>
      <c r="I230" s="2804"/>
      <c r="J230" s="2816"/>
      <c r="K230" s="2804"/>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4"/>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c r="A231" s="2792"/>
      <c r="B231" s="2802"/>
      <c r="C231" s="2800"/>
      <c r="D231" s="2801"/>
      <c r="E231" s="2795">
        <f t="shared" si="149"/>
        <v>0</v>
      </c>
      <c r="F231" s="2796"/>
      <c r="G231" s="2797">
        <f t="shared" si="150"/>
        <v>0</v>
      </c>
      <c r="H231" s="2798">
        <f t="shared" si="151"/>
        <v>0</v>
      </c>
      <c r="I231" s="2804"/>
      <c r="J231" s="2816"/>
      <c r="K231" s="2804"/>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c r="A232" s="2792"/>
      <c r="B232" s="2802"/>
      <c r="C232" s="2800"/>
      <c r="D232" s="2801"/>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c r="A233" s="2792"/>
      <c r="B233" s="2802"/>
      <c r="C233" s="2800"/>
      <c r="D233" s="2801"/>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c r="A234" s="2792"/>
      <c r="B234" s="2802"/>
      <c r="C234" s="2800"/>
      <c r="D234" s="2801"/>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c r="A235" s="2792"/>
      <c r="B235" s="2802"/>
      <c r="C235" s="2800"/>
      <c r="D235" s="2801"/>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c r="A236" s="2792"/>
      <c r="B236" s="2802"/>
      <c r="C236" s="2800"/>
      <c r="D236" s="2801"/>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c r="A237" s="2792"/>
      <c r="B237" s="2802"/>
      <c r="C237" s="2800"/>
      <c r="D237" s="2801"/>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c r="A238" s="2792"/>
      <c r="B238" s="2802"/>
      <c r="C238" s="2800"/>
      <c r="D238" s="2801"/>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c r="A239" s="2792"/>
      <c r="B239" s="2803"/>
      <c r="C239" s="2804"/>
      <c r="D239" s="2801"/>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c r="A297" s="2792"/>
      <c r="B297" s="2802"/>
      <c r="C297" s="2800"/>
      <c r="D297" s="2801"/>
      <c r="E297" s="2795">
        <f t="shared" ref="E297:E328" si="203">IF($C$3="是",ROUND($A$3*G297/$B$3,2),ROUND($A$3*(G297-AT297)/$B$3,2))</f>
        <v>0</v>
      </c>
      <c r="F297" s="2796"/>
      <c r="G297" s="2797">
        <f t="shared" si="178"/>
        <v>0</v>
      </c>
      <c r="H297" s="2798">
        <f t="shared" si="179"/>
        <v>0</v>
      </c>
      <c r="I297" s="2804"/>
      <c r="J297" s="2816"/>
      <c r="K297" s="2804"/>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c r="A298" s="2792"/>
      <c r="B298" s="2802"/>
      <c r="C298" s="2800"/>
      <c r="D298" s="2801"/>
      <c r="E298" s="2795">
        <f t="shared" si="203"/>
        <v>0</v>
      </c>
      <c r="F298" s="2796"/>
      <c r="G298" s="2797">
        <f t="shared" si="178"/>
        <v>0</v>
      </c>
      <c r="H298" s="2798">
        <f t="shared" si="179"/>
        <v>0</v>
      </c>
      <c r="I298" s="2804"/>
      <c r="J298" s="2816"/>
      <c r="K298" s="2804"/>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c r="A299" s="2792"/>
      <c r="B299" s="2802"/>
      <c r="C299" s="2800"/>
      <c r="D299" s="2801"/>
      <c r="E299" s="2795">
        <f t="shared" si="203"/>
        <v>0</v>
      </c>
      <c r="F299" s="2796"/>
      <c r="G299" s="2797">
        <f t="shared" si="178"/>
        <v>0</v>
      </c>
      <c r="H299" s="2798">
        <f t="shared" si="179"/>
        <v>0</v>
      </c>
      <c r="I299" s="2804"/>
      <c r="J299" s="2816"/>
      <c r="K299" s="2804"/>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c r="A300" s="2792"/>
      <c r="B300" s="2802"/>
      <c r="C300" s="2800"/>
      <c r="D300" s="2801"/>
      <c r="E300" s="2795">
        <f t="shared" si="203"/>
        <v>0</v>
      </c>
      <c r="F300" s="2796"/>
      <c r="G300" s="2797">
        <f t="shared" si="178"/>
        <v>0</v>
      </c>
      <c r="H300" s="2798">
        <f t="shared" si="179"/>
        <v>0</v>
      </c>
      <c r="I300" s="2804"/>
      <c r="J300" s="2816"/>
      <c r="K300" s="2804"/>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c r="A301" s="2792"/>
      <c r="B301" s="2802"/>
      <c r="C301" s="2800"/>
      <c r="D301" s="2801"/>
      <c r="E301" s="2795">
        <f t="shared" si="203"/>
        <v>0</v>
      </c>
      <c r="F301" s="2796"/>
      <c r="G301" s="2797">
        <f t="shared" si="178"/>
        <v>0</v>
      </c>
      <c r="H301" s="2798">
        <f t="shared" si="179"/>
        <v>0</v>
      </c>
      <c r="I301" s="2804"/>
      <c r="J301" s="2816"/>
      <c r="K301" s="2804"/>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c r="A302" s="2792"/>
      <c r="B302" s="2802"/>
      <c r="C302" s="2800"/>
      <c r="D302" s="2801"/>
      <c r="E302" s="2795">
        <f t="shared" si="203"/>
        <v>0</v>
      </c>
      <c r="F302" s="2796"/>
      <c r="G302" s="2797">
        <f t="shared" si="178"/>
        <v>0</v>
      </c>
      <c r="H302" s="2798">
        <f t="shared" si="179"/>
        <v>0</v>
      </c>
      <c r="I302" s="2804"/>
      <c r="J302" s="2816"/>
      <c r="K302" s="2804"/>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c r="A303" s="2792"/>
      <c r="B303" s="2802"/>
      <c r="C303" s="2800"/>
      <c r="D303" s="2801"/>
      <c r="E303" s="2795">
        <f t="shared" si="203"/>
        <v>0</v>
      </c>
      <c r="F303" s="2796"/>
      <c r="G303" s="2797">
        <f t="shared" si="178"/>
        <v>0</v>
      </c>
      <c r="H303" s="2798">
        <f t="shared" si="179"/>
        <v>0</v>
      </c>
      <c r="I303" s="2804"/>
      <c r="J303" s="2816"/>
      <c r="K303" s="2804"/>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c r="A304" s="2792"/>
      <c r="B304" s="2802"/>
      <c r="C304" s="2800"/>
      <c r="D304" s="2801"/>
      <c r="E304" s="2795">
        <f t="shared" si="203"/>
        <v>0</v>
      </c>
      <c r="F304" s="2796"/>
      <c r="G304" s="2797">
        <f t="shared" si="178"/>
        <v>0</v>
      </c>
      <c r="H304" s="2798">
        <f t="shared" si="179"/>
        <v>0</v>
      </c>
      <c r="I304" s="2804"/>
      <c r="J304" s="2816"/>
      <c r="K304" s="2804"/>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4"/>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c r="A305" s="2792"/>
      <c r="B305" s="2803"/>
      <c r="C305" s="2804"/>
      <c r="D305" s="2801"/>
      <c r="E305" s="2795">
        <f t="shared" si="203"/>
        <v>0</v>
      </c>
      <c r="F305" s="2796"/>
      <c r="G305" s="2797">
        <f t="shared" si="178"/>
        <v>0</v>
      </c>
      <c r="H305" s="2798">
        <f t="shared" si="179"/>
        <v>0</v>
      </c>
      <c r="I305" s="2804"/>
      <c r="J305" s="2816"/>
      <c r="K305" s="2804"/>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4"/>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c r="A306" s="2792"/>
      <c r="B306" s="2802"/>
      <c r="C306" s="2800"/>
      <c r="D306" s="2801"/>
      <c r="E306" s="2795">
        <f t="shared" si="203"/>
        <v>0</v>
      </c>
      <c r="F306" s="2796"/>
      <c r="G306" s="2797">
        <f t="shared" si="178"/>
        <v>0</v>
      </c>
      <c r="H306" s="2798">
        <f t="shared" si="179"/>
        <v>0</v>
      </c>
      <c r="I306" s="2804"/>
      <c r="J306" s="2816"/>
      <c r="K306" s="2804"/>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4"/>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c r="A307" s="2792"/>
      <c r="B307" s="2802"/>
      <c r="C307" s="2800"/>
      <c r="D307" s="2801"/>
      <c r="E307" s="2795">
        <f t="shared" si="203"/>
        <v>0</v>
      </c>
      <c r="F307" s="2796"/>
      <c r="G307" s="2797">
        <f t="shared" si="178"/>
        <v>0</v>
      </c>
      <c r="H307" s="2798">
        <f t="shared" si="179"/>
        <v>0</v>
      </c>
      <c r="I307" s="2804"/>
      <c r="J307" s="2816"/>
      <c r="K307" s="2804"/>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4"/>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c r="A308" s="2792"/>
      <c r="B308" s="2802"/>
      <c r="C308" s="2800"/>
      <c r="D308" s="2801"/>
      <c r="E308" s="2795">
        <f t="shared" si="203"/>
        <v>0</v>
      </c>
      <c r="F308" s="2796"/>
      <c r="G308" s="2797">
        <f t="shared" si="178"/>
        <v>0</v>
      </c>
      <c r="H308" s="2798">
        <f t="shared" si="179"/>
        <v>0</v>
      </c>
      <c r="I308" s="2804"/>
      <c r="J308" s="2816"/>
      <c r="K308" s="2804"/>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4"/>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c r="A309" s="2792"/>
      <c r="B309" s="2802"/>
      <c r="C309" s="2800"/>
      <c r="D309" s="2801"/>
      <c r="E309" s="2795">
        <f t="shared" si="203"/>
        <v>0</v>
      </c>
      <c r="F309" s="2796"/>
      <c r="G309" s="2797">
        <f t="shared" si="178"/>
        <v>0</v>
      </c>
      <c r="H309" s="2798">
        <f t="shared" si="179"/>
        <v>0</v>
      </c>
      <c r="I309" s="2804"/>
      <c r="J309" s="2816"/>
      <c r="K309" s="2804"/>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4"/>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c r="A310" s="2792"/>
      <c r="B310" s="2802"/>
      <c r="C310" s="2800"/>
      <c r="D310" s="2801"/>
      <c r="E310" s="2795">
        <f t="shared" si="203"/>
        <v>0</v>
      </c>
      <c r="F310" s="2796"/>
      <c r="G310" s="2797">
        <f t="shared" si="178"/>
        <v>0</v>
      </c>
      <c r="H310" s="2798">
        <f t="shared" si="179"/>
        <v>0</v>
      </c>
      <c r="I310" s="2804"/>
      <c r="J310" s="2816"/>
      <c r="K310" s="2804"/>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4"/>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c r="A311" s="2792"/>
      <c r="B311" s="2802"/>
      <c r="C311" s="2800"/>
      <c r="D311" s="2801"/>
      <c r="E311" s="2795">
        <f t="shared" si="203"/>
        <v>0</v>
      </c>
      <c r="F311" s="2796"/>
      <c r="G311" s="2797">
        <f t="shared" si="178"/>
        <v>0</v>
      </c>
      <c r="H311" s="2798">
        <f t="shared" si="179"/>
        <v>0</v>
      </c>
      <c r="I311" s="2804"/>
      <c r="J311" s="2816"/>
      <c r="K311" s="2804"/>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4"/>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c r="A312" s="2792"/>
      <c r="B312" s="2802"/>
      <c r="C312" s="2800"/>
      <c r="D312" s="2801"/>
      <c r="E312" s="2795">
        <f t="shared" si="203"/>
        <v>0</v>
      </c>
      <c r="F312" s="2796"/>
      <c r="G312" s="2797">
        <f t="shared" si="178"/>
        <v>0</v>
      </c>
      <c r="H312" s="2798">
        <f t="shared" si="179"/>
        <v>0</v>
      </c>
      <c r="I312" s="2804"/>
      <c r="J312" s="2816"/>
      <c r="K312" s="2804"/>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4"/>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c r="A313" s="2792"/>
      <c r="B313" s="2802"/>
      <c r="C313" s="2800"/>
      <c r="D313" s="2801"/>
      <c r="E313" s="2795">
        <f t="shared" si="203"/>
        <v>0</v>
      </c>
      <c r="F313" s="2796"/>
      <c r="G313" s="2797">
        <f t="shared" si="178"/>
        <v>0</v>
      </c>
      <c r="H313" s="2798">
        <f t="shared" si="179"/>
        <v>0</v>
      </c>
      <c r="I313" s="2804"/>
      <c r="J313" s="2816"/>
      <c r="K313" s="2804"/>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4"/>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c r="A314" s="2792"/>
      <c r="B314" s="2802"/>
      <c r="C314" s="2800"/>
      <c r="D314" s="2801"/>
      <c r="E314" s="2795">
        <f t="shared" si="203"/>
        <v>0</v>
      </c>
      <c r="F314" s="2796"/>
      <c r="G314" s="2797">
        <f t="shared" si="178"/>
        <v>0</v>
      </c>
      <c r="H314" s="2798">
        <f t="shared" si="179"/>
        <v>0</v>
      </c>
      <c r="I314" s="2804"/>
      <c r="J314" s="2816"/>
      <c r="K314" s="2804"/>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4"/>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c r="A315" s="2792"/>
      <c r="B315" s="2802"/>
      <c r="C315" s="2800"/>
      <c r="D315" s="2801"/>
      <c r="E315" s="2795">
        <f t="shared" si="203"/>
        <v>0</v>
      </c>
      <c r="F315" s="2796"/>
      <c r="G315" s="2797">
        <f t="shared" si="178"/>
        <v>0</v>
      </c>
      <c r="H315" s="2798">
        <f t="shared" si="179"/>
        <v>0</v>
      </c>
      <c r="I315" s="2804"/>
      <c r="J315" s="2816"/>
      <c r="K315" s="2804"/>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4"/>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c r="A316" s="2792"/>
      <c r="B316" s="2802"/>
      <c r="C316" s="2800"/>
      <c r="D316" s="2801"/>
      <c r="E316" s="2795">
        <f t="shared" si="203"/>
        <v>0</v>
      </c>
      <c r="F316" s="2796"/>
      <c r="G316" s="2797">
        <f t="shared" si="178"/>
        <v>0</v>
      </c>
      <c r="H316" s="2798">
        <f t="shared" si="179"/>
        <v>0</v>
      </c>
      <c r="I316" s="2804"/>
      <c r="J316" s="2816"/>
      <c r="K316" s="2804"/>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4"/>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c r="A317" s="2792"/>
      <c r="B317" s="2802"/>
      <c r="C317" s="2800"/>
      <c r="D317" s="2801"/>
      <c r="E317" s="2795">
        <f t="shared" si="203"/>
        <v>0</v>
      </c>
      <c r="F317" s="2796"/>
      <c r="G317" s="2797">
        <f t="shared" si="178"/>
        <v>0</v>
      </c>
      <c r="H317" s="2798">
        <f t="shared" si="179"/>
        <v>0</v>
      </c>
      <c r="I317" s="2804"/>
      <c r="J317" s="2816"/>
      <c r="K317" s="2804"/>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4"/>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c r="A318" s="2792"/>
      <c r="B318" s="2802"/>
      <c r="C318" s="2800"/>
      <c r="D318" s="2801"/>
      <c r="E318" s="2795">
        <f t="shared" si="203"/>
        <v>0</v>
      </c>
      <c r="F318" s="2796"/>
      <c r="G318" s="2797">
        <f t="shared" si="178"/>
        <v>0</v>
      </c>
      <c r="H318" s="2798">
        <f t="shared" si="179"/>
        <v>0</v>
      </c>
      <c r="I318" s="2804"/>
      <c r="J318" s="2816"/>
      <c r="K318" s="2804"/>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4"/>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c r="A319" s="2792"/>
      <c r="B319" s="2802"/>
      <c r="C319" s="2800"/>
      <c r="D319" s="2801"/>
      <c r="E319" s="2795">
        <f t="shared" si="203"/>
        <v>0</v>
      </c>
      <c r="F319" s="2796"/>
      <c r="G319" s="2797">
        <f t="shared" si="178"/>
        <v>0</v>
      </c>
      <c r="H319" s="2798">
        <f t="shared" si="179"/>
        <v>0</v>
      </c>
      <c r="I319" s="2804"/>
      <c r="J319" s="2816"/>
      <c r="K319" s="2804"/>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4"/>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c r="A320" s="2792"/>
      <c r="B320" s="2802"/>
      <c r="C320" s="2800"/>
      <c r="D320" s="2801"/>
      <c r="E320" s="2795">
        <f t="shared" si="203"/>
        <v>0</v>
      </c>
      <c r="F320" s="2796"/>
      <c r="G320" s="2797">
        <f t="shared" si="178"/>
        <v>0</v>
      </c>
      <c r="H320" s="2798">
        <f t="shared" si="179"/>
        <v>0</v>
      </c>
      <c r="I320" s="2804"/>
      <c r="J320" s="2816"/>
      <c r="K320" s="2804"/>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4"/>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c r="A321" s="2792"/>
      <c r="B321" s="2802"/>
      <c r="C321" s="2800"/>
      <c r="D321" s="2801"/>
      <c r="E321" s="2795">
        <f t="shared" si="203"/>
        <v>0</v>
      </c>
      <c r="F321" s="2796"/>
      <c r="G321" s="2797">
        <f t="shared" si="178"/>
        <v>0</v>
      </c>
      <c r="H321" s="2798">
        <f t="shared" si="179"/>
        <v>0</v>
      </c>
      <c r="I321" s="2804"/>
      <c r="J321" s="2816"/>
      <c r="K321" s="2804"/>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4"/>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c r="A322" s="2792"/>
      <c r="B322" s="2802"/>
      <c r="C322" s="2800"/>
      <c r="D322" s="2801"/>
      <c r="E322" s="2795">
        <f t="shared" si="203"/>
        <v>0</v>
      </c>
      <c r="F322" s="2796"/>
      <c r="G322" s="2797">
        <f t="shared" si="178"/>
        <v>0</v>
      </c>
      <c r="H322" s="2798">
        <f t="shared" si="179"/>
        <v>0</v>
      </c>
      <c r="I322" s="2804"/>
      <c r="J322" s="2816"/>
      <c r="K322" s="2804"/>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4"/>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c r="A323" s="2792"/>
      <c r="B323" s="2802"/>
      <c r="C323" s="2800"/>
      <c r="D323" s="2801"/>
      <c r="E323" s="2795">
        <f t="shared" si="203"/>
        <v>0</v>
      </c>
      <c r="F323" s="2796"/>
      <c r="G323" s="2797">
        <f t="shared" si="178"/>
        <v>0</v>
      </c>
      <c r="H323" s="2798">
        <f t="shared" si="179"/>
        <v>0</v>
      </c>
      <c r="I323" s="2804"/>
      <c r="J323" s="2816"/>
      <c r="K323" s="2804"/>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c r="A324" s="2792"/>
      <c r="B324" s="2802"/>
      <c r="C324" s="2800"/>
      <c r="D324" s="2801"/>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c r="A325" s="2792"/>
      <c r="B325" s="2802"/>
      <c r="C325" s="2800"/>
      <c r="D325" s="2801"/>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c r="A326" s="2792"/>
      <c r="B326" s="2802"/>
      <c r="C326" s="2800"/>
      <c r="D326" s="2801"/>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c r="A327" s="2792"/>
      <c r="B327" s="2802"/>
      <c r="C327" s="2800"/>
      <c r="D327" s="2801"/>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c r="A328" s="2792"/>
      <c r="B328" s="2802"/>
      <c r="C328" s="2800"/>
      <c r="D328" s="2801"/>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c r="A329" s="2792"/>
      <c r="B329" s="2802"/>
      <c r="C329" s="2800"/>
      <c r="D329" s="2801"/>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c r="A330" s="2792"/>
      <c r="B330" s="2802"/>
      <c r="C330" s="2800"/>
      <c r="D330" s="2801"/>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c r="A331" s="2792"/>
      <c r="B331" s="2803"/>
      <c r="C331" s="2804"/>
      <c r="D331" s="2801"/>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c r="A389" s="2792"/>
      <c r="B389" s="2802"/>
      <c r="C389" s="2800"/>
      <c r="D389" s="2801"/>
      <c r="E389" s="2795">
        <f t="shared" ref="E389:E480" si="265">IF($C$3="是",ROUND($A$3*G389/$B$3,2),ROUND($A$3*(G389-AT389)/$B$3,2))</f>
        <v>0</v>
      </c>
      <c r="F389" s="2796"/>
      <c r="G389" s="2797">
        <f t="shared" ref="G389:G477" si="266">H389+AC389+AT389</f>
        <v>0</v>
      </c>
      <c r="H389" s="2798">
        <f t="shared" ref="H389:H477" si="267">SUMIF(I$12:AB$12,"总值",I389:AB389)</f>
        <v>0</v>
      </c>
      <c r="I389" s="2804"/>
      <c r="J389" s="2816"/>
      <c r="K389" s="2804"/>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c r="A390" s="2792"/>
      <c r="B390" s="2802"/>
      <c r="C390" s="2800"/>
      <c r="D390" s="2801"/>
      <c r="E390" s="2795">
        <f t="shared" si="265"/>
        <v>0</v>
      </c>
      <c r="F390" s="2796"/>
      <c r="G390" s="2797">
        <f t="shared" si="266"/>
        <v>0</v>
      </c>
      <c r="H390" s="2798">
        <f t="shared" si="267"/>
        <v>0</v>
      </c>
      <c r="I390" s="2804"/>
      <c r="J390" s="2816"/>
      <c r="K390" s="2804"/>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c r="A391" s="2792"/>
      <c r="B391" s="2802"/>
      <c r="C391" s="2800"/>
      <c r="D391" s="2801"/>
      <c r="E391" s="2795">
        <f t="shared" si="265"/>
        <v>0</v>
      </c>
      <c r="F391" s="2796"/>
      <c r="G391" s="2797">
        <f t="shared" si="266"/>
        <v>0</v>
      </c>
      <c r="H391" s="2798">
        <f t="shared" si="267"/>
        <v>0</v>
      </c>
      <c r="I391" s="2804"/>
      <c r="J391" s="2816"/>
      <c r="K391" s="2804"/>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c r="A392" s="2792"/>
      <c r="B392" s="2802"/>
      <c r="C392" s="2800"/>
      <c r="D392" s="2801"/>
      <c r="E392" s="2795">
        <f t="shared" si="265"/>
        <v>0</v>
      </c>
      <c r="F392" s="2796"/>
      <c r="G392" s="2797">
        <f t="shared" si="266"/>
        <v>0</v>
      </c>
      <c r="H392" s="2798">
        <f t="shared" si="267"/>
        <v>0</v>
      </c>
      <c r="I392" s="2804"/>
      <c r="J392" s="2816"/>
      <c r="K392" s="2804"/>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c r="A393" s="2792"/>
      <c r="B393" s="2802"/>
      <c r="C393" s="2800"/>
      <c r="D393" s="2801"/>
      <c r="E393" s="2795">
        <f t="shared" si="265"/>
        <v>0</v>
      </c>
      <c r="F393" s="2796"/>
      <c r="G393" s="2797">
        <f t="shared" si="266"/>
        <v>0</v>
      </c>
      <c r="H393" s="2798">
        <f t="shared" si="267"/>
        <v>0</v>
      </c>
      <c r="I393" s="2804"/>
      <c r="J393" s="2816"/>
      <c r="K393" s="2804"/>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c r="A394" s="2792"/>
      <c r="B394" s="2802"/>
      <c r="C394" s="2800"/>
      <c r="D394" s="2801"/>
      <c r="E394" s="2795">
        <f t="shared" si="265"/>
        <v>0</v>
      </c>
      <c r="F394" s="2796"/>
      <c r="G394" s="2797">
        <f t="shared" si="266"/>
        <v>0</v>
      </c>
      <c r="H394" s="2798">
        <f t="shared" si="267"/>
        <v>0</v>
      </c>
      <c r="I394" s="2804"/>
      <c r="J394" s="2816"/>
      <c r="K394" s="2804"/>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c r="A395" s="2792"/>
      <c r="B395" s="2802"/>
      <c r="C395" s="2800"/>
      <c r="D395" s="2801"/>
      <c r="E395" s="2795">
        <f t="shared" si="265"/>
        <v>0</v>
      </c>
      <c r="F395" s="2796"/>
      <c r="G395" s="2797">
        <f t="shared" si="266"/>
        <v>0</v>
      </c>
      <c r="H395" s="2798">
        <f t="shared" si="267"/>
        <v>0</v>
      </c>
      <c r="I395" s="2804"/>
      <c r="J395" s="2816"/>
      <c r="K395" s="2804"/>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c r="A396" s="2792"/>
      <c r="B396" s="2802"/>
      <c r="C396" s="2800"/>
      <c r="D396" s="2801"/>
      <c r="E396" s="2795">
        <f t="shared" si="265"/>
        <v>0</v>
      </c>
      <c r="F396" s="2796"/>
      <c r="G396" s="2797">
        <f t="shared" si="266"/>
        <v>0</v>
      </c>
      <c r="H396" s="2798">
        <f t="shared" si="267"/>
        <v>0</v>
      </c>
      <c r="I396" s="2804"/>
      <c r="J396" s="2816"/>
      <c r="K396" s="2804"/>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4"/>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c r="A397" s="2792"/>
      <c r="B397" s="2803"/>
      <c r="C397" s="2804"/>
      <c r="D397" s="2801"/>
      <c r="E397" s="2795">
        <f t="shared" si="265"/>
        <v>0</v>
      </c>
      <c r="F397" s="2796"/>
      <c r="G397" s="2797">
        <f t="shared" si="266"/>
        <v>0</v>
      </c>
      <c r="H397" s="2798">
        <f t="shared" si="267"/>
        <v>0</v>
      </c>
      <c r="I397" s="2804"/>
      <c r="J397" s="2816"/>
      <c r="K397" s="2804"/>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4"/>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c r="A398" s="2792"/>
      <c r="B398" s="2802"/>
      <c r="C398" s="2800"/>
      <c r="D398" s="2801"/>
      <c r="E398" s="2795">
        <f t="shared" si="265"/>
        <v>0</v>
      </c>
      <c r="F398" s="2796"/>
      <c r="G398" s="2797">
        <f t="shared" si="266"/>
        <v>0</v>
      </c>
      <c r="H398" s="2798">
        <f t="shared" si="267"/>
        <v>0</v>
      </c>
      <c r="I398" s="2804"/>
      <c r="J398" s="2816"/>
      <c r="K398" s="2804"/>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4"/>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c r="A399" s="2792"/>
      <c r="B399" s="2802"/>
      <c r="C399" s="2800"/>
      <c r="D399" s="2801"/>
      <c r="E399" s="2795">
        <f t="shared" si="265"/>
        <v>0</v>
      </c>
      <c r="F399" s="2796"/>
      <c r="G399" s="2797">
        <f t="shared" si="266"/>
        <v>0</v>
      </c>
      <c r="H399" s="2798">
        <f t="shared" si="267"/>
        <v>0</v>
      </c>
      <c r="I399" s="2804"/>
      <c r="J399" s="2816"/>
      <c r="K399" s="2804"/>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4"/>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c r="A400" s="2792"/>
      <c r="B400" s="2802"/>
      <c r="C400" s="2800"/>
      <c r="D400" s="2801"/>
      <c r="E400" s="2795">
        <f t="shared" si="265"/>
        <v>0</v>
      </c>
      <c r="F400" s="2796"/>
      <c r="G400" s="2797">
        <f t="shared" si="266"/>
        <v>0</v>
      </c>
      <c r="H400" s="2798">
        <f t="shared" si="267"/>
        <v>0</v>
      </c>
      <c r="I400" s="2804"/>
      <c r="J400" s="2816"/>
      <c r="K400" s="2804"/>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4"/>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c r="A401" s="2792"/>
      <c r="B401" s="2802"/>
      <c r="C401" s="2800"/>
      <c r="D401" s="2801"/>
      <c r="E401" s="2795">
        <f t="shared" si="265"/>
        <v>0</v>
      </c>
      <c r="F401" s="2796"/>
      <c r="G401" s="2797">
        <f t="shared" si="266"/>
        <v>0</v>
      </c>
      <c r="H401" s="2798">
        <f t="shared" si="267"/>
        <v>0</v>
      </c>
      <c r="I401" s="2804"/>
      <c r="J401" s="2816"/>
      <c r="K401" s="2804"/>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4"/>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c r="A402" s="2792"/>
      <c r="B402" s="2802"/>
      <c r="C402" s="2800"/>
      <c r="D402" s="2801"/>
      <c r="E402" s="2795">
        <f t="shared" si="265"/>
        <v>0</v>
      </c>
      <c r="F402" s="2796"/>
      <c r="G402" s="2797">
        <f t="shared" si="266"/>
        <v>0</v>
      </c>
      <c r="H402" s="2798">
        <f t="shared" si="267"/>
        <v>0</v>
      </c>
      <c r="I402" s="2804"/>
      <c r="J402" s="2816"/>
      <c r="K402" s="2804"/>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4"/>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c r="A403" s="2792"/>
      <c r="B403" s="2802"/>
      <c r="C403" s="2800"/>
      <c r="D403" s="2801"/>
      <c r="E403" s="2795">
        <f t="shared" si="265"/>
        <v>0</v>
      </c>
      <c r="F403" s="2796"/>
      <c r="G403" s="2797">
        <f t="shared" si="266"/>
        <v>0</v>
      </c>
      <c r="H403" s="2798">
        <f t="shared" si="267"/>
        <v>0</v>
      </c>
      <c r="I403" s="2804"/>
      <c r="J403" s="2816"/>
      <c r="K403" s="2804"/>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4"/>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c r="A404" s="2792"/>
      <c r="B404" s="2802"/>
      <c r="C404" s="2800"/>
      <c r="D404" s="2801"/>
      <c r="E404" s="2795">
        <f t="shared" si="265"/>
        <v>0</v>
      </c>
      <c r="F404" s="2796"/>
      <c r="G404" s="2797">
        <f t="shared" si="266"/>
        <v>0</v>
      </c>
      <c r="H404" s="2798">
        <f t="shared" si="267"/>
        <v>0</v>
      </c>
      <c r="I404" s="2804"/>
      <c r="J404" s="2816"/>
      <c r="K404" s="2804"/>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4"/>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c r="A405" s="2792"/>
      <c r="B405" s="2802"/>
      <c r="C405" s="2800"/>
      <c r="D405" s="2801"/>
      <c r="E405" s="2795">
        <f t="shared" si="265"/>
        <v>0</v>
      </c>
      <c r="F405" s="2796"/>
      <c r="G405" s="2797">
        <f t="shared" si="266"/>
        <v>0</v>
      </c>
      <c r="H405" s="2798">
        <f t="shared" si="267"/>
        <v>0</v>
      </c>
      <c r="I405" s="2804"/>
      <c r="J405" s="2816"/>
      <c r="K405" s="2804"/>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4"/>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c r="A406" s="2792"/>
      <c r="B406" s="2802"/>
      <c r="C406" s="2800"/>
      <c r="D406" s="2801"/>
      <c r="E406" s="2795">
        <f t="shared" si="265"/>
        <v>0</v>
      </c>
      <c r="F406" s="2796"/>
      <c r="G406" s="2797">
        <f t="shared" si="266"/>
        <v>0</v>
      </c>
      <c r="H406" s="2798">
        <f t="shared" si="267"/>
        <v>0</v>
      </c>
      <c r="I406" s="2804"/>
      <c r="J406" s="2816"/>
      <c r="K406" s="2804"/>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4"/>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c r="A407" s="2792"/>
      <c r="B407" s="2802"/>
      <c r="C407" s="2800"/>
      <c r="D407" s="2801"/>
      <c r="E407" s="2795">
        <f t="shared" si="265"/>
        <v>0</v>
      </c>
      <c r="F407" s="2796"/>
      <c r="G407" s="2797">
        <f t="shared" si="266"/>
        <v>0</v>
      </c>
      <c r="H407" s="2798">
        <f t="shared" si="267"/>
        <v>0</v>
      </c>
      <c r="I407" s="2804"/>
      <c r="J407" s="2816"/>
      <c r="K407" s="2804"/>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4"/>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c r="A408" s="2792"/>
      <c r="B408" s="2802"/>
      <c r="C408" s="2800"/>
      <c r="D408" s="2801"/>
      <c r="E408" s="2795">
        <f t="shared" si="265"/>
        <v>0</v>
      </c>
      <c r="F408" s="2796"/>
      <c r="G408" s="2797">
        <f t="shared" si="266"/>
        <v>0</v>
      </c>
      <c r="H408" s="2798">
        <f t="shared" si="267"/>
        <v>0</v>
      </c>
      <c r="I408" s="2804"/>
      <c r="J408" s="2816"/>
      <c r="K408" s="2804"/>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4"/>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c r="A409" s="2792"/>
      <c r="B409" s="2802"/>
      <c r="C409" s="2800"/>
      <c r="D409" s="2801"/>
      <c r="E409" s="2795">
        <f t="shared" si="265"/>
        <v>0</v>
      </c>
      <c r="F409" s="2796"/>
      <c r="G409" s="2797">
        <f t="shared" si="266"/>
        <v>0</v>
      </c>
      <c r="H409" s="2798">
        <f t="shared" si="267"/>
        <v>0</v>
      </c>
      <c r="I409" s="2804"/>
      <c r="J409" s="2816"/>
      <c r="K409" s="2804"/>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4"/>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c r="A410" s="2792"/>
      <c r="B410" s="2802"/>
      <c r="C410" s="2800"/>
      <c r="D410" s="2801"/>
      <c r="E410" s="2795">
        <f t="shared" si="265"/>
        <v>0</v>
      </c>
      <c r="F410" s="2796"/>
      <c r="G410" s="2797">
        <f t="shared" si="266"/>
        <v>0</v>
      </c>
      <c r="H410" s="2798">
        <f t="shared" si="267"/>
        <v>0</v>
      </c>
      <c r="I410" s="2804"/>
      <c r="J410" s="2816"/>
      <c r="K410" s="2804"/>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4"/>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c r="A411" s="2792"/>
      <c r="B411" s="2802"/>
      <c r="C411" s="2800"/>
      <c r="D411" s="2801"/>
      <c r="E411" s="2795">
        <f t="shared" si="265"/>
        <v>0</v>
      </c>
      <c r="F411" s="2796"/>
      <c r="G411" s="2797">
        <f t="shared" si="266"/>
        <v>0</v>
      </c>
      <c r="H411" s="2798">
        <f t="shared" si="267"/>
        <v>0</v>
      </c>
      <c r="I411" s="2804"/>
      <c r="J411" s="2816"/>
      <c r="K411" s="2804"/>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4"/>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c r="A412" s="2792"/>
      <c r="B412" s="2802"/>
      <c r="C412" s="2800"/>
      <c r="D412" s="2801"/>
      <c r="E412" s="2795">
        <f t="shared" si="265"/>
        <v>0</v>
      </c>
      <c r="F412" s="2796"/>
      <c r="G412" s="2797">
        <f t="shared" si="266"/>
        <v>0</v>
      </c>
      <c r="H412" s="2798">
        <f t="shared" si="267"/>
        <v>0</v>
      </c>
      <c r="I412" s="2804"/>
      <c r="J412" s="2816"/>
      <c r="K412" s="2804"/>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4"/>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c r="A413" s="2792"/>
      <c r="B413" s="2802"/>
      <c r="C413" s="2800"/>
      <c r="D413" s="2801"/>
      <c r="E413" s="2795">
        <f t="shared" si="265"/>
        <v>0</v>
      </c>
      <c r="F413" s="2796"/>
      <c r="G413" s="2797">
        <f t="shared" si="266"/>
        <v>0</v>
      </c>
      <c r="H413" s="2798">
        <f t="shared" si="267"/>
        <v>0</v>
      </c>
      <c r="I413" s="2804"/>
      <c r="J413" s="2816"/>
      <c r="K413" s="2804"/>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4"/>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c r="A414" s="2792"/>
      <c r="B414" s="2802"/>
      <c r="C414" s="2800"/>
      <c r="D414" s="2801"/>
      <c r="E414" s="2795">
        <f t="shared" si="265"/>
        <v>0</v>
      </c>
      <c r="F414" s="2796"/>
      <c r="G414" s="2797">
        <f t="shared" si="266"/>
        <v>0</v>
      </c>
      <c r="H414" s="2798">
        <f t="shared" si="267"/>
        <v>0</v>
      </c>
      <c r="I414" s="2804"/>
      <c r="J414" s="2816"/>
      <c r="K414" s="2804"/>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4"/>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c r="A415" s="2792"/>
      <c r="B415" s="2802"/>
      <c r="C415" s="2800"/>
      <c r="D415" s="2801"/>
      <c r="E415" s="2795">
        <f t="shared" si="265"/>
        <v>0</v>
      </c>
      <c r="F415" s="2796"/>
      <c r="G415" s="2797">
        <f t="shared" si="266"/>
        <v>0</v>
      </c>
      <c r="H415" s="2798">
        <f t="shared" si="267"/>
        <v>0</v>
      </c>
      <c r="I415" s="2804"/>
      <c r="J415" s="2816"/>
      <c r="K415" s="2804"/>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c r="A416" s="2792"/>
      <c r="B416" s="2802"/>
      <c r="C416" s="2800"/>
      <c r="D416" s="2801"/>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c r="A417" s="2792"/>
      <c r="B417" s="2802"/>
      <c r="C417" s="2800"/>
      <c r="D417" s="2801"/>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c r="A418" s="2792"/>
      <c r="B418" s="2802"/>
      <c r="C418" s="2800"/>
      <c r="D418" s="2801"/>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c r="A419" s="2792"/>
      <c r="B419" s="2802"/>
      <c r="C419" s="2800"/>
      <c r="D419" s="2801"/>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c r="A420" s="2792"/>
      <c r="B420" s="2802"/>
      <c r="C420" s="2800"/>
      <c r="D420" s="2801"/>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c r="A421" s="2792"/>
      <c r="B421" s="2802"/>
      <c r="C421" s="2800"/>
      <c r="D421" s="2801"/>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c r="A422" s="2792"/>
      <c r="B422" s="2802"/>
      <c r="C422" s="2800"/>
      <c r="D422" s="2801"/>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c r="A423" s="2792"/>
      <c r="B423" s="2803"/>
      <c r="C423" s="2804"/>
      <c r="D423" s="2801"/>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c r="A481" s="2792"/>
      <c r="B481" s="2802"/>
      <c r="C481" s="2800"/>
      <c r="D481" s="2801"/>
      <c r="E481" s="2795">
        <f t="shared" ref="E481:E504" si="319">IF($C$3="是",ROUND($A$3*G481/$B$3,2),ROUND($A$3*(G481-AT481)/$B$3,2))</f>
        <v>0</v>
      </c>
      <c r="F481" s="2796"/>
      <c r="G481" s="2797">
        <f t="shared" si="294"/>
        <v>0</v>
      </c>
      <c r="H481" s="2798">
        <f t="shared" si="295"/>
        <v>0</v>
      </c>
      <c r="I481" s="2804"/>
      <c r="J481" s="2816"/>
      <c r="K481" s="2804"/>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c r="A482" s="2792"/>
      <c r="B482" s="2802"/>
      <c r="C482" s="2800"/>
      <c r="D482" s="2801"/>
      <c r="E482" s="2795">
        <f t="shared" si="319"/>
        <v>0</v>
      </c>
      <c r="F482" s="2796"/>
      <c r="G482" s="2797">
        <f t="shared" si="294"/>
        <v>0</v>
      </c>
      <c r="H482" s="2798">
        <f t="shared" si="295"/>
        <v>0</v>
      </c>
      <c r="I482" s="2804"/>
      <c r="J482" s="2816"/>
      <c r="K482" s="2804"/>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c r="A483" s="2792"/>
      <c r="B483" s="2802"/>
      <c r="C483" s="2800"/>
      <c r="D483" s="2801"/>
      <c r="E483" s="2795">
        <f t="shared" si="319"/>
        <v>0</v>
      </c>
      <c r="F483" s="2796"/>
      <c r="G483" s="2797">
        <f t="shared" si="294"/>
        <v>0</v>
      </c>
      <c r="H483" s="2798">
        <f t="shared" si="295"/>
        <v>0</v>
      </c>
      <c r="I483" s="2804"/>
      <c r="J483" s="2816"/>
      <c r="K483" s="2804"/>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c r="A484" s="2792"/>
      <c r="B484" s="2802"/>
      <c r="C484" s="2800"/>
      <c r="D484" s="2801"/>
      <c r="E484" s="2795">
        <f t="shared" si="319"/>
        <v>0</v>
      </c>
      <c r="F484" s="2796"/>
      <c r="G484" s="2797">
        <f t="shared" si="294"/>
        <v>0</v>
      </c>
      <c r="H484" s="2798">
        <f t="shared" si="295"/>
        <v>0</v>
      </c>
      <c r="I484" s="2804"/>
      <c r="J484" s="2816"/>
      <c r="K484" s="2804"/>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c r="A485" s="2792"/>
      <c r="B485" s="2802"/>
      <c r="C485" s="2800"/>
      <c r="D485" s="2801"/>
      <c r="E485" s="2795">
        <f t="shared" si="319"/>
        <v>0</v>
      </c>
      <c r="F485" s="2796"/>
      <c r="G485" s="2797">
        <f t="shared" si="294"/>
        <v>0</v>
      </c>
      <c r="H485" s="2798">
        <f t="shared" si="295"/>
        <v>0</v>
      </c>
      <c r="I485" s="2804"/>
      <c r="J485" s="2816"/>
      <c r="K485" s="2804"/>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c r="A486" s="2792"/>
      <c r="B486" s="2802"/>
      <c r="C486" s="2800"/>
      <c r="D486" s="2801"/>
      <c r="E486" s="2795">
        <f t="shared" si="319"/>
        <v>0</v>
      </c>
      <c r="F486" s="2796"/>
      <c r="G486" s="2797">
        <f t="shared" si="294"/>
        <v>0</v>
      </c>
      <c r="H486" s="2798">
        <f t="shared" si="295"/>
        <v>0</v>
      </c>
      <c r="I486" s="2804"/>
      <c r="J486" s="2816"/>
      <c r="K486" s="2804"/>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c r="A487" s="2792"/>
      <c r="B487" s="2802"/>
      <c r="C487" s="2800"/>
      <c r="D487" s="2801"/>
      <c r="E487" s="2795">
        <f t="shared" si="319"/>
        <v>0</v>
      </c>
      <c r="F487" s="2796"/>
      <c r="G487" s="2797">
        <f t="shared" si="294"/>
        <v>0</v>
      </c>
      <c r="H487" s="2798">
        <f t="shared" si="295"/>
        <v>0</v>
      </c>
      <c r="I487" s="2804"/>
      <c r="J487" s="2816"/>
      <c r="K487" s="2804"/>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c r="A488" s="2792"/>
      <c r="B488" s="2802"/>
      <c r="C488" s="2800"/>
      <c r="D488" s="2801"/>
      <c r="E488" s="2795">
        <f t="shared" si="319"/>
        <v>0</v>
      </c>
      <c r="F488" s="2796"/>
      <c r="G488" s="2797">
        <f t="shared" si="294"/>
        <v>0</v>
      </c>
      <c r="H488" s="2798">
        <f t="shared" si="295"/>
        <v>0</v>
      </c>
      <c r="I488" s="2804"/>
      <c r="J488" s="2816"/>
      <c r="K488" s="2804"/>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4"/>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c r="A489" s="2792"/>
      <c r="B489" s="2803"/>
      <c r="C489" s="2804"/>
      <c r="D489" s="2801"/>
      <c r="E489" s="2795">
        <f t="shared" si="319"/>
        <v>0</v>
      </c>
      <c r="F489" s="2796"/>
      <c r="G489" s="2797">
        <f t="shared" si="294"/>
        <v>0</v>
      </c>
      <c r="H489" s="2798">
        <f t="shared" si="295"/>
        <v>0</v>
      </c>
      <c r="I489" s="2804"/>
      <c r="J489" s="2816"/>
      <c r="K489" s="2804"/>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4"/>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c r="A490" s="2792"/>
      <c r="B490" s="2802"/>
      <c r="C490" s="2800"/>
      <c r="D490" s="2801"/>
      <c r="E490" s="2795">
        <f t="shared" si="319"/>
        <v>0</v>
      </c>
      <c r="F490" s="2796"/>
      <c r="G490" s="2797">
        <f t="shared" si="294"/>
        <v>0</v>
      </c>
      <c r="H490" s="2798">
        <f t="shared" si="295"/>
        <v>0</v>
      </c>
      <c r="I490" s="2804"/>
      <c r="J490" s="2816"/>
      <c r="K490" s="2804"/>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4"/>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c r="A491" s="2792"/>
      <c r="B491" s="2802"/>
      <c r="C491" s="2800"/>
      <c r="D491" s="2801"/>
      <c r="E491" s="2795">
        <f t="shared" si="319"/>
        <v>0</v>
      </c>
      <c r="F491" s="2796"/>
      <c r="G491" s="2797">
        <f t="shared" si="294"/>
        <v>0</v>
      </c>
      <c r="H491" s="2798">
        <f t="shared" si="295"/>
        <v>0</v>
      </c>
      <c r="I491" s="2804"/>
      <c r="J491" s="2816"/>
      <c r="K491" s="2804"/>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4"/>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c r="A492" s="2792"/>
      <c r="B492" s="2802"/>
      <c r="C492" s="2800"/>
      <c r="D492" s="2801"/>
      <c r="E492" s="2795">
        <f t="shared" si="319"/>
        <v>0</v>
      </c>
      <c r="F492" s="2796"/>
      <c r="G492" s="2797">
        <f t="shared" si="294"/>
        <v>0</v>
      </c>
      <c r="H492" s="2798">
        <f t="shared" si="295"/>
        <v>0</v>
      </c>
      <c r="I492" s="2804"/>
      <c r="J492" s="2816"/>
      <c r="K492" s="2804"/>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4"/>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c r="A493" s="2792"/>
      <c r="B493" s="2802"/>
      <c r="C493" s="2800"/>
      <c r="D493" s="2801"/>
      <c r="E493" s="2795">
        <f t="shared" si="319"/>
        <v>0</v>
      </c>
      <c r="F493" s="2796"/>
      <c r="G493" s="2797">
        <f t="shared" si="294"/>
        <v>0</v>
      </c>
      <c r="H493" s="2798">
        <f t="shared" si="295"/>
        <v>0</v>
      </c>
      <c r="I493" s="2804"/>
      <c r="J493" s="2816"/>
      <c r="K493" s="2804"/>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4"/>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c r="A494" s="2792"/>
      <c r="B494" s="2802"/>
      <c r="C494" s="2800"/>
      <c r="D494" s="2801"/>
      <c r="E494" s="2795">
        <f t="shared" si="319"/>
        <v>0</v>
      </c>
      <c r="F494" s="2796"/>
      <c r="G494" s="2797">
        <f t="shared" si="294"/>
        <v>0</v>
      </c>
      <c r="H494" s="2798">
        <f t="shared" si="295"/>
        <v>0</v>
      </c>
      <c r="I494" s="2804"/>
      <c r="J494" s="2816"/>
      <c r="K494" s="2804"/>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4"/>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c r="A495" s="2792"/>
      <c r="B495" s="2802"/>
      <c r="C495" s="2800"/>
      <c r="D495" s="2801"/>
      <c r="E495" s="2795">
        <f t="shared" si="319"/>
        <v>0</v>
      </c>
      <c r="F495" s="2796"/>
      <c r="G495" s="2797">
        <f t="shared" si="294"/>
        <v>0</v>
      </c>
      <c r="H495" s="2798">
        <f t="shared" si="295"/>
        <v>0</v>
      </c>
      <c r="I495" s="2804"/>
      <c r="J495" s="2816"/>
      <c r="K495" s="2804"/>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4"/>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c r="A496" s="2792"/>
      <c r="B496" s="2802"/>
      <c r="C496" s="2800"/>
      <c r="D496" s="2801"/>
      <c r="E496" s="2795">
        <f t="shared" si="319"/>
        <v>0</v>
      </c>
      <c r="F496" s="2796"/>
      <c r="G496" s="2797">
        <f t="shared" si="294"/>
        <v>0</v>
      </c>
      <c r="H496" s="2798">
        <f t="shared" si="295"/>
        <v>0</v>
      </c>
      <c r="I496" s="2804"/>
      <c r="J496" s="2816"/>
      <c r="K496" s="2804"/>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4"/>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c r="A497" s="2792"/>
      <c r="B497" s="2802"/>
      <c r="C497" s="2800"/>
      <c r="D497" s="2801"/>
      <c r="E497" s="2795">
        <f t="shared" si="319"/>
        <v>0</v>
      </c>
      <c r="F497" s="2796"/>
      <c r="G497" s="2797">
        <f t="shared" si="294"/>
        <v>0</v>
      </c>
      <c r="H497" s="2798">
        <f t="shared" si="295"/>
        <v>0</v>
      </c>
      <c r="I497" s="2804"/>
      <c r="J497" s="2816"/>
      <c r="K497" s="2804"/>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4"/>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c r="A498" s="2792"/>
      <c r="B498" s="2802"/>
      <c r="C498" s="2800"/>
      <c r="D498" s="2801"/>
      <c r="E498" s="2795">
        <f t="shared" si="319"/>
        <v>0</v>
      </c>
      <c r="F498" s="2796"/>
      <c r="G498" s="2797">
        <f t="shared" si="294"/>
        <v>0</v>
      </c>
      <c r="H498" s="2798">
        <f t="shared" si="295"/>
        <v>0</v>
      </c>
      <c r="I498" s="2804"/>
      <c r="J498" s="2816"/>
      <c r="K498" s="2804"/>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4"/>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c r="A499" s="2792"/>
      <c r="B499" s="2802"/>
      <c r="C499" s="2800"/>
      <c r="D499" s="2801"/>
      <c r="E499" s="2795">
        <f t="shared" si="319"/>
        <v>0</v>
      </c>
      <c r="F499" s="2796"/>
      <c r="G499" s="2797">
        <f t="shared" si="294"/>
        <v>0</v>
      </c>
      <c r="H499" s="2798">
        <f t="shared" si="295"/>
        <v>0</v>
      </c>
      <c r="I499" s="2804"/>
      <c r="J499" s="2816"/>
      <c r="K499" s="2804"/>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4"/>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c r="A500" s="2792"/>
      <c r="B500" s="2802"/>
      <c r="C500" s="2800"/>
      <c r="D500" s="2801"/>
      <c r="E500" s="2795">
        <f t="shared" si="319"/>
        <v>0</v>
      </c>
      <c r="F500" s="2796"/>
      <c r="G500" s="2797">
        <f t="shared" si="294"/>
        <v>0</v>
      </c>
      <c r="H500" s="2798">
        <f t="shared" si="295"/>
        <v>0</v>
      </c>
      <c r="I500" s="2804"/>
      <c r="J500" s="2816"/>
      <c r="K500" s="2804"/>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4"/>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c r="A501" s="2792"/>
      <c r="B501" s="2802"/>
      <c r="C501" s="2800"/>
      <c r="D501" s="2801"/>
      <c r="E501" s="2795">
        <f t="shared" si="319"/>
        <v>0</v>
      </c>
      <c r="F501" s="2796"/>
      <c r="G501" s="2797">
        <f t="shared" si="294"/>
        <v>0</v>
      </c>
      <c r="H501" s="2798">
        <f t="shared" si="295"/>
        <v>0</v>
      </c>
      <c r="I501" s="2804"/>
      <c r="J501" s="2816"/>
      <c r="K501" s="2804"/>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4"/>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c r="A502" s="2792"/>
      <c r="B502" s="2802"/>
      <c r="C502" s="2800"/>
      <c r="D502" s="2801"/>
      <c r="E502" s="2795">
        <f t="shared" si="319"/>
        <v>0</v>
      </c>
      <c r="F502" s="2796"/>
      <c r="G502" s="2797">
        <f t="shared" si="294"/>
        <v>0</v>
      </c>
      <c r="H502" s="2798">
        <f t="shared" si="295"/>
        <v>0</v>
      </c>
      <c r="I502" s="2804"/>
      <c r="J502" s="2816"/>
      <c r="K502" s="2804"/>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4"/>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c r="A503" s="2792"/>
      <c r="B503" s="2802"/>
      <c r="C503" s="2800"/>
      <c r="D503" s="2801"/>
      <c r="E503" s="2795">
        <f t="shared" si="319"/>
        <v>0</v>
      </c>
      <c r="F503" s="2796"/>
      <c r="G503" s="2797">
        <f t="shared" si="294"/>
        <v>0</v>
      </c>
      <c r="H503" s="2798">
        <f t="shared" si="295"/>
        <v>0</v>
      </c>
      <c r="I503" s="2804"/>
      <c r="J503" s="2816"/>
      <c r="K503" s="2804"/>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4"/>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c r="A504" s="2792"/>
      <c r="B504" s="2802"/>
      <c r="C504" s="2800"/>
      <c r="D504" s="2801"/>
      <c r="E504" s="2795">
        <f t="shared" si="319"/>
        <v>0</v>
      </c>
      <c r="F504" s="2796"/>
      <c r="G504" s="2797">
        <f t="shared" si="294"/>
        <v>0</v>
      </c>
      <c r="H504" s="2798">
        <f t="shared" si="295"/>
        <v>0</v>
      </c>
      <c r="I504" s="2804"/>
      <c r="J504" s="2816"/>
      <c r="K504" s="2804"/>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4"/>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c r="A505" s="2792"/>
      <c r="B505" s="2802"/>
      <c r="C505" s="2800"/>
      <c r="D505" s="2801"/>
      <c r="E505" s="2795">
        <f t="shared" ref="E505:E536" si="323">IF($C$3="是",ROUND($A$3*G505/$B$3,2),ROUND($A$3*(G505-AT505)/$B$3,2))</f>
        <v>0</v>
      </c>
      <c r="F505" s="2796"/>
      <c r="G505" s="2797">
        <f t="shared" si="294"/>
        <v>0</v>
      </c>
      <c r="H505" s="2798">
        <f t="shared" si="295"/>
        <v>0</v>
      </c>
      <c r="I505" s="2804"/>
      <c r="J505" s="2816"/>
      <c r="K505" s="2804"/>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4"/>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c r="A506" s="2792"/>
      <c r="B506" s="2802"/>
      <c r="C506" s="2800"/>
      <c r="D506" s="2801"/>
      <c r="E506" s="2795">
        <f t="shared" si="323"/>
        <v>0</v>
      </c>
      <c r="F506" s="2796"/>
      <c r="G506" s="2797">
        <f t="shared" si="294"/>
        <v>0</v>
      </c>
      <c r="H506" s="2798">
        <f t="shared" si="295"/>
        <v>0</v>
      </c>
      <c r="I506" s="2804"/>
      <c r="J506" s="2816"/>
      <c r="K506" s="2804"/>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4"/>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c r="A507" s="2792"/>
      <c r="B507" s="2802"/>
      <c r="C507" s="2800"/>
      <c r="D507" s="2801"/>
      <c r="E507" s="2795">
        <f t="shared" si="323"/>
        <v>0</v>
      </c>
      <c r="F507" s="2796"/>
      <c r="G507" s="2797">
        <f t="shared" si="294"/>
        <v>0</v>
      </c>
      <c r="H507" s="2798">
        <f t="shared" si="295"/>
        <v>0</v>
      </c>
      <c r="I507" s="2804"/>
      <c r="J507" s="2816"/>
      <c r="K507" s="2804"/>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c r="A508" s="2792"/>
      <c r="B508" s="2802"/>
      <c r="C508" s="2800"/>
      <c r="D508" s="2801"/>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c r="A509" s="2792"/>
      <c r="B509" s="2802"/>
      <c r="C509" s="2800"/>
      <c r="D509" s="2801"/>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c r="A510" s="2792"/>
      <c r="B510" s="2802"/>
      <c r="C510" s="2800"/>
      <c r="D510" s="2801"/>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c r="A511" s="2792"/>
      <c r="B511" s="2802"/>
      <c r="C511" s="2800"/>
      <c r="D511" s="2801"/>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c r="A512" s="2792"/>
      <c r="B512" s="2802"/>
      <c r="C512" s="2800"/>
      <c r="D512" s="2801"/>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c r="A513" s="2792"/>
      <c r="B513" s="2802"/>
      <c r="C513" s="2800"/>
      <c r="D513" s="2801"/>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c r="A514" s="2792"/>
      <c r="B514" s="2802"/>
      <c r="C514" s="2800"/>
      <c r="D514" s="2801"/>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c r="A515" s="2792"/>
      <c r="B515" s="2803"/>
      <c r="C515" s="2804"/>
      <c r="D515" s="2801"/>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6" customWidth="1"/>
    <col min="2" max="2" width="10.625" style="2756" customWidth="1"/>
    <col min="3" max="3" width="15.75" style="2756" customWidth="1"/>
    <col min="4" max="7" width="9.5" style="2756" customWidth="1"/>
    <col min="8" max="13" width="9.125" style="2756" customWidth="1"/>
    <col min="14" max="16384" width="9" style="2756"/>
  </cols>
  <sheetData>
    <row r="1" spans="1:13" ht="14.25">
      <c r="A1" s="3234" t="s">
        <v>485</v>
      </c>
      <c r="B1" s="3234" t="s">
        <v>486</v>
      </c>
      <c r="C1" s="3234" t="s">
        <v>422</v>
      </c>
      <c r="D1" s="3233" t="s">
        <v>487</v>
      </c>
      <c r="E1" s="3233" t="s">
        <v>382</v>
      </c>
      <c r="F1" s="3233"/>
      <c r="G1" s="3233"/>
      <c r="H1" s="3233"/>
      <c r="I1" s="3233"/>
      <c r="J1" s="3233"/>
      <c r="K1" s="3233"/>
      <c r="L1" s="3233"/>
      <c r="M1" s="3233"/>
    </row>
    <row r="2" spans="1:13" ht="27" customHeight="1">
      <c r="A2" s="3234"/>
      <c r="B2" s="3234"/>
      <c r="C2" s="3234"/>
      <c r="D2" s="3233"/>
      <c r="E2" s="3233" t="s">
        <v>488</v>
      </c>
      <c r="F2" s="3233" t="s">
        <v>489</v>
      </c>
      <c r="G2" s="3233"/>
      <c r="H2" s="3233"/>
      <c r="I2" s="3233"/>
      <c r="J2" s="3233" t="s">
        <v>490</v>
      </c>
      <c r="K2" s="3233"/>
      <c r="L2" s="3233"/>
      <c r="M2" s="3233"/>
    </row>
    <row r="3" spans="1:13" ht="28.5">
      <c r="A3" s="3234"/>
      <c r="B3" s="3234"/>
      <c r="C3" s="3234"/>
      <c r="D3" s="3233"/>
      <c r="E3" s="3233"/>
      <c r="F3" s="2758" t="s">
        <v>491</v>
      </c>
      <c r="G3" s="2758" t="s">
        <v>492</v>
      </c>
      <c r="H3" s="2758" t="s">
        <v>493</v>
      </c>
      <c r="I3" s="2758" t="s">
        <v>376</v>
      </c>
      <c r="J3" s="2758" t="s">
        <v>491</v>
      </c>
      <c r="K3" s="2758" t="s">
        <v>494</v>
      </c>
      <c r="L3" s="2758" t="s">
        <v>495</v>
      </c>
      <c r="M3" s="2758" t="s">
        <v>496</v>
      </c>
    </row>
    <row r="4" spans="1:13" ht="42.75">
      <c r="A4" s="2758" t="s">
        <v>497</v>
      </c>
      <c r="B4" s="2758" t="s">
        <v>498</v>
      </c>
      <c r="C4" s="2758" t="s">
        <v>499</v>
      </c>
      <c r="D4" s="2757">
        <v>3807.94</v>
      </c>
      <c r="E4" s="2757">
        <v>20666.91</v>
      </c>
      <c r="F4" s="2757">
        <v>19673</v>
      </c>
      <c r="G4" s="2757">
        <v>0</v>
      </c>
      <c r="H4" s="2757">
        <v>19673</v>
      </c>
      <c r="I4" s="2757">
        <v>0</v>
      </c>
      <c r="J4" s="2757">
        <v>993.91</v>
      </c>
      <c r="K4" s="2757">
        <v>0</v>
      </c>
      <c r="L4" s="2757">
        <v>0</v>
      </c>
      <c r="M4" s="2757">
        <v>993.91</v>
      </c>
    </row>
    <row r="5" spans="1:13" ht="42.75">
      <c r="A5" s="2758" t="s">
        <v>497</v>
      </c>
      <c r="B5" s="2758" t="s">
        <v>500</v>
      </c>
      <c r="C5" s="2758" t="s">
        <v>501</v>
      </c>
      <c r="D5" s="2757">
        <v>3667.86</v>
      </c>
      <c r="E5" s="2757">
        <v>19906.61</v>
      </c>
      <c r="F5" s="2757">
        <v>18792.87</v>
      </c>
      <c r="G5" s="2757">
        <v>18792.87</v>
      </c>
      <c r="H5" s="2757">
        <v>0</v>
      </c>
      <c r="I5" s="2757">
        <v>0</v>
      </c>
      <c r="J5" s="2757">
        <v>1113.74</v>
      </c>
      <c r="K5" s="2757">
        <v>55.59</v>
      </c>
      <c r="L5" s="2757">
        <v>0</v>
      </c>
      <c r="M5" s="2757">
        <v>1058.1500000000001</v>
      </c>
    </row>
    <row r="6" spans="1:13" ht="42.75">
      <c r="A6" s="2758" t="s">
        <v>497</v>
      </c>
      <c r="B6" s="2758" t="s">
        <v>500</v>
      </c>
      <c r="C6" s="2758" t="s">
        <v>502</v>
      </c>
      <c r="D6" s="2757">
        <v>2067.52</v>
      </c>
      <c r="E6" s="2757">
        <v>11221.06</v>
      </c>
      <c r="F6" s="2757">
        <v>9934.1299999999992</v>
      </c>
      <c r="G6" s="2757">
        <v>9934.1299999999992</v>
      </c>
      <c r="H6" s="2757">
        <v>0</v>
      </c>
      <c r="I6" s="2757">
        <v>0</v>
      </c>
      <c r="J6" s="2757">
        <v>1286.93</v>
      </c>
      <c r="K6" s="2757">
        <v>0</v>
      </c>
      <c r="L6" s="2757">
        <v>0</v>
      </c>
      <c r="M6" s="2757">
        <v>1286.93</v>
      </c>
    </row>
    <row r="7" spans="1:13" ht="42.75">
      <c r="A7" s="2758" t="s">
        <v>497</v>
      </c>
      <c r="B7" s="2758" t="s">
        <v>500</v>
      </c>
      <c r="C7" s="2758" t="s">
        <v>503</v>
      </c>
      <c r="D7" s="2757">
        <v>8.18</v>
      </c>
      <c r="E7" s="2757">
        <v>44.41</v>
      </c>
      <c r="F7" s="2757">
        <v>0</v>
      </c>
      <c r="G7" s="2757">
        <v>0</v>
      </c>
      <c r="H7" s="2757">
        <v>0</v>
      </c>
      <c r="I7" s="2757">
        <v>0</v>
      </c>
      <c r="J7" s="2757">
        <v>44.41</v>
      </c>
      <c r="K7" s="2757">
        <v>44.41</v>
      </c>
      <c r="L7" s="2757">
        <v>0</v>
      </c>
      <c r="M7" s="2757">
        <v>0</v>
      </c>
    </row>
    <row r="8" spans="1:13" ht="42.75">
      <c r="A8" s="2758" t="s">
        <v>497</v>
      </c>
      <c r="B8" s="2758" t="s">
        <v>500</v>
      </c>
      <c r="C8" s="2758" t="s">
        <v>376</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33" t="s">
        <v>504</v>
      </c>
      <c r="B9" s="3233"/>
      <c r="C9" s="3233"/>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topLeftCell="I1" workbookViewId="0">
      <selection activeCell="T39" sqref="T39"/>
    </sheetView>
  </sheetViews>
  <sheetFormatPr defaultColWidth="9" defaultRowHeight="13.5"/>
  <cols>
    <col min="1" max="1" width="10.875" customWidth="1"/>
    <col min="2" max="2" width="15.25" customWidth="1"/>
  </cols>
  <sheetData>
    <row r="2" spans="1:8">
      <c r="B2" s="2755" t="s">
        <v>482</v>
      </c>
      <c r="F2" s="2755" t="s">
        <v>505</v>
      </c>
    </row>
    <row r="3" spans="1:8">
      <c r="B3" s="2755" t="s">
        <v>506</v>
      </c>
      <c r="C3">
        <v>66298.06</v>
      </c>
      <c r="F3">
        <v>66857.94</v>
      </c>
      <c r="H3">
        <f>C3+F3</f>
        <v>133156</v>
      </c>
    </row>
    <row r="4" spans="1:8">
      <c r="B4" s="2755" t="s">
        <v>507</v>
      </c>
      <c r="C4">
        <v>132586.32999999999</v>
      </c>
      <c r="F4">
        <v>138185.97</v>
      </c>
    </row>
    <row r="5" spans="1:8">
      <c r="A5" s="2755" t="s">
        <v>464</v>
      </c>
      <c r="B5" s="2755"/>
    </row>
    <row r="6" spans="1:8">
      <c r="B6" s="2755" t="s">
        <v>508</v>
      </c>
      <c r="C6">
        <v>18326.77</v>
      </c>
      <c r="F6">
        <v>22356.86</v>
      </c>
    </row>
    <row r="7" spans="1:8">
      <c r="B7" s="2755" t="s">
        <v>509</v>
      </c>
      <c r="C7">
        <v>52558.36</v>
      </c>
      <c r="F7">
        <v>54440.01</v>
      </c>
    </row>
    <row r="8" spans="1:8">
      <c r="B8" s="2755" t="s">
        <v>510</v>
      </c>
      <c r="C8">
        <v>711.5</v>
      </c>
      <c r="F8">
        <v>543.5</v>
      </c>
    </row>
    <row r="9" spans="1:8">
      <c r="A9" s="2755" t="s">
        <v>465</v>
      </c>
    </row>
    <row r="10" spans="1:8">
      <c r="B10" s="2755" t="s">
        <v>511</v>
      </c>
      <c r="C10">
        <v>50350.7</v>
      </c>
      <c r="F10">
        <v>51186.6</v>
      </c>
    </row>
    <row r="11" spans="1:8">
      <c r="B11" s="2755" t="s">
        <v>461</v>
      </c>
      <c r="C11">
        <v>10639</v>
      </c>
      <c r="F11">
        <v>9659</v>
      </c>
    </row>
    <row r="13" spans="1:8">
      <c r="A13" s="2755" t="s">
        <v>512</v>
      </c>
      <c r="C13">
        <v>752</v>
      </c>
      <c r="F13">
        <v>808</v>
      </c>
    </row>
    <row r="14" spans="1:8">
      <c r="C14">
        <v>36</v>
      </c>
      <c r="F14">
        <v>39</v>
      </c>
    </row>
    <row r="15" spans="1:8">
      <c r="C15">
        <v>716</v>
      </c>
      <c r="F15">
        <v>769</v>
      </c>
    </row>
    <row r="19" spans="3:3">
      <c r="C19">
        <f>C15+F15</f>
        <v>1485</v>
      </c>
    </row>
  </sheetData>
  <phoneticPr fontId="22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topLeftCell="A10" zoomScale="90" zoomScaleNormal="90" workbookViewId="0">
      <selection activeCell="H38" sqref="H38"/>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6384" width="9.25" style="2667"/>
  </cols>
  <sheetData>
    <row r="1" spans="1:16" ht="18.75">
      <c r="A1" s="2140" t="s">
        <v>513</v>
      </c>
      <c r="B1" s="2668"/>
      <c r="C1" s="2668"/>
      <c r="D1" s="2668"/>
      <c r="E1" s="2668"/>
      <c r="F1" s="2668"/>
      <c r="G1" s="2668"/>
      <c r="H1" s="2668"/>
      <c r="I1" s="2668"/>
      <c r="J1" s="2668"/>
      <c r="K1" s="2668"/>
      <c r="L1" s="2668"/>
    </row>
    <row r="2" spans="1:16" ht="15">
      <c r="A2" s="3235" t="s">
        <v>514</v>
      </c>
      <c r="B2" s="3235"/>
      <c r="C2" s="3235"/>
      <c r="D2" s="1958" t="s">
        <v>515</v>
      </c>
      <c r="E2" s="2669" t="s">
        <v>516</v>
      </c>
      <c r="F2" s="2668"/>
      <c r="G2" s="2670"/>
      <c r="H2" s="2671"/>
      <c r="I2" s="2729" t="s">
        <v>517</v>
      </c>
      <c r="J2" s="2668"/>
      <c r="K2" s="2668"/>
      <c r="L2" s="2668"/>
    </row>
    <row r="3" spans="1:16" ht="15">
      <c r="A3" s="3236" t="s">
        <v>518</v>
      </c>
      <c r="B3" s="3236"/>
      <c r="C3" s="3236"/>
      <c r="D3" s="2672">
        <f>'数据-基础表'!AY6</f>
        <v>66881</v>
      </c>
      <c r="E3" s="2672">
        <f>'数据-基础表'!AZ5</f>
        <v>128526.97</v>
      </c>
      <c r="F3" s="2668"/>
      <c r="G3" s="2088" t="s">
        <v>519</v>
      </c>
      <c r="H3" s="2084" t="s">
        <v>520</v>
      </c>
      <c r="I3" s="464">
        <f>ROUND('数据-基础表'!B3/'数据-基础表'!A3,2)</f>
        <v>1.92</v>
      </c>
      <c r="J3" s="2668"/>
      <c r="K3" s="2668"/>
      <c r="L3" s="2668"/>
    </row>
    <row r="4" spans="1:16" ht="15">
      <c r="A4" s="3237"/>
      <c r="B4" s="3238"/>
      <c r="C4" s="3239"/>
      <c r="D4" s="2673" t="s">
        <v>515</v>
      </c>
      <c r="E4" s="2674" t="s">
        <v>516</v>
      </c>
      <c r="F4" s="2668"/>
      <c r="G4" s="2675"/>
      <c r="H4" s="2084" t="s">
        <v>521</v>
      </c>
      <c r="I4" s="464">
        <f>ROUND(SUMIF('数据-基础表'!I9:AS9,"地上",'数据-基础表'!I5:AS5)/'数据-基础表'!A3,2)</f>
        <v>1.1599999999999999</v>
      </c>
      <c r="J4" s="2668"/>
      <c r="K4" s="2668"/>
      <c r="L4" s="2668"/>
    </row>
    <row r="5" spans="1:16">
      <c r="A5" s="2676" t="s">
        <v>522</v>
      </c>
      <c r="B5" s="3240" t="s">
        <v>243</v>
      </c>
      <c r="C5" s="3240"/>
      <c r="D5" s="2677">
        <f>ROUND($D$3*E5/$E$3,2)</f>
        <v>39962.44</v>
      </c>
      <c r="E5" s="2678">
        <f>SUMIF('数据-基础表'!$11:$11,"住宅",'数据-基础表'!$5:$5)</f>
        <v>76796.87</v>
      </c>
      <c r="F5" s="2668"/>
      <c r="G5" s="2088" t="s">
        <v>523</v>
      </c>
      <c r="H5" s="2084" t="s">
        <v>520</v>
      </c>
      <c r="I5" s="464">
        <f>ROUND(E31/D31,2)</f>
        <v>1.92</v>
      </c>
      <c r="J5" s="2668"/>
      <c r="K5" s="2668"/>
      <c r="L5" s="2668"/>
    </row>
    <row r="6" spans="1:16">
      <c r="A6" s="2679"/>
      <c r="B6" s="3240" t="s">
        <v>524</v>
      </c>
      <c r="C6" s="3240"/>
      <c r="D6" s="2677">
        <f>ROUND($D$3*E6/$E$3,2)</f>
        <v>26918.560000000001</v>
      </c>
      <c r="E6" s="2678">
        <f>E3-E5</f>
        <v>51730.100000000006</v>
      </c>
      <c r="F6" s="2668"/>
      <c r="G6" s="2675"/>
      <c r="H6" s="2084" t="s">
        <v>521</v>
      </c>
      <c r="I6" s="464">
        <f>ROUND(F31/D31,2)</f>
        <v>1.1599999999999999</v>
      </c>
      <c r="J6" s="2668"/>
      <c r="K6" s="2668"/>
      <c r="L6" s="2668"/>
    </row>
    <row r="7" spans="1:16" ht="15">
      <c r="A7" s="3241"/>
      <c r="B7" s="3242"/>
      <c r="C7" s="3243"/>
      <c r="D7" s="2673" t="s">
        <v>515</v>
      </c>
      <c r="E7" s="2680" t="s">
        <v>525</v>
      </c>
      <c r="F7" s="2668"/>
      <c r="G7" s="2681" t="s">
        <v>526</v>
      </c>
      <c r="H7" s="2682"/>
      <c r="I7" s="2730"/>
      <c r="J7" s="2668"/>
      <c r="K7" s="2668"/>
      <c r="L7" s="2668"/>
    </row>
    <row r="8" spans="1:16">
      <c r="A8" s="2676" t="s">
        <v>527</v>
      </c>
      <c r="B8" s="2683" t="s">
        <v>528</v>
      </c>
      <c r="C8" s="2677" t="s">
        <v>529</v>
      </c>
      <c r="D8" s="2677">
        <f t="shared" ref="D8:D15" si="0">ROUND($D$3*E8/$E$3,2)</f>
        <v>39962.44</v>
      </c>
      <c r="E8" s="2684">
        <f>SUMIF('数据-基础表'!BB10:BK10,"地上",'数据-基础表'!BB5:BK5)</f>
        <v>76796.87</v>
      </c>
      <c r="F8" s="2668"/>
      <c r="G8" s="2685"/>
      <c r="H8" s="2685"/>
      <c r="I8" s="2668"/>
      <c r="J8" s="2668"/>
      <c r="K8" s="2668"/>
      <c r="L8" s="2668"/>
    </row>
    <row r="9" spans="1:16">
      <c r="A9" s="2686"/>
      <c r="B9" s="2687"/>
      <c r="C9" s="2677" t="s">
        <v>530</v>
      </c>
      <c r="D9" s="2677">
        <f t="shared" si="0"/>
        <v>0</v>
      </c>
      <c r="E9" s="2688">
        <v>0</v>
      </c>
      <c r="F9" s="2668"/>
      <c r="G9" s="2685"/>
      <c r="H9" s="2685"/>
      <c r="I9" s="2668"/>
      <c r="J9" s="2668"/>
      <c r="K9" s="2668"/>
      <c r="L9" s="2668"/>
    </row>
    <row r="10" spans="1:16">
      <c r="A10" s="2686"/>
      <c r="B10" s="2687"/>
      <c r="C10" s="2677" t="s">
        <v>531</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532</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533</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534</v>
      </c>
      <c r="D13" s="2677">
        <f t="shared" si="0"/>
        <v>26635.74</v>
      </c>
      <c r="E13" s="2684">
        <f>SUMPRODUCT(('数据-基础表'!BB10:BK10="地下")*('数据-基础表'!BB11:BK11="车库")*('数据-基础表'!BB5:BK5))</f>
        <v>51186.6</v>
      </c>
      <c r="F13" s="2668"/>
      <c r="G13" s="2685"/>
      <c r="H13" s="2685"/>
      <c r="I13" s="2668"/>
      <c r="J13" s="2668"/>
      <c r="K13" s="2668"/>
      <c r="L13" s="2668"/>
    </row>
    <row r="14" spans="1:16">
      <c r="A14" s="2686"/>
      <c r="B14" s="2687"/>
      <c r="C14" s="2677" t="s">
        <v>535</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536</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537</v>
      </c>
      <c r="D16" s="2683">
        <f>SUM(D8:D15)</f>
        <v>66598.180000000008</v>
      </c>
      <c r="E16" s="2690">
        <f>SUM(E8:E15)</f>
        <v>127983.47</v>
      </c>
      <c r="F16" s="2668"/>
      <c r="G16" s="2685"/>
      <c r="H16" s="2691" t="s">
        <v>538</v>
      </c>
      <c r="I16" s="2731"/>
      <c r="J16" s="2668"/>
      <c r="K16" s="3244" t="s">
        <v>539</v>
      </c>
      <c r="L16" s="3245"/>
      <c r="M16" s="3245"/>
      <c r="N16" s="3245"/>
      <c r="O16" s="3245"/>
      <c r="P16" s="3246"/>
    </row>
    <row r="17" spans="1:19" ht="15">
      <c r="A17" s="2633" t="s">
        <v>540</v>
      </c>
      <c r="B17" s="2692" t="s">
        <v>224</v>
      </c>
      <c r="C17" s="2693" t="s">
        <v>402</v>
      </c>
      <c r="D17" s="2673" t="s">
        <v>515</v>
      </c>
      <c r="E17" s="2694" t="s">
        <v>516</v>
      </c>
      <c r="F17" s="2695"/>
      <c r="G17" s="2696"/>
      <c r="H17" s="2697" t="s">
        <v>541</v>
      </c>
      <c r="I17" s="2732" t="s">
        <v>542</v>
      </c>
      <c r="J17" s="2668"/>
      <c r="K17" s="3247" t="s">
        <v>543</v>
      </c>
      <c r="L17" s="3248"/>
      <c r="M17" s="3249"/>
      <c r="N17" s="3247" t="s">
        <v>544</v>
      </c>
      <c r="O17" s="3248"/>
      <c r="P17" s="3249"/>
      <c r="R17" s="2751" t="s">
        <v>545</v>
      </c>
      <c r="S17" s="2072"/>
    </row>
    <row r="18" spans="1:19" ht="15">
      <c r="A18" s="2686"/>
      <c r="B18" s="2698"/>
      <c r="C18" s="2699"/>
      <c r="D18" s="1958"/>
      <c r="E18" s="2700" t="s">
        <v>546</v>
      </c>
      <c r="F18" s="2701" t="s">
        <v>242</v>
      </c>
      <c r="G18" s="2702" t="s">
        <v>266</v>
      </c>
      <c r="H18" s="2640" t="s">
        <v>547</v>
      </c>
      <c r="I18" s="2733" t="s">
        <v>548</v>
      </c>
      <c r="J18" s="2668"/>
      <c r="K18" s="2734" t="s">
        <v>549</v>
      </c>
      <c r="L18" s="2735" t="s">
        <v>550</v>
      </c>
      <c r="M18" s="2736" t="s">
        <v>551</v>
      </c>
      <c r="N18" s="2734" t="s">
        <v>549</v>
      </c>
      <c r="O18" s="2735" t="s">
        <v>550</v>
      </c>
      <c r="P18" s="2736" t="s">
        <v>551</v>
      </c>
      <c r="R18" s="2752" t="s">
        <v>385</v>
      </c>
      <c r="S18" s="2752" t="s">
        <v>382</v>
      </c>
    </row>
    <row r="19" spans="1:19">
      <c r="A19" s="2703"/>
      <c r="B19" s="2683" t="s">
        <v>245</v>
      </c>
      <c r="C19" s="2704" t="s">
        <v>476</v>
      </c>
      <c r="D19" s="2677">
        <f t="shared" ref="D19:D26" si="1">ROUND($D$3*E19/$E$3,2)</f>
        <v>11633.74</v>
      </c>
      <c r="E19" s="2705">
        <f t="shared" ref="E19:E26" si="2">SUM(F19:G19)</f>
        <v>22356.86</v>
      </c>
      <c r="F19" s="2706">
        <f>'数据-基础表'!I14</f>
        <v>22356.86</v>
      </c>
      <c r="G19" s="2707"/>
      <c r="H19" s="2623">
        <f>ROUND($D$3*I19/$E$3,2)</f>
        <v>49.4</v>
      </c>
      <c r="I19" s="2684">
        <f>IF($I$17="自定义",P19,M19)</f>
        <v>94.94</v>
      </c>
      <c r="J19" s="2668"/>
      <c r="K19" s="2737">
        <f t="shared" ref="K19:K26" si="3">ROUND(E$28*E19/E$27,2)</f>
        <v>94.94</v>
      </c>
      <c r="L19" s="2084">
        <f t="shared" ref="L19:L26" si="4">ROUND(IF(COUNTIF(C19,"*住宅*")&gt;0,E$29*E19/E$32,0),2)</f>
        <v>0</v>
      </c>
      <c r="M19" s="2738">
        <f>K19+L19</f>
        <v>94.94</v>
      </c>
      <c r="N19" s="2739"/>
      <c r="O19" s="2740"/>
      <c r="P19" s="2741">
        <f>N19+O19</f>
        <v>0</v>
      </c>
      <c r="R19" s="2084">
        <f t="shared" ref="R19:S26" si="5">D19+H19</f>
        <v>11683.14</v>
      </c>
      <c r="S19" s="2753">
        <f t="shared" si="5"/>
        <v>22451.8</v>
      </c>
    </row>
    <row r="20" spans="1:19">
      <c r="A20" s="2708"/>
      <c r="B20" s="2683" t="s">
        <v>245</v>
      </c>
      <c r="C20" s="2704" t="s">
        <v>477</v>
      </c>
      <c r="D20" s="2677">
        <f t="shared" si="1"/>
        <v>28328.7</v>
      </c>
      <c r="E20" s="2705">
        <f t="shared" si="2"/>
        <v>54440.01</v>
      </c>
      <c r="F20" s="2706">
        <f>'数据-基础表'!K14</f>
        <v>54440.01</v>
      </c>
      <c r="G20" s="2707"/>
      <c r="H20" s="2623">
        <f t="shared" ref="H20:H26" si="6">ROUND($D$3*I20/$E$3,2)</f>
        <v>120.3</v>
      </c>
      <c r="I20" s="2684">
        <f t="shared" ref="I20:I26" si="7">IF($I$17="自定义",P20,M20)</f>
        <v>231.19</v>
      </c>
      <c r="J20" s="2668"/>
      <c r="K20" s="2737">
        <f t="shared" si="3"/>
        <v>231.19</v>
      </c>
      <c r="L20" s="2084">
        <f t="shared" si="4"/>
        <v>0</v>
      </c>
      <c r="M20" s="2738">
        <f t="shared" ref="M20:M26" si="8">K20+L20</f>
        <v>231.19</v>
      </c>
      <c r="N20" s="2739"/>
      <c r="O20" s="2740"/>
      <c r="P20" s="2741">
        <f t="shared" ref="P20:P26" si="9">N20+O20</f>
        <v>0</v>
      </c>
      <c r="R20" s="2084">
        <f t="shared" si="5"/>
        <v>28449</v>
      </c>
      <c r="S20" s="2753">
        <f t="shared" si="5"/>
        <v>54671.200000000004</v>
      </c>
    </row>
    <row r="21" spans="1:19">
      <c r="A21" s="2708"/>
      <c r="B21" s="2683" t="s">
        <v>245</v>
      </c>
      <c r="C21" s="2704" t="s">
        <v>372</v>
      </c>
      <c r="D21" s="2677">
        <f t="shared" si="1"/>
        <v>26635.74</v>
      </c>
      <c r="E21" s="2705">
        <f t="shared" si="2"/>
        <v>51186.6</v>
      </c>
      <c r="F21" s="2706"/>
      <c r="G21" s="2707">
        <f>'数据-基础表'!M14</f>
        <v>51186.6</v>
      </c>
      <c r="H21" s="2623">
        <f t="shared" si="6"/>
        <v>113.11</v>
      </c>
      <c r="I21" s="2684">
        <f t="shared" si="7"/>
        <v>217.37</v>
      </c>
      <c r="J21" s="2668"/>
      <c r="K21" s="2737">
        <f t="shared" si="3"/>
        <v>217.37</v>
      </c>
      <c r="L21" s="2084">
        <f t="shared" si="4"/>
        <v>0</v>
      </c>
      <c r="M21" s="2738">
        <f t="shared" si="8"/>
        <v>217.37</v>
      </c>
      <c r="N21" s="2739"/>
      <c r="O21" s="2740"/>
      <c r="P21" s="2741">
        <f t="shared" si="9"/>
        <v>0</v>
      </c>
      <c r="R21" s="2084">
        <f t="shared" si="5"/>
        <v>26748.850000000002</v>
      </c>
      <c r="S21" s="2753">
        <f t="shared" si="5"/>
        <v>51403.97</v>
      </c>
    </row>
    <row r="22" spans="1:19">
      <c r="A22" s="2708"/>
      <c r="B22" s="2683" t="s">
        <v>245</v>
      </c>
      <c r="C22" s="2709"/>
      <c r="D22" s="2677">
        <f t="shared" si="1"/>
        <v>0</v>
      </c>
      <c r="E22" s="2705">
        <f t="shared" si="2"/>
        <v>0</v>
      </c>
      <c r="F22" s="2710"/>
      <c r="G22" s="2711"/>
      <c r="H22" s="2623">
        <f t="shared" si="6"/>
        <v>0</v>
      </c>
      <c r="I22" s="2684">
        <f t="shared" si="7"/>
        <v>0</v>
      </c>
      <c r="J22" s="2668"/>
      <c r="K22" s="2737">
        <f t="shared" si="3"/>
        <v>0</v>
      </c>
      <c r="L22" s="2084">
        <f t="shared" si="4"/>
        <v>0</v>
      </c>
      <c r="M22" s="2738">
        <f t="shared" si="8"/>
        <v>0</v>
      </c>
      <c r="N22" s="2739"/>
      <c r="O22" s="2740"/>
      <c r="P22" s="2741">
        <f t="shared" si="9"/>
        <v>0</v>
      </c>
      <c r="R22" s="2084">
        <f t="shared" si="5"/>
        <v>0</v>
      </c>
      <c r="S22" s="2753">
        <f t="shared" si="5"/>
        <v>0</v>
      </c>
    </row>
    <row r="23" spans="1:19">
      <c r="A23" s="2708"/>
      <c r="B23" s="2683" t="s">
        <v>245</v>
      </c>
      <c r="C23" s="2712"/>
      <c r="D23" s="2677">
        <f t="shared" si="1"/>
        <v>0</v>
      </c>
      <c r="E23" s="2705">
        <f t="shared" si="2"/>
        <v>0</v>
      </c>
      <c r="F23" s="2710"/>
      <c r="G23" s="2711"/>
      <c r="H23" s="2623">
        <f t="shared" si="6"/>
        <v>0</v>
      </c>
      <c r="I23" s="2684">
        <f t="shared" si="7"/>
        <v>0</v>
      </c>
      <c r="J23" s="2668"/>
      <c r="K23" s="2737">
        <f t="shared" si="3"/>
        <v>0</v>
      </c>
      <c r="L23" s="2084">
        <f t="shared" si="4"/>
        <v>0</v>
      </c>
      <c r="M23" s="2738">
        <f t="shared" si="8"/>
        <v>0</v>
      </c>
      <c r="N23" s="2739"/>
      <c r="O23" s="2740"/>
      <c r="P23" s="2741">
        <f t="shared" si="9"/>
        <v>0</v>
      </c>
      <c r="R23" s="2084">
        <f t="shared" si="5"/>
        <v>0</v>
      </c>
      <c r="S23" s="2753">
        <f t="shared" si="5"/>
        <v>0</v>
      </c>
    </row>
    <row r="24" spans="1:19">
      <c r="A24" s="2708"/>
      <c r="B24" s="2683" t="s">
        <v>245</v>
      </c>
      <c r="C24" s="2712"/>
      <c r="D24" s="2677">
        <f t="shared" si="1"/>
        <v>0</v>
      </c>
      <c r="E24" s="2705">
        <f t="shared" si="2"/>
        <v>0</v>
      </c>
      <c r="F24" s="2710"/>
      <c r="G24" s="2711"/>
      <c r="H24" s="2623">
        <f t="shared" si="6"/>
        <v>0</v>
      </c>
      <c r="I24" s="2684">
        <f t="shared" si="7"/>
        <v>0</v>
      </c>
      <c r="J24" s="2668"/>
      <c r="K24" s="2737">
        <f t="shared" si="3"/>
        <v>0</v>
      </c>
      <c r="L24" s="2084">
        <f t="shared" si="4"/>
        <v>0</v>
      </c>
      <c r="M24" s="2738">
        <f t="shared" si="8"/>
        <v>0</v>
      </c>
      <c r="N24" s="2739"/>
      <c r="O24" s="2740"/>
      <c r="P24" s="2741">
        <f t="shared" si="9"/>
        <v>0</v>
      </c>
      <c r="R24" s="2084">
        <f t="shared" si="5"/>
        <v>0</v>
      </c>
      <c r="S24" s="2753">
        <f t="shared" si="5"/>
        <v>0</v>
      </c>
    </row>
    <row r="25" spans="1:19">
      <c r="A25" s="2708"/>
      <c r="B25" s="2683" t="s">
        <v>245</v>
      </c>
      <c r="C25" s="2712"/>
      <c r="D25" s="2677">
        <f t="shared" si="1"/>
        <v>0</v>
      </c>
      <c r="E25" s="2705">
        <f t="shared" si="2"/>
        <v>0</v>
      </c>
      <c r="F25" s="2710"/>
      <c r="G25" s="2711"/>
      <c r="H25" s="2676">
        <f t="shared" si="6"/>
        <v>0</v>
      </c>
      <c r="I25" s="2684">
        <f t="shared" si="7"/>
        <v>0</v>
      </c>
      <c r="J25" s="2668"/>
      <c r="K25" s="2737">
        <f t="shared" si="3"/>
        <v>0</v>
      </c>
      <c r="L25" s="2084">
        <f t="shared" si="4"/>
        <v>0</v>
      </c>
      <c r="M25" s="2738">
        <f t="shared" si="8"/>
        <v>0</v>
      </c>
      <c r="N25" s="2739"/>
      <c r="O25" s="2740"/>
      <c r="P25" s="2741">
        <f t="shared" si="9"/>
        <v>0</v>
      </c>
      <c r="R25" s="2084">
        <f t="shared" si="5"/>
        <v>0</v>
      </c>
      <c r="S25" s="2753">
        <f t="shared" si="5"/>
        <v>0</v>
      </c>
    </row>
    <row r="26" spans="1:19">
      <c r="A26" s="2708"/>
      <c r="B26" s="2683" t="s">
        <v>245</v>
      </c>
      <c r="C26" s="2713"/>
      <c r="D26" s="2677">
        <f t="shared" si="1"/>
        <v>0</v>
      </c>
      <c r="E26" s="2705">
        <f t="shared" si="2"/>
        <v>0</v>
      </c>
      <c r="F26" s="2710"/>
      <c r="G26" s="2711"/>
      <c r="H26" s="2676">
        <f t="shared" si="6"/>
        <v>0</v>
      </c>
      <c r="I26" s="2684">
        <f t="shared" si="7"/>
        <v>0</v>
      </c>
      <c r="J26" s="2668"/>
      <c r="K26" s="2742">
        <f t="shared" si="3"/>
        <v>0</v>
      </c>
      <c r="L26" s="2088">
        <f t="shared" si="4"/>
        <v>0</v>
      </c>
      <c r="M26" s="2718">
        <f t="shared" si="8"/>
        <v>0</v>
      </c>
      <c r="N26" s="2743"/>
      <c r="O26" s="2744"/>
      <c r="P26" s="2745">
        <f t="shared" si="9"/>
        <v>0</v>
      </c>
      <c r="R26" s="2084">
        <f t="shared" si="5"/>
        <v>0</v>
      </c>
      <c r="S26" s="2753">
        <f t="shared" si="5"/>
        <v>0</v>
      </c>
    </row>
    <row r="27" spans="1:19" ht="15">
      <c r="A27" s="2708"/>
      <c r="B27" s="2677"/>
      <c r="C27" s="2124" t="s">
        <v>537</v>
      </c>
      <c r="D27" s="2705">
        <f>SUM(D19:D26)</f>
        <v>66598.180000000008</v>
      </c>
      <c r="E27" s="2714">
        <f>IF(SUM(E19:E26)='数据-基础表'!BA5,SUM(E19:E26),IF(F27="地上面积有误","面积有误","地下面积有误"))</f>
        <v>127983.47</v>
      </c>
      <c r="F27" s="2705">
        <f>IF(SUM(F19:F26)=E8,SUM(F19:F26),"地上面积有误")</f>
        <v>76796.87</v>
      </c>
      <c r="G27" s="2678">
        <f>SUM(G19:G26)</f>
        <v>51186.6</v>
      </c>
      <c r="H27" s="2715">
        <f>SUM(H19:H26)</f>
        <v>282.81</v>
      </c>
      <c r="I27" s="2746">
        <f>SUM(I19:I26)</f>
        <v>543.5</v>
      </c>
      <c r="J27" s="2668"/>
      <c r="K27" s="2747">
        <f>SUM(K19:K26)</f>
        <v>543.5</v>
      </c>
      <c r="L27" s="2748">
        <f>SUM(L19:L26)</f>
        <v>0</v>
      </c>
      <c r="M27" s="2749">
        <f>SUM(M19:M26)</f>
        <v>543.5</v>
      </c>
      <c r="N27" s="2747">
        <f t="shared" ref="N27:P27" si="10">SUM(N19:N26)</f>
        <v>0</v>
      </c>
      <c r="O27" s="2748">
        <f t="shared" si="10"/>
        <v>0</v>
      </c>
      <c r="P27" s="2750">
        <f t="shared" si="10"/>
        <v>0</v>
      </c>
      <c r="R27" s="2754" t="str">
        <f>IF(SUM(R19:R26)=$D$3,SUM(R19:R26),SUM(R19:R26)&amp;"误差"&amp;ROUND(SUM(R19:R26)-$D$3,2))</f>
        <v>66880.99误差-0.01</v>
      </c>
      <c r="S27" s="2084">
        <f>IF(SUM(S19:S26)=$E$3,SUM(S19:S26),SUM(S19:S26)&amp;"误差"&amp;ROUND(SUM(S19:S26)-E3,2))</f>
        <v>128526.97</v>
      </c>
    </row>
    <row r="28" spans="1:19">
      <c r="A28" s="2708"/>
      <c r="B28" s="2683" t="s">
        <v>257</v>
      </c>
      <c r="C28" s="2643" t="s">
        <v>552</v>
      </c>
      <c r="D28" s="2677">
        <f>ROUND($D$3*E28/$E$3,2)</f>
        <v>282.82</v>
      </c>
      <c r="E28" s="2705">
        <f>SUM(F28:G28)</f>
        <v>543.5</v>
      </c>
      <c r="F28" s="2072">
        <f>'数据-基础表'!BQ5+'数据-基础表'!BS5</f>
        <v>543.5</v>
      </c>
      <c r="G28" s="2716">
        <f>'数据-基础表'!BR5+'数据-基础表'!BT5</f>
        <v>0</v>
      </c>
      <c r="H28" s="2668"/>
      <c r="I28" s="2668"/>
      <c r="J28" s="2668"/>
      <c r="K28" s="2668"/>
      <c r="L28" s="2668"/>
    </row>
    <row r="29" spans="1:19">
      <c r="A29" s="2708"/>
      <c r="B29" s="2683" t="s">
        <v>257</v>
      </c>
      <c r="C29" s="2717" t="s">
        <v>553</v>
      </c>
      <c r="D29" s="2677">
        <f>ROUND($D$3*E29/$E$3,2)</f>
        <v>0</v>
      </c>
      <c r="E29" s="2705">
        <f>SUM(F29:G29)</f>
        <v>0</v>
      </c>
      <c r="F29" s="2072">
        <f>'数据-基础表'!BM5+'数据-基础表'!BO5</f>
        <v>0</v>
      </c>
      <c r="G29" s="2718">
        <f>'数据-基础表'!BN5+'数据-基础表'!BP5</f>
        <v>0</v>
      </c>
      <c r="H29" s="2668"/>
      <c r="I29" s="2668"/>
      <c r="J29" s="2668"/>
      <c r="K29" s="2668"/>
      <c r="L29" s="2668"/>
    </row>
    <row r="30" spans="1:19">
      <c r="A30" s="2708"/>
      <c r="B30" s="2677"/>
      <c r="C30" s="2719" t="s">
        <v>537</v>
      </c>
      <c r="D30" s="2705">
        <f>SUM(D28:D29)</f>
        <v>282.82</v>
      </c>
      <c r="E30" s="2705">
        <f>SUM(E28:E29)</f>
        <v>543.5</v>
      </c>
      <c r="F30" s="2705">
        <f>SUM(F28:F29)</f>
        <v>543.5</v>
      </c>
      <c r="G30" s="2678">
        <f>SUM(G28:G29)</f>
        <v>0</v>
      </c>
      <c r="H30" s="2668"/>
      <c r="I30" s="2668"/>
      <c r="J30" s="2668"/>
      <c r="K30" s="2668"/>
      <c r="L30" s="2668"/>
    </row>
    <row r="31" spans="1:19" ht="32.25" customHeight="1">
      <c r="A31" s="2720"/>
      <c r="B31" s="2721" t="s">
        <v>554</v>
      </c>
      <c r="C31" s="2722" t="s">
        <v>555</v>
      </c>
      <c r="D31" s="2723">
        <f>D27+D30</f>
        <v>66881.000000000015</v>
      </c>
      <c r="E31" s="2723">
        <f>E27+E30</f>
        <v>128526.97</v>
      </c>
      <c r="F31" s="2724">
        <f>F27+F30</f>
        <v>77340.37</v>
      </c>
      <c r="G31" s="2725">
        <f>G27+G30</f>
        <v>51186.6</v>
      </c>
      <c r="H31" s="2668"/>
      <c r="I31" s="2668"/>
      <c r="J31" s="2668"/>
      <c r="K31" s="2668"/>
      <c r="L31" s="2668"/>
    </row>
    <row r="32" spans="1:19">
      <c r="A32" s="2668"/>
      <c r="B32" s="2726" t="s">
        <v>556</v>
      </c>
      <c r="C32" s="2727"/>
      <c r="D32" s="2675"/>
      <c r="E32" s="2675">
        <f>SUMIF(C19:C26,"*住宅*",E19:E26)</f>
        <v>0</v>
      </c>
      <c r="F32" s="2675"/>
      <c r="G32" s="2675"/>
    </row>
    <row r="33" spans="4:5">
      <c r="D33" s="2728"/>
    </row>
    <row r="34" spans="4:5">
      <c r="E34" s="2667">
        <f>G27/E27</f>
        <v>0.39994696190062667</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W21" activePane="bottomRight" state="frozen"/>
      <selection pane="topRight"/>
      <selection pane="bottomLeft"/>
      <selection pane="bottomRight" activeCell="Z34" sqref="Z34"/>
    </sheetView>
  </sheetViews>
  <sheetFormatPr defaultColWidth="13.75" defaultRowHeight="12.75"/>
  <cols>
    <col min="1" max="1" width="20.875" style="2475" customWidth="1"/>
    <col min="2" max="3" width="12" style="2476" customWidth="1"/>
    <col min="4" max="4" width="9.125" style="2477" customWidth="1"/>
    <col min="5" max="5" width="15" style="2476" customWidth="1"/>
    <col min="6" max="10" width="8.875" style="2476" customWidth="1"/>
    <col min="11" max="12" width="12.375" style="76" customWidth="1"/>
    <col min="13" max="13" width="8.625" style="2476" customWidth="1"/>
    <col min="14" max="14" width="9.75" style="2476" customWidth="1"/>
    <col min="15" max="16" width="9.625" style="2476" customWidth="1"/>
    <col min="17" max="17" width="10.875" style="2476" customWidth="1"/>
    <col min="18" max="19" width="12.5" style="2476" customWidth="1"/>
    <col min="20" max="20" width="12.125" style="2476" customWidth="1"/>
    <col min="21" max="21" width="7.5" style="2476" customWidth="1"/>
    <col min="22" max="22" width="6.375" style="2476" customWidth="1"/>
    <col min="23" max="24" width="6.75" style="2476" customWidth="1"/>
    <col min="25" max="25" width="8.125" style="2476" customWidth="1"/>
    <col min="26" max="30" width="6.75" style="2476" customWidth="1"/>
    <col min="31" max="31" width="6.5" style="2476" customWidth="1"/>
    <col min="32" max="34" width="7.25" style="2476" customWidth="1"/>
    <col min="35" max="35" width="8" style="2476" customWidth="1"/>
    <col min="36" max="36" width="15.5" style="2476" customWidth="1"/>
    <col min="37" max="37" width="13.25" style="2476" customWidth="1"/>
    <col min="38" max="38" width="8" style="2476" customWidth="1"/>
    <col min="39" max="39" width="14" style="2476" customWidth="1"/>
    <col min="40" max="41" width="13.75" style="2474"/>
    <col min="42" max="42" width="13.75" style="2474" hidden="1" customWidth="1"/>
    <col min="43" max="83" width="13.75" style="2474"/>
    <col min="84" max="16384" width="13.75" style="2476"/>
  </cols>
  <sheetData>
    <row r="1" spans="1:83" ht="18.75">
      <c r="A1" s="2478" t="s">
        <v>557</v>
      </c>
      <c r="B1" s="2479"/>
      <c r="C1" s="910"/>
      <c r="D1" s="2480"/>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71" customFormat="1" ht="15">
      <c r="A2" s="2481" t="s">
        <v>558</v>
      </c>
      <c r="B2" s="2482">
        <f>项目基本情况!D3</f>
        <v>43900</v>
      </c>
      <c r="C2" s="2483"/>
      <c r="D2" s="2484"/>
      <c r="E2" s="2483"/>
      <c r="F2" s="2483"/>
      <c r="G2" s="2483"/>
      <c r="H2" s="2483"/>
      <c r="I2" s="2483"/>
      <c r="J2" s="2483"/>
      <c r="K2" s="456"/>
      <c r="L2" s="456"/>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647"/>
      <c r="AO2" s="2647"/>
      <c r="AP2" s="2647"/>
      <c r="AQ2" s="2647"/>
      <c r="AR2" s="2647"/>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c r="BP2" s="2647"/>
      <c r="BQ2" s="2647"/>
      <c r="BR2" s="2647"/>
      <c r="BS2" s="2647"/>
      <c r="BT2" s="2647"/>
      <c r="BU2" s="2647"/>
      <c r="BV2" s="2647"/>
      <c r="BW2" s="2647"/>
      <c r="BX2" s="2647"/>
      <c r="BY2" s="2647"/>
      <c r="BZ2" s="2647"/>
      <c r="CA2" s="2647"/>
      <c r="CB2" s="2647"/>
      <c r="CC2" s="2647"/>
      <c r="CD2" s="2647"/>
      <c r="CE2" s="2647"/>
    </row>
    <row r="3" spans="1:83" s="2471" customFormat="1" ht="14.25">
      <c r="A3" s="2485"/>
      <c r="B3" s="2486"/>
      <c r="C3" s="2483"/>
      <c r="D3" s="2484"/>
      <c r="E3" s="2483"/>
      <c r="F3" s="2483"/>
      <c r="G3" s="2483"/>
      <c r="H3" s="2483"/>
      <c r="I3" s="2483"/>
      <c r="J3" s="2483"/>
      <c r="K3" s="456"/>
      <c r="L3" s="456"/>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row>
    <row r="4" spans="1:83" s="2471" customFormat="1" ht="14.25">
      <c r="A4" s="2487" t="s">
        <v>559</v>
      </c>
      <c r="B4" s="2488"/>
      <c r="C4" s="2489"/>
      <c r="D4" s="2490"/>
      <c r="E4" s="2491" t="s">
        <v>560</v>
      </c>
      <c r="F4" s="2489"/>
      <c r="G4" s="2489"/>
      <c r="H4" s="2489"/>
      <c r="I4" s="2489"/>
      <c r="J4" s="2579"/>
      <c r="K4" s="2580"/>
      <c r="L4" s="2581"/>
      <c r="M4" s="2489"/>
      <c r="N4" s="2491" t="s">
        <v>561</v>
      </c>
      <c r="O4" s="2489"/>
      <c r="P4" s="2489"/>
      <c r="Q4" s="2489"/>
      <c r="R4" s="2489"/>
      <c r="S4" s="2579"/>
      <c r="T4" s="2604" t="str">
        <f>'数据-汇总表'!I17</f>
        <v>按面积比例</v>
      </c>
      <c r="U4" s="2488" t="s">
        <v>562</v>
      </c>
      <c r="V4" s="2489"/>
      <c r="W4" s="2489"/>
      <c r="X4" s="2489"/>
      <c r="Y4" s="2579"/>
      <c r="Z4" s="2632" t="s">
        <v>563</v>
      </c>
      <c r="AA4" s="2632"/>
      <c r="AB4" s="2632"/>
      <c r="AC4" s="2632"/>
      <c r="AD4" s="2632"/>
      <c r="AE4" s="2633" t="s">
        <v>564</v>
      </c>
      <c r="AF4" s="2632"/>
      <c r="AG4" s="2648"/>
      <c r="AH4" s="2488"/>
      <c r="AI4" s="2489"/>
      <c r="AJ4" s="2489"/>
      <c r="AK4" s="2489"/>
      <c r="AL4" s="2489"/>
      <c r="AM4" s="2579"/>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row>
    <row r="5" spans="1:83" s="2472" customFormat="1" ht="54">
      <c r="A5" s="2492" t="s">
        <v>402</v>
      </c>
      <c r="B5" s="2493" t="s">
        <v>565</v>
      </c>
      <c r="C5" s="2494" t="s">
        <v>566</v>
      </c>
      <c r="D5" s="2495" t="s">
        <v>567</v>
      </c>
      <c r="E5" s="2496" t="s">
        <v>568</v>
      </c>
      <c r="F5" s="2497" t="s">
        <v>569</v>
      </c>
      <c r="G5" s="2496" t="s">
        <v>570</v>
      </c>
      <c r="H5" s="2496" t="s">
        <v>571</v>
      </c>
      <c r="I5" s="2496" t="s">
        <v>572</v>
      </c>
      <c r="J5" s="2582" t="s">
        <v>573</v>
      </c>
      <c r="K5" s="2583" t="s">
        <v>574</v>
      </c>
      <c r="L5" s="2584" t="s">
        <v>575</v>
      </c>
      <c r="M5" s="2585" t="s">
        <v>576</v>
      </c>
      <c r="N5" s="2586" t="s">
        <v>577</v>
      </c>
      <c r="O5" s="2584" t="s">
        <v>578</v>
      </c>
      <c r="P5" s="2587" t="s">
        <v>579</v>
      </c>
      <c r="Q5" s="249" t="s">
        <v>580</v>
      </c>
      <c r="R5" s="2605" t="s">
        <v>581</v>
      </c>
      <c r="S5" s="2606" t="s">
        <v>582</v>
      </c>
      <c r="T5" s="2607" t="s">
        <v>583</v>
      </c>
      <c r="U5" s="2608" t="s">
        <v>584</v>
      </c>
      <c r="V5" s="2496" t="s">
        <v>585</v>
      </c>
      <c r="W5" s="2496" t="s">
        <v>586</v>
      </c>
      <c r="X5" s="2609"/>
      <c r="Y5" s="507" t="s">
        <v>587</v>
      </c>
      <c r="Z5" s="2634" t="s">
        <v>584</v>
      </c>
      <c r="AA5" s="2496" t="s">
        <v>585</v>
      </c>
      <c r="AB5" s="2496" t="s">
        <v>586</v>
      </c>
      <c r="AC5" s="2635"/>
      <c r="AD5" s="284" t="s">
        <v>587</v>
      </c>
      <c r="AE5" s="2636" t="s">
        <v>588</v>
      </c>
      <c r="AF5" s="2496" t="s">
        <v>589</v>
      </c>
      <c r="AG5" s="507" t="s">
        <v>590</v>
      </c>
      <c r="AH5" s="2635" t="s">
        <v>591</v>
      </c>
      <c r="AI5" s="2634" t="s">
        <v>592</v>
      </c>
      <c r="AJ5" s="2634" t="s">
        <v>593</v>
      </c>
      <c r="AK5" s="2496" t="s">
        <v>594</v>
      </c>
      <c r="AL5" s="2496" t="s">
        <v>595</v>
      </c>
      <c r="AM5" s="284" t="s">
        <v>596</v>
      </c>
      <c r="AN5" s="2649" t="s">
        <v>597</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1" customFormat="1" ht="14.25">
      <c r="A6" s="2498" t="str">
        <f>'数据-汇总表'!C19</f>
        <v>洋房</v>
      </c>
      <c r="B6" s="2499" t="str">
        <f>IF(A6=0,"","经营性")</f>
        <v>经营性</v>
      </c>
      <c r="C6" s="2500" t="s">
        <v>369</v>
      </c>
      <c r="D6" s="2501">
        <f>SUMIF(项目基本情况!D$15:I$15,C6,项目基本情况!D$18:I$18)</f>
        <v>70</v>
      </c>
      <c r="E6" s="2502">
        <f>IF(B6="","",SUMIF(项目基本情况!D$15:I$15,C6,项目基本情况!D$17:I$17))</f>
        <v>67005</v>
      </c>
      <c r="F6" s="2503">
        <f>SUMIF(项目基本情况!D$15:I$15,C6,项目基本情况!D$19:I$19)</f>
        <v>63.3</v>
      </c>
      <c r="G6" s="2504">
        <f>IF(ISERROR(ROUND(POWER(1+H6,D6-F6)*(POWER(1+H6,F6)-1)/(POWER(1+H6,D6)-1),3)),0,ROUND(POWER(1+H6,D6-F6)*(POWER(1+H6,F6)-1)/(POWER(1+H6,D6)-1),3))</f>
        <v>0.98299999999999998</v>
      </c>
      <c r="H6" s="2505">
        <v>4.4999999999999998E-2</v>
      </c>
      <c r="I6" s="2505">
        <v>0.05</v>
      </c>
      <c r="J6" s="2506">
        <v>8.5000000000000006E-2</v>
      </c>
      <c r="K6" s="2588">
        <f>SUMIF('数据-汇总表'!C$19:C$33,'数据-取费表'!A6,'数据-汇总表'!E$19:E$33)</f>
        <v>22356.86</v>
      </c>
      <c r="L6" s="2589">
        <v>2500</v>
      </c>
      <c r="M6" s="2590">
        <f t="shared" ref="M6:M14" si="0">ROUND(K6*L6/10000,0)</f>
        <v>5589</v>
      </c>
      <c r="N6" s="2591">
        <v>0</v>
      </c>
      <c r="O6" s="2590">
        <f>IF($N$5="成新度","——",ROUND(M6*N6,0))</f>
        <v>0</v>
      </c>
      <c r="P6" s="2592">
        <f>IF($N$5="成新度","——",M6-O6)</f>
        <v>5589</v>
      </c>
      <c r="Q6" s="2610">
        <v>0.15</v>
      </c>
      <c r="R6" s="2588">
        <f>SUMIF('数据-汇总表'!C$19:C$33,A6,'数据-汇总表'!R$19:R$33)</f>
        <v>11683.14</v>
      </c>
      <c r="S6" s="2611">
        <f>IF('数据-汇总表'!$I$17="按面积比例",SUMIF('数据-汇总表'!C$19:C$33,A6,'数据-汇总表'!K$19:K$33),SUMIF('数据-汇总表'!C$19:C$33,A6,'数据-汇总表'!N$19:N$33))</f>
        <v>94.94</v>
      </c>
      <c r="T6" s="2612">
        <f>IF($T$4="按面积比例",IF(ISERROR(ROUND($M$14*S6/S$16,0)),"0",ROUND($M$14*S6/S$16,0)),"需自行计算录入")</f>
        <v>21</v>
      </c>
      <c r="U6" s="2613"/>
      <c r="V6" s="2614"/>
      <c r="W6" s="2614"/>
      <c r="X6" s="2615"/>
      <c r="Y6" s="2637"/>
      <c r="Z6" s="2638"/>
      <c r="AA6" s="2506"/>
      <c r="AB6" s="2506"/>
      <c r="AC6" s="2620"/>
      <c r="AD6" s="2639"/>
      <c r="AE6" s="2640">
        <f ca="1">IF(AN6="",0,SUMIF(INDIRECT("'"&amp;AN6&amp;"'"&amp;"!E:E"),$AE$5,INDIRECT("'"&amp;AN6&amp;"'"&amp;"!F:F")))</f>
        <v>0</v>
      </c>
      <c r="AF6" s="2069"/>
      <c r="AG6" s="2650">
        <f>IF(AF6="",0,AE6-AF6)</f>
        <v>0</v>
      </c>
      <c r="AH6" s="2069"/>
      <c r="AI6" s="2651"/>
      <c r="AJ6" s="2652"/>
      <c r="AK6" s="2653"/>
      <c r="AL6" s="2654"/>
      <c r="AM6" s="2655"/>
      <c r="AN6" s="2656"/>
      <c r="AO6" s="2647"/>
      <c r="AP6" s="2486">
        <f>ROUND(1-1/(1+H6)^F6,3)</f>
        <v>0.93799999999999994</v>
      </c>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row>
    <row r="7" spans="1:83" s="2471" customFormat="1" ht="14.25">
      <c r="A7" s="2498" t="str">
        <f>'数据-汇总表'!C20</f>
        <v>叠拼</v>
      </c>
      <c r="B7" s="2499" t="str">
        <f t="shared" ref="B7:B13" si="1">IF(A7=0,"","经营性")</f>
        <v>经营性</v>
      </c>
      <c r="C7" s="2500" t="s">
        <v>369</v>
      </c>
      <c r="D7" s="2501">
        <f>SUMIF(项目基本情况!D$15:I$15,C7,项目基本情况!D$18:I$18)</f>
        <v>70</v>
      </c>
      <c r="E7" s="2502">
        <f>IF(B7="","",SUMIF(项目基本情况!D$15:I$15,C7,项目基本情况!D$17:I$17))</f>
        <v>67005</v>
      </c>
      <c r="F7" s="2503">
        <f>SUMIF(项目基本情况!D$15:I$15,C7,项目基本情况!D$19:I$19)</f>
        <v>63.3</v>
      </c>
      <c r="G7" s="2504">
        <f t="shared" ref="G7:G13" si="2">IF(ISERROR(ROUND(POWER(1+H7,D7-F7)*(POWER(1+H7,F7)-1)/(POWER(1+H7,D7)-1),3)),0,ROUND(POWER(1+H7,D7-F7)*(POWER(1+H7,F7)-1)/(POWER(1+H7,D7)-1),3))</f>
        <v>0.98299999999999998</v>
      </c>
      <c r="H7" s="2505">
        <v>4.4999999999999998E-2</v>
      </c>
      <c r="I7" s="2505">
        <v>0.05</v>
      </c>
      <c r="J7" s="2506">
        <v>8.5000000000000006E-2</v>
      </c>
      <c r="K7" s="2588">
        <f>SUMIF('数据-汇总表'!C$19:C$33,'数据-取费表'!A7,'数据-汇总表'!E$19:E$33)</f>
        <v>54440.01</v>
      </c>
      <c r="L7" s="2589">
        <v>2500</v>
      </c>
      <c r="M7" s="2590">
        <f t="shared" si="0"/>
        <v>13610</v>
      </c>
      <c r="N7" s="2591">
        <v>0</v>
      </c>
      <c r="O7" s="2590">
        <f t="shared" ref="O7:O14" si="3">IF($N$5="成新度","——",ROUND(M7*N7,0))</f>
        <v>0</v>
      </c>
      <c r="P7" s="2592">
        <f t="shared" ref="P7:P14" si="4">IF($N$5="成新度","——",M7-O7)</f>
        <v>13610</v>
      </c>
      <c r="Q7" s="2616">
        <v>0.1</v>
      </c>
      <c r="R7" s="2588">
        <f>SUMIF('数据-汇总表'!C$19:C$33,A7,'数据-汇总表'!R$19:R$33)</f>
        <v>28449</v>
      </c>
      <c r="S7" s="2611">
        <f>IF('数据-汇总表'!$I$17="按面积比例",SUMIF('数据-汇总表'!C$19:C$33,A7,'数据-汇总表'!K$19:K$33),SUMIF('数据-汇总表'!C$19:C$33,A7,'数据-汇总表'!N$19:N$33))</f>
        <v>231.19</v>
      </c>
      <c r="T7" s="2612">
        <f t="shared" ref="T7:T13" si="5">IF($T$4="按面积比例",IF(ISERROR(ROUND($M$14*S7/S$16,0)),"0",ROUND($M$14*S7/S$16,0)),"需自行计算录入")</f>
        <v>51</v>
      </c>
      <c r="U7" s="2613"/>
      <c r="V7" s="2614"/>
      <c r="W7" s="2614"/>
      <c r="X7" s="2615"/>
      <c r="Y7" s="2637"/>
      <c r="Z7" s="2638"/>
      <c r="AA7" s="2506"/>
      <c r="AB7" s="2506"/>
      <c r="AC7" s="2620"/>
      <c r="AD7" s="2639"/>
      <c r="AE7" s="2640">
        <f t="shared" ref="AE7:AE13" ca="1" si="6">IF(AN7="",0,SUMIF(INDIRECT("'"&amp;AN7&amp;"'"&amp;"!E:E"),$AE$5,INDIRECT("'"&amp;AN7&amp;"'"&amp;"!F:F")))</f>
        <v>0</v>
      </c>
      <c r="AF7" s="2069"/>
      <c r="AG7" s="2650">
        <f t="shared" ref="AG7:AG13" si="7">IF(AF7="",0,AE7-AF7)</f>
        <v>0</v>
      </c>
      <c r="AH7" s="2069"/>
      <c r="AI7" s="2651"/>
      <c r="AJ7" s="2652"/>
      <c r="AK7" s="2653"/>
      <c r="AL7" s="2654"/>
      <c r="AM7" s="2657"/>
      <c r="AN7" s="2656"/>
      <c r="AO7" s="2647"/>
      <c r="AP7" s="2486">
        <f t="shared" ref="AP7:AP13" si="8">ROUND(1-1/(1+H7)^F7,3)</f>
        <v>0.93799999999999994</v>
      </c>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row>
    <row r="8" spans="1:83" s="2471" customFormat="1" ht="14.25">
      <c r="A8" s="2498" t="str">
        <f>'数据-汇总表'!C21</f>
        <v>车库</v>
      </c>
      <c r="B8" s="2499" t="str">
        <f t="shared" si="1"/>
        <v>经营性</v>
      </c>
      <c r="C8" s="2500" t="s">
        <v>372</v>
      </c>
      <c r="D8" s="2501">
        <f>SUMIF(项目基本情况!D$15:I$15,C8,项目基本情况!D$18:I$18)</f>
        <v>50</v>
      </c>
      <c r="E8" s="2502">
        <f>IF(B8="","",SUMIF(项目基本情况!D$15:I$15,C8,项目基本情况!D$17:I$17))</f>
        <v>59700</v>
      </c>
      <c r="F8" s="2503">
        <f>SUMIF(项目基本情况!D$15:I$15,C8,项目基本情况!D$19:I$19)</f>
        <v>43.28</v>
      </c>
      <c r="G8" s="2504">
        <f t="shared" si="2"/>
        <v>0.95099999999999996</v>
      </c>
      <c r="H8" s="2505">
        <v>0.04</v>
      </c>
      <c r="I8" s="2505">
        <v>4.4999999999999998E-2</v>
      </c>
      <c r="J8" s="2506">
        <v>8.5000000000000006E-2</v>
      </c>
      <c r="K8" s="2588">
        <f>SUMIF('数据-汇总表'!C$19:C$33,'数据-取费表'!A8,'数据-汇总表'!E$19:E$33)</f>
        <v>51186.6</v>
      </c>
      <c r="L8" s="2593">
        <v>2200</v>
      </c>
      <c r="M8" s="2590">
        <f t="shared" si="0"/>
        <v>11261</v>
      </c>
      <c r="N8" s="2591">
        <v>0</v>
      </c>
      <c r="O8" s="2590">
        <f t="shared" si="3"/>
        <v>0</v>
      </c>
      <c r="P8" s="2592">
        <f t="shared" si="4"/>
        <v>11261</v>
      </c>
      <c r="Q8" s="2610">
        <v>0.03</v>
      </c>
      <c r="R8" s="2588">
        <f>SUMIF('数据-汇总表'!C$19:C$33,A8,'数据-汇总表'!R$19:R$33)</f>
        <v>26748.850000000002</v>
      </c>
      <c r="S8" s="2611">
        <f>IF('数据-汇总表'!$I$17="按面积比例",SUMIF('数据-汇总表'!C$19:C$33,A8,'数据-汇总表'!K$19:K$33),SUMIF('数据-汇总表'!C$19:C$33,A8,'数据-汇总表'!N$19:N$33))</f>
        <v>217.37</v>
      </c>
      <c r="T8" s="2612">
        <f t="shared" si="5"/>
        <v>48</v>
      </c>
      <c r="U8" s="2617">
        <v>450</v>
      </c>
      <c r="V8" s="2614">
        <v>0.03</v>
      </c>
      <c r="W8" s="2614">
        <v>0.1</v>
      </c>
      <c r="X8" s="2615"/>
      <c r="Y8" s="2637">
        <v>1</v>
      </c>
      <c r="Z8" s="2638"/>
      <c r="AA8" s="2506"/>
      <c r="AB8" s="2506"/>
      <c r="AC8" s="2620"/>
      <c r="AD8" s="2639"/>
      <c r="AE8" s="2640">
        <f t="shared" ca="1" si="6"/>
        <v>41.28</v>
      </c>
      <c r="AF8" s="2069"/>
      <c r="AG8" s="2650">
        <f t="shared" si="7"/>
        <v>0</v>
      </c>
      <c r="AH8" s="2069">
        <f>Sheet1!F15</f>
        <v>769</v>
      </c>
      <c r="AI8" s="2651">
        <v>12</v>
      </c>
      <c r="AJ8" s="2652"/>
      <c r="AK8" s="2658">
        <v>0.01</v>
      </c>
      <c r="AL8" s="2654">
        <v>1.5E-3</v>
      </c>
      <c r="AM8" s="2657">
        <v>0.01</v>
      </c>
      <c r="AN8" s="2656" t="s">
        <v>598</v>
      </c>
      <c r="AO8" s="2647"/>
      <c r="AP8" s="2486">
        <f t="shared" si="8"/>
        <v>0.81699999999999995</v>
      </c>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7"/>
      <c r="BT8" s="2647"/>
      <c r="BU8" s="2647"/>
      <c r="BV8" s="2647"/>
      <c r="BW8" s="2647"/>
      <c r="BX8" s="2647"/>
      <c r="BY8" s="2647"/>
      <c r="BZ8" s="2647"/>
      <c r="CA8" s="2647"/>
      <c r="CB8" s="2647"/>
      <c r="CC8" s="2647"/>
      <c r="CD8" s="2647"/>
      <c r="CE8" s="2647"/>
    </row>
    <row r="9" spans="1:83" s="2471" customFormat="1" ht="14.25">
      <c r="A9" s="2498">
        <f>'数据-汇总表'!C22</f>
        <v>0</v>
      </c>
      <c r="B9" s="2499" t="str">
        <f t="shared" si="1"/>
        <v/>
      </c>
      <c r="C9" s="2500"/>
      <c r="D9" s="2501">
        <f>SUMIF(项目基本情况!D$15:I$15,C9,项目基本情况!D$18:I$18)</f>
        <v>0</v>
      </c>
      <c r="E9" s="2502" t="str">
        <f>IF(B9="","",SUMIF(项目基本情况!D$15:I$15,C9,项目基本情况!D$17:I$17))</f>
        <v/>
      </c>
      <c r="F9" s="2503">
        <f>SUMIF(项目基本情况!D$15:I$15,C9,项目基本情况!D$19:I$19)</f>
        <v>0</v>
      </c>
      <c r="G9" s="2504">
        <f t="shared" si="2"/>
        <v>0</v>
      </c>
      <c r="H9" s="2506"/>
      <c r="I9" s="2506"/>
      <c r="J9" s="2506"/>
      <c r="K9" s="2588">
        <f>SUMIF('数据-汇总表'!C$19:C$33,'数据-取费表'!A9,'数据-汇总表'!E$19:E$33)</f>
        <v>0</v>
      </c>
      <c r="L9" s="2594"/>
      <c r="M9" s="2590">
        <f t="shared" si="0"/>
        <v>0</v>
      </c>
      <c r="N9" s="2595"/>
      <c r="O9" s="2590">
        <f t="shared" si="3"/>
        <v>0</v>
      </c>
      <c r="P9" s="2592">
        <f t="shared" si="4"/>
        <v>0</v>
      </c>
      <c r="Q9" s="2618"/>
      <c r="R9" s="2588">
        <f>SUMIF('数据-汇总表'!C$19:C$33,A9,'数据-汇总表'!R$19:R$33)</f>
        <v>0</v>
      </c>
      <c r="S9" s="2611">
        <f>IF('数据-汇总表'!$I$17="按面积比例",SUMIF('数据-汇总表'!C$19:C$33,A9,'数据-汇总表'!K$19:K$33),SUMIF('数据-汇总表'!C$19:C$33,A9,'数据-汇总表'!N$19:N$33))</f>
        <v>0</v>
      </c>
      <c r="T9" s="2612">
        <f t="shared" si="5"/>
        <v>0</v>
      </c>
      <c r="U9" s="2613"/>
      <c r="V9" s="2614"/>
      <c r="W9" s="2614"/>
      <c r="X9" s="2615"/>
      <c r="Y9" s="2637"/>
      <c r="Z9" s="2638"/>
      <c r="AA9" s="2506"/>
      <c r="AB9" s="2506"/>
      <c r="AC9" s="2620"/>
      <c r="AD9" s="2639"/>
      <c r="AE9" s="2640">
        <f t="shared" ca="1" si="6"/>
        <v>0</v>
      </c>
      <c r="AF9" s="2069"/>
      <c r="AG9" s="2650">
        <f t="shared" si="7"/>
        <v>0</v>
      </c>
      <c r="AH9" s="2069"/>
      <c r="AI9" s="2651"/>
      <c r="AJ9" s="2652"/>
      <c r="AK9" s="2653"/>
      <c r="AL9" s="2654"/>
      <c r="AM9" s="2657"/>
      <c r="AN9" s="2656"/>
      <c r="AO9" s="2647"/>
      <c r="AP9" s="2486">
        <f t="shared" si="8"/>
        <v>0</v>
      </c>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row>
    <row r="10" spans="1:83" s="2471" customFormat="1" ht="14.25">
      <c r="A10" s="2498">
        <f>'数据-汇总表'!C23</f>
        <v>0</v>
      </c>
      <c r="B10" s="2499" t="str">
        <f t="shared" si="1"/>
        <v/>
      </c>
      <c r="C10" s="2500"/>
      <c r="D10" s="2501">
        <f>SUMIF(项目基本情况!D$15:I$15,C10,项目基本情况!D$18:I$18)</f>
        <v>0</v>
      </c>
      <c r="E10" s="2502" t="str">
        <f>IF(B10="","",SUMIF(项目基本情况!D$15:I$15,C10,项目基本情况!D$17:I$17))</f>
        <v/>
      </c>
      <c r="F10" s="2503">
        <f>SUMIF(项目基本情况!D$15:I$15,C10,项目基本情况!D$19:I$19)</f>
        <v>0</v>
      </c>
      <c r="G10" s="2504">
        <f t="shared" si="2"/>
        <v>0</v>
      </c>
      <c r="H10" s="2506"/>
      <c r="I10" s="2506"/>
      <c r="J10" s="2506"/>
      <c r="K10" s="2588">
        <f>SUMIF('数据-汇总表'!C$19:C$33,'数据-取费表'!A10,'数据-汇总表'!E$19:E$33)</f>
        <v>0</v>
      </c>
      <c r="L10" s="2594"/>
      <c r="M10" s="2590">
        <f t="shared" si="0"/>
        <v>0</v>
      </c>
      <c r="N10" s="2595"/>
      <c r="O10" s="2590">
        <f t="shared" si="3"/>
        <v>0</v>
      </c>
      <c r="P10" s="2592">
        <f t="shared" si="4"/>
        <v>0</v>
      </c>
      <c r="Q10" s="2618"/>
      <c r="R10" s="2588">
        <f>SUMIF('数据-汇总表'!C$19:C$33,A10,'数据-汇总表'!R$19:R$33)</f>
        <v>0</v>
      </c>
      <c r="S10" s="2611">
        <f>IF('数据-汇总表'!$I$17="按面积比例",SUMIF('数据-汇总表'!C$19:C$33,A10,'数据-汇总表'!K$19:K$33),SUMIF('数据-汇总表'!C$19:C$33,A10,'数据-汇总表'!N$19:N$33))</f>
        <v>0</v>
      </c>
      <c r="T10" s="2612">
        <f t="shared" si="5"/>
        <v>0</v>
      </c>
      <c r="U10" s="2613"/>
      <c r="V10" s="2614"/>
      <c r="W10" s="2614"/>
      <c r="X10" s="2615"/>
      <c r="Y10" s="2637"/>
      <c r="Z10" s="2638"/>
      <c r="AA10" s="2506"/>
      <c r="AB10" s="2506"/>
      <c r="AC10" s="2620"/>
      <c r="AD10" s="2639"/>
      <c r="AE10" s="2640">
        <f t="shared" ca="1" si="6"/>
        <v>0</v>
      </c>
      <c r="AF10" s="2069"/>
      <c r="AG10" s="2650">
        <f t="shared" si="7"/>
        <v>0</v>
      </c>
      <c r="AH10" s="2069"/>
      <c r="AI10" s="2651"/>
      <c r="AJ10" s="2652"/>
      <c r="AK10" s="2653"/>
      <c r="AL10" s="2654"/>
      <c r="AM10" s="2657"/>
      <c r="AN10" s="2656"/>
      <c r="AO10" s="2647"/>
      <c r="AP10" s="2486">
        <f t="shared" si="8"/>
        <v>0</v>
      </c>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row>
    <row r="11" spans="1:83" s="2471" customFormat="1" ht="14.25">
      <c r="A11" s="2498">
        <f>'数据-汇总表'!C24</f>
        <v>0</v>
      </c>
      <c r="B11" s="2499" t="str">
        <f t="shared" si="1"/>
        <v/>
      </c>
      <c r="C11" s="2500"/>
      <c r="D11" s="2501">
        <f>SUMIF(项目基本情况!D$15:I$15,C11,项目基本情况!D$18:I$18)</f>
        <v>0</v>
      </c>
      <c r="E11" s="2502" t="str">
        <f>IF(B11="","",SUMIF(项目基本情况!D$15:I$15,C11,项目基本情况!D$17:I$17))</f>
        <v/>
      </c>
      <c r="F11" s="2503">
        <f>SUMIF(项目基本情况!D$15:I$15,C11,项目基本情况!D$19:I$19)</f>
        <v>0</v>
      </c>
      <c r="G11" s="2504">
        <f t="shared" si="2"/>
        <v>0</v>
      </c>
      <c r="H11" s="2506"/>
      <c r="I11" s="2506"/>
      <c r="J11" s="2506"/>
      <c r="K11" s="2588">
        <f>SUMIF('数据-汇总表'!C$19:C$33,'数据-取费表'!A11,'数据-汇总表'!E$19:E$33)</f>
        <v>0</v>
      </c>
      <c r="L11" s="2594"/>
      <c r="M11" s="2590">
        <f t="shared" si="0"/>
        <v>0</v>
      </c>
      <c r="N11" s="2595"/>
      <c r="O11" s="2590">
        <f t="shared" si="3"/>
        <v>0</v>
      </c>
      <c r="P11" s="2592">
        <f t="shared" si="4"/>
        <v>0</v>
      </c>
      <c r="Q11" s="2618"/>
      <c r="R11" s="2588">
        <f>SUMIF('数据-汇总表'!C$19:C$33,A11,'数据-汇总表'!R$19:R$33)</f>
        <v>0</v>
      </c>
      <c r="S11" s="2611">
        <f>IF('数据-汇总表'!$I$17="按面积比例",SUMIF('数据-汇总表'!C$19:C$33,A11,'数据-汇总表'!K$19:K$33),SUMIF('数据-汇总表'!C$19:C$33,A11,'数据-汇总表'!N$19:N$33))</f>
        <v>0</v>
      </c>
      <c r="T11" s="2612">
        <f t="shared" si="5"/>
        <v>0</v>
      </c>
      <c r="U11" s="2619"/>
      <c r="V11" s="2506"/>
      <c r="W11" s="2506"/>
      <c r="X11" s="2620"/>
      <c r="Y11" s="2637"/>
      <c r="Z11" s="2641"/>
      <c r="AA11" s="2506"/>
      <c r="AB11" s="2506"/>
      <c r="AC11" s="2620"/>
      <c r="AD11" s="2639"/>
      <c r="AE11" s="2640">
        <f t="shared" ca="1" si="6"/>
        <v>0</v>
      </c>
      <c r="AF11" s="2069"/>
      <c r="AG11" s="2650">
        <f t="shared" si="7"/>
        <v>0</v>
      </c>
      <c r="AH11" s="2069"/>
      <c r="AI11" s="2651"/>
      <c r="AJ11" s="2652"/>
      <c r="AK11" s="2659"/>
      <c r="AL11" s="2660"/>
      <c r="AM11" s="2661"/>
      <c r="AN11" s="2656"/>
      <c r="AO11" s="2647"/>
      <c r="AP11" s="2486">
        <f t="shared" si="8"/>
        <v>0</v>
      </c>
      <c r="AQ11" s="2647"/>
      <c r="AR11" s="2647"/>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c r="BP11" s="2647"/>
      <c r="BQ11" s="2647"/>
      <c r="BR11" s="2647"/>
      <c r="BS11" s="2647"/>
      <c r="BT11" s="2647"/>
      <c r="BU11" s="2647"/>
      <c r="BV11" s="2647"/>
      <c r="BW11" s="2647"/>
      <c r="BX11" s="2647"/>
      <c r="BY11" s="2647"/>
      <c r="BZ11" s="2647"/>
      <c r="CA11" s="2647"/>
      <c r="CB11" s="2647"/>
      <c r="CC11" s="2647"/>
      <c r="CD11" s="2647"/>
      <c r="CE11" s="2647"/>
    </row>
    <row r="12" spans="1:83" s="2471" customFormat="1" ht="14.25">
      <c r="A12" s="2498">
        <f>'数据-汇总表'!C25</f>
        <v>0</v>
      </c>
      <c r="B12" s="2499" t="str">
        <f t="shared" si="1"/>
        <v/>
      </c>
      <c r="C12" s="2500"/>
      <c r="D12" s="2501">
        <f>SUMIF(项目基本情况!D$15:I$15,C12,项目基本情况!D$18:I$18)</f>
        <v>0</v>
      </c>
      <c r="E12" s="2502" t="str">
        <f>IF(B12="","",SUMIF(项目基本情况!D$15:I$15,C12,项目基本情况!D$17:I$17))</f>
        <v/>
      </c>
      <c r="F12" s="2503">
        <f>SUMIF(项目基本情况!D$15:I$15,C12,项目基本情况!D$19:I$19)</f>
        <v>0</v>
      </c>
      <c r="G12" s="2504">
        <f t="shared" si="2"/>
        <v>0</v>
      </c>
      <c r="H12" s="2506"/>
      <c r="I12" s="2506"/>
      <c r="J12" s="2506"/>
      <c r="K12" s="2588">
        <f>SUMIF('数据-汇总表'!C$19:C$33,'数据-取费表'!A12,'数据-汇总表'!E$19:E$33)</f>
        <v>0</v>
      </c>
      <c r="L12" s="2594"/>
      <c r="M12" s="2590">
        <f t="shared" si="0"/>
        <v>0</v>
      </c>
      <c r="N12" s="2595"/>
      <c r="O12" s="2590">
        <f t="shared" si="3"/>
        <v>0</v>
      </c>
      <c r="P12" s="2592">
        <f t="shared" si="4"/>
        <v>0</v>
      </c>
      <c r="Q12" s="2618"/>
      <c r="R12" s="2588">
        <f>SUMIF('数据-汇总表'!C$19:C$33,A12,'数据-汇总表'!R$19:R$33)</f>
        <v>0</v>
      </c>
      <c r="S12" s="2611">
        <f>IF('数据-汇总表'!$I$17="按面积比例",SUMIF('数据-汇总表'!C$19:C$33,A12,'数据-汇总表'!K$19:K$33),SUMIF('数据-汇总表'!C$19:C$33,A12,'数据-汇总表'!N$19:N$33))</f>
        <v>0</v>
      </c>
      <c r="T12" s="2612">
        <f t="shared" si="5"/>
        <v>0</v>
      </c>
      <c r="U12" s="2619"/>
      <c r="V12" s="2506"/>
      <c r="W12" s="2506"/>
      <c r="X12" s="2620"/>
      <c r="Y12" s="2637"/>
      <c r="Z12" s="2641"/>
      <c r="AA12" s="2506"/>
      <c r="AB12" s="2506"/>
      <c r="AC12" s="2620"/>
      <c r="AD12" s="2639"/>
      <c r="AE12" s="2640">
        <f t="shared" ca="1" si="6"/>
        <v>0</v>
      </c>
      <c r="AF12" s="2069"/>
      <c r="AG12" s="2650">
        <f t="shared" si="7"/>
        <v>0</v>
      </c>
      <c r="AH12" s="2069"/>
      <c r="AI12" s="2651"/>
      <c r="AJ12" s="2652"/>
      <c r="AK12" s="2659"/>
      <c r="AL12" s="2660"/>
      <c r="AM12" s="2661"/>
      <c r="AN12" s="2656"/>
      <c r="AO12" s="2647"/>
      <c r="AP12" s="2486">
        <f t="shared" si="8"/>
        <v>0</v>
      </c>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row>
    <row r="13" spans="1:83" s="2471" customFormat="1" ht="14.25">
      <c r="A13" s="2498">
        <f>'数据-汇总表'!C26</f>
        <v>0</v>
      </c>
      <c r="B13" s="2499" t="str">
        <f t="shared" si="1"/>
        <v/>
      </c>
      <c r="C13" s="2500"/>
      <c r="D13" s="2501">
        <f>SUMIF(项目基本情况!D$15:I$15,C13,项目基本情况!D$18:I$18)</f>
        <v>0</v>
      </c>
      <c r="E13" s="2502" t="str">
        <f>IF(B13="","",SUMIF(项目基本情况!D$15:I$15,C13,项目基本情况!D$17:I$17))</f>
        <v/>
      </c>
      <c r="F13" s="2503">
        <f>SUMIF(项目基本情况!D$15:I$15,C13,项目基本情况!D$19:I$19)</f>
        <v>0</v>
      </c>
      <c r="G13" s="2504">
        <f t="shared" si="2"/>
        <v>0</v>
      </c>
      <c r="H13" s="2506"/>
      <c r="I13" s="2506"/>
      <c r="J13" s="2506"/>
      <c r="K13" s="2588">
        <f>SUMIF('数据-汇总表'!C$19:C$33,'数据-取费表'!A13,'数据-汇总表'!E$19:E$33)</f>
        <v>0</v>
      </c>
      <c r="L13" s="2594"/>
      <c r="M13" s="2590">
        <f t="shared" si="0"/>
        <v>0</v>
      </c>
      <c r="N13" s="2595"/>
      <c r="O13" s="2590">
        <f t="shared" si="3"/>
        <v>0</v>
      </c>
      <c r="P13" s="2592">
        <f t="shared" si="4"/>
        <v>0</v>
      </c>
      <c r="Q13" s="2618"/>
      <c r="R13" s="2588">
        <f>SUMIF('数据-汇总表'!C$19:C$33,A13,'数据-汇总表'!R$19:R$33)</f>
        <v>0</v>
      </c>
      <c r="S13" s="2611">
        <f>IF('数据-汇总表'!$I$17="按面积比例",SUMIF('数据-汇总表'!C$19:C$33,A13,'数据-汇总表'!K$19:K$33),SUMIF('数据-汇总表'!C$19:C$33,A13,'数据-汇总表'!N$19:N$33))</f>
        <v>0</v>
      </c>
      <c r="T13" s="2612">
        <f t="shared" si="5"/>
        <v>0</v>
      </c>
      <c r="U13" s="2613"/>
      <c r="V13" s="2614"/>
      <c r="W13" s="2614"/>
      <c r="X13" s="2615"/>
      <c r="Y13" s="2637"/>
      <c r="Z13" s="2638"/>
      <c r="AA13" s="2506"/>
      <c r="AB13" s="2506"/>
      <c r="AC13" s="2620"/>
      <c r="AD13" s="2639"/>
      <c r="AE13" s="2640">
        <f t="shared" ca="1" si="6"/>
        <v>0</v>
      </c>
      <c r="AF13" s="2069"/>
      <c r="AG13" s="2650">
        <f t="shared" si="7"/>
        <v>0</v>
      </c>
      <c r="AH13" s="2069"/>
      <c r="AI13" s="2651"/>
      <c r="AJ13" s="2652"/>
      <c r="AK13" s="2653"/>
      <c r="AL13" s="2654"/>
      <c r="AM13" s="2657"/>
      <c r="AN13" s="2656"/>
      <c r="AO13" s="2647"/>
      <c r="AP13" s="2486">
        <f t="shared" si="8"/>
        <v>0</v>
      </c>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row>
    <row r="14" spans="1:83" s="2471" customFormat="1" ht="14.25">
      <c r="A14" s="2507" t="s">
        <v>473</v>
      </c>
      <c r="B14" s="2508" t="s">
        <v>599</v>
      </c>
      <c r="C14" s="2509" t="s">
        <v>473</v>
      </c>
      <c r="D14" s="2501"/>
      <c r="E14" s="2502"/>
      <c r="F14" s="2503"/>
      <c r="G14" s="2504"/>
      <c r="H14" s="2510"/>
      <c r="I14" s="2510"/>
      <c r="J14" s="2510"/>
      <c r="K14" s="2588">
        <f>SUMIF('数据-汇总表'!C$19:C$33,'数据-取费表'!A14,'数据-汇总表'!E$19:E$33)</f>
        <v>543.5</v>
      </c>
      <c r="L14" s="2596">
        <v>2200</v>
      </c>
      <c r="M14" s="2590">
        <f t="shared" si="0"/>
        <v>120</v>
      </c>
      <c r="N14" s="2595"/>
      <c r="O14" s="2590">
        <f t="shared" si="3"/>
        <v>0</v>
      </c>
      <c r="P14" s="2592">
        <f t="shared" si="4"/>
        <v>120</v>
      </c>
      <c r="Q14" s="2621"/>
      <c r="R14" s="2588"/>
      <c r="S14" s="2611"/>
      <c r="T14" s="2622"/>
      <c r="U14" s="2623"/>
      <c r="V14" s="2624"/>
      <c r="W14" s="2624"/>
      <c r="X14" s="2615"/>
      <c r="Y14" s="2642"/>
      <c r="Z14" s="2643"/>
      <c r="AA14" s="2644"/>
      <c r="AB14" s="2644"/>
      <c r="AC14" s="2620"/>
      <c r="AD14" s="2615"/>
      <c r="AE14" s="2640"/>
      <c r="AF14" s="464"/>
      <c r="AG14" s="2650"/>
      <c r="AH14" s="464"/>
      <c r="AI14" s="463"/>
      <c r="AJ14" s="463"/>
      <c r="AK14" s="2662"/>
      <c r="AL14" s="2663"/>
      <c r="AM14" s="2664"/>
      <c r="AN14" s="2647"/>
      <c r="AO14" s="2647"/>
      <c r="AQ14" s="2647"/>
      <c r="AR14" s="2647"/>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c r="BP14" s="2647"/>
      <c r="BQ14" s="2647"/>
      <c r="BR14" s="2647"/>
      <c r="BS14" s="2647"/>
      <c r="BT14" s="2647"/>
      <c r="BU14" s="2647"/>
      <c r="BV14" s="2647"/>
      <c r="BW14" s="2647"/>
      <c r="BX14" s="2647"/>
      <c r="BY14" s="2647"/>
      <c r="BZ14" s="2647"/>
      <c r="CA14" s="2647"/>
      <c r="CB14" s="2647"/>
      <c r="CC14" s="2647"/>
      <c r="CD14" s="2647"/>
      <c r="CE14" s="2647"/>
    </row>
    <row r="15" spans="1:83" s="2471" customFormat="1" ht="27">
      <c r="A15" s="2511" t="s">
        <v>553</v>
      </c>
      <c r="B15" s="2508" t="s">
        <v>599</v>
      </c>
      <c r="C15" s="2509" t="s">
        <v>600</v>
      </c>
      <c r="D15" s="2501"/>
      <c r="E15" s="2502"/>
      <c r="F15" s="2503"/>
      <c r="G15" s="2504"/>
      <c r="H15" s="2510"/>
      <c r="I15" s="2510"/>
      <c r="J15" s="2510"/>
      <c r="K15" s="2588">
        <f>SUMIF('数据-汇总表'!C$19:C$33,'数据-取费表'!A15,'数据-汇总表'!E$19:E$33)</f>
        <v>0</v>
      </c>
      <c r="L15" s="2597"/>
      <c r="M15" s="2590"/>
      <c r="N15" s="2598"/>
      <c r="O15" s="2590"/>
      <c r="P15" s="2592"/>
      <c r="Q15" s="2621"/>
      <c r="R15" s="2588"/>
      <c r="S15" s="2611"/>
      <c r="T15" s="2622"/>
      <c r="U15" s="2623"/>
      <c r="V15" s="2624"/>
      <c r="W15" s="2624"/>
      <c r="X15" s="2615"/>
      <c r="Y15" s="2642"/>
      <c r="Z15" s="2643"/>
      <c r="AA15" s="2644"/>
      <c r="AB15" s="2644"/>
      <c r="AC15" s="2620"/>
      <c r="AD15" s="2615"/>
      <c r="AE15" s="2640"/>
      <c r="AF15" s="464"/>
      <c r="AG15" s="2650"/>
      <c r="AH15" s="464"/>
      <c r="AI15" s="463"/>
      <c r="AJ15" s="463"/>
      <c r="AK15" s="2662"/>
      <c r="AL15" s="2663"/>
      <c r="AM15" s="2664"/>
      <c r="AN15" s="2647"/>
      <c r="AO15" s="2647"/>
      <c r="AQ15" s="2647"/>
      <c r="AR15" s="2647"/>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c r="BP15" s="2647"/>
      <c r="BQ15" s="2647"/>
      <c r="BR15" s="2647"/>
      <c r="BS15" s="2647"/>
      <c r="BT15" s="2647"/>
      <c r="BU15" s="2647"/>
      <c r="BV15" s="2647"/>
      <c r="BW15" s="2647"/>
      <c r="BX15" s="2647"/>
      <c r="BY15" s="2647"/>
      <c r="BZ15" s="2647"/>
      <c r="CA15" s="2647"/>
      <c r="CB15" s="2647"/>
      <c r="CC15" s="2647"/>
      <c r="CD15" s="2647"/>
      <c r="CE15" s="2647"/>
    </row>
    <row r="16" spans="1:83" s="2471" customFormat="1" ht="15">
      <c r="A16" s="2512" t="s">
        <v>601</v>
      </c>
      <c r="B16" s="2513"/>
      <c r="C16" s="2514"/>
      <c r="D16" s="2515"/>
      <c r="E16" s="2513"/>
      <c r="F16" s="2513"/>
      <c r="G16" s="2516">
        <f>ROUND(SUMPRODUCT(G6:G13,K6:K13)/SUMPRODUCT((G6:G13&gt;0)*(K6:K13)),3)</f>
        <v>0.97</v>
      </c>
      <c r="H16" s="2517">
        <f>ROUND(SUMPRODUCT(H6:H13,K6:K13)/SUMPRODUCT((H6:H13&gt;0)*(K6:K13)),3)</f>
        <v>4.2999999999999997E-2</v>
      </c>
      <c r="I16" s="2599"/>
      <c r="J16" s="2599"/>
      <c r="K16" s="2600">
        <f>SUM(K6:K15)</f>
        <v>128526.97</v>
      </c>
      <c r="L16" s="2601">
        <f>ROUND(M16*10000/SUM(K6:K14),0)</f>
        <v>2379</v>
      </c>
      <c r="M16" s="2601">
        <f>SUM(M6:M14)</f>
        <v>30580</v>
      </c>
      <c r="N16" s="2602">
        <f>ROUND(SUMPRODUCT(M6:M14,N6:N14)/M16,3)</f>
        <v>0</v>
      </c>
      <c r="O16" s="2601">
        <f>SUM(O6:O14)</f>
        <v>0</v>
      </c>
      <c r="P16" s="2601">
        <f>SUM(P6:P14)</f>
        <v>30580</v>
      </c>
      <c r="Q16" s="2625">
        <f>ROUND(SUMPRODUCT(Q6:Q13,K6:K13)/SUMPRODUCT((Q6:Q13&gt;0)*(K6:K13)),2)</f>
        <v>0.08</v>
      </c>
      <c r="R16" s="2626">
        <f>SUM(R6:R13)</f>
        <v>66880.990000000005</v>
      </c>
      <c r="S16" s="2627">
        <f>SUM(S6:S13)</f>
        <v>543.5</v>
      </c>
      <c r="T16" s="2628">
        <f>IF(SUMIF(T6:T13,"&lt;9E307")=M14,SUMIF(T6:T13,"&lt;9E307"),"有误，请检查")</f>
        <v>120</v>
      </c>
      <c r="U16" s="2629"/>
      <c r="V16" s="2630"/>
      <c r="W16" s="2630"/>
      <c r="X16" s="2631"/>
      <c r="Y16" s="2645"/>
      <c r="Z16" s="2646"/>
      <c r="AA16" s="2630"/>
      <c r="AB16" s="2630"/>
      <c r="AC16" s="2631"/>
      <c r="AD16" s="2631"/>
      <c r="AE16" s="2629"/>
      <c r="AF16" s="2630"/>
      <c r="AG16" s="2645"/>
      <c r="AH16" s="2630"/>
      <c r="AI16" s="2646"/>
      <c r="AJ16" s="2646"/>
      <c r="AK16" s="2630"/>
      <c r="AL16" s="2630"/>
      <c r="AM16" s="2645"/>
      <c r="AN16" s="2647"/>
      <c r="AO16" s="2647"/>
      <c r="AP16" s="2486">
        <f>ROUND(SUMPRODUCT(AP6:AP13,K6:K13)/SUMPRODUCT((AP6:AP13&gt;0)*(K6:K13)),3)</f>
        <v>0.89</v>
      </c>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c r="BP16" s="2647"/>
      <c r="BQ16" s="2647"/>
      <c r="BR16" s="2647"/>
      <c r="BS16" s="2647"/>
      <c r="BT16" s="2647"/>
      <c r="BU16" s="2647"/>
      <c r="BV16" s="2647"/>
      <c r="BW16" s="2647"/>
      <c r="BX16" s="2647"/>
      <c r="BY16" s="2647"/>
      <c r="BZ16" s="2647"/>
      <c r="CA16" s="2647"/>
      <c r="CB16" s="2647"/>
      <c r="CC16" s="2647"/>
      <c r="CD16" s="2647"/>
      <c r="CE16" s="2647"/>
    </row>
    <row r="17" spans="1:83">
      <c r="A17" s="2518"/>
      <c r="B17" s="2479"/>
      <c r="C17" s="910"/>
      <c r="D17" s="2480"/>
      <c r="E17" s="2480"/>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87" t="s">
        <v>602</v>
      </c>
      <c r="B18" s="2486"/>
      <c r="C18" s="2483"/>
      <c r="D18" s="2484"/>
      <c r="E18" s="2483"/>
      <c r="F18" s="2483"/>
      <c r="G18" s="2483"/>
      <c r="H18" s="2483"/>
      <c r="I18" s="2483"/>
      <c r="J18" s="2483"/>
      <c r="K18" s="117"/>
      <c r="L18" s="117"/>
      <c r="M18" s="910"/>
      <c r="N18" s="910"/>
      <c r="O18" s="910"/>
      <c r="P18" s="910"/>
      <c r="Q18" s="910"/>
      <c r="R18" s="910"/>
      <c r="S18" s="910"/>
      <c r="T18" s="910"/>
      <c r="U18" s="2474"/>
      <c r="V18" s="910"/>
      <c r="W18" s="910"/>
      <c r="X18" s="910"/>
      <c r="Y18" s="910"/>
      <c r="Z18" s="910"/>
      <c r="AA18" s="910"/>
      <c r="AB18" s="910"/>
      <c r="AC18" s="910"/>
      <c r="AD18" s="910"/>
      <c r="AE18" s="910"/>
      <c r="AF18" s="910"/>
      <c r="AG18" s="910"/>
      <c r="AH18" s="910">
        <f>'数据-汇总表'!G21/'数据-取费表'!AH8</f>
        <v>66.562548764629398</v>
      </c>
      <c r="AI18" s="910"/>
      <c r="AJ18" s="910"/>
      <c r="AK18" s="910"/>
      <c r="AL18" s="910"/>
      <c r="AM18" s="910"/>
    </row>
    <row r="19" spans="1:83" ht="14.25">
      <c r="A19" s="2519" t="s">
        <v>603</v>
      </c>
      <c r="B19" s="2520">
        <v>0</v>
      </c>
      <c r="C19" s="2521" t="s">
        <v>604</v>
      </c>
      <c r="D19" s="2484"/>
      <c r="E19" s="2483"/>
      <c r="F19" s="2483"/>
      <c r="G19" s="2483"/>
      <c r="H19" s="2483"/>
      <c r="I19" s="2483"/>
      <c r="J19" s="2483"/>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22" t="s">
        <v>605</v>
      </c>
      <c r="B20" s="2523">
        <v>2</v>
      </c>
      <c r="C20" s="2521" t="s">
        <v>606</v>
      </c>
      <c r="D20" s="2484"/>
      <c r="E20" s="2483"/>
      <c r="F20" s="2483"/>
      <c r="G20" s="2483"/>
      <c r="H20" s="2483"/>
      <c r="I20" s="2483"/>
      <c r="J20" s="2483"/>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24" t="s">
        <v>607</v>
      </c>
      <c r="B21" s="2523">
        <v>0</v>
      </c>
      <c r="C21" s="2483"/>
      <c r="D21" s="2484"/>
      <c r="E21" s="2483"/>
      <c r="F21" s="2483"/>
      <c r="G21" s="2483"/>
      <c r="H21" s="2483"/>
      <c r="I21" s="2483"/>
      <c r="J21" s="2483"/>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22" t="s">
        <v>608</v>
      </c>
      <c r="B22" s="2525">
        <f>B19+B20</f>
        <v>2</v>
      </c>
      <c r="C22" s="2483"/>
      <c r="D22" s="2484"/>
      <c r="E22" s="2483"/>
      <c r="F22" s="2483"/>
      <c r="G22" s="2483"/>
      <c r="H22" s="2483"/>
      <c r="I22" s="2483"/>
      <c r="J22" s="2483"/>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24" t="s">
        <v>609</v>
      </c>
      <c r="B23" s="2525">
        <f>B19+B21</f>
        <v>0</v>
      </c>
      <c r="C23" s="2483"/>
      <c r="D23" s="2484"/>
      <c r="E23" s="2483"/>
      <c r="F23" s="2483"/>
      <c r="G23" s="2483"/>
      <c r="H23" s="2483"/>
      <c r="I23" s="2483"/>
      <c r="J23" s="2483"/>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26" t="s">
        <v>610</v>
      </c>
      <c r="B24" s="2527">
        <f>B20-B21</f>
        <v>2</v>
      </c>
      <c r="C24" s="2483"/>
      <c r="D24" s="2484"/>
      <c r="E24" s="2483"/>
      <c r="F24" s="2483"/>
      <c r="G24" s="2483"/>
      <c r="H24" s="2483"/>
      <c r="I24" s="2483"/>
      <c r="J24" s="2483"/>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85"/>
      <c r="B25" s="2486"/>
      <c r="C25" s="2483"/>
      <c r="D25" s="2484"/>
      <c r="E25" s="2483"/>
      <c r="F25" s="2483"/>
      <c r="G25" s="2483"/>
      <c r="H25" s="2483"/>
      <c r="I25" s="2483"/>
      <c r="J25" s="2483"/>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81" t="s">
        <v>611</v>
      </c>
      <c r="B26" s="2528" t="s">
        <v>612</v>
      </c>
      <c r="C26" s="2529" t="s">
        <v>613</v>
      </c>
      <c r="D26" s="2484"/>
      <c r="E26" s="2483"/>
      <c r="F26" s="2483"/>
      <c r="G26" s="2483"/>
      <c r="H26" s="2483"/>
      <c r="I26" s="2483"/>
      <c r="J26" s="2483"/>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73" customFormat="1" ht="27.75">
      <c r="A27" s="2530" t="s">
        <v>614</v>
      </c>
      <c r="B27" s="2531">
        <v>105</v>
      </c>
      <c r="C27" s="2532" t="s">
        <v>615</v>
      </c>
      <c r="D27" s="2533"/>
      <c r="E27" s="456"/>
      <c r="F27" s="456"/>
      <c r="G27" s="2483"/>
      <c r="H27" s="2483"/>
      <c r="I27" s="2483"/>
      <c r="J27" s="2483"/>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3" customFormat="1" ht="27.75">
      <c r="A28" s="2534" t="s">
        <v>616</v>
      </c>
      <c r="B28" s="2535">
        <v>105</v>
      </c>
      <c r="C28" s="2536"/>
      <c r="D28" s="2533"/>
      <c r="E28" s="456"/>
      <c r="F28" s="456"/>
      <c r="G28" s="2483"/>
      <c r="H28" s="2483"/>
      <c r="I28" s="2483"/>
      <c r="J28" s="2483"/>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3" customFormat="1" ht="27.75">
      <c r="A29" s="2537" t="s">
        <v>617</v>
      </c>
      <c r="B29" s="2538">
        <v>0</v>
      </c>
      <c r="C29" s="2539" t="s">
        <v>618</v>
      </c>
      <c r="D29" s="2533"/>
      <c r="E29" s="456"/>
      <c r="F29" s="456"/>
      <c r="G29" s="2483"/>
      <c r="H29" s="2483"/>
      <c r="I29" s="2483"/>
      <c r="J29" s="2483"/>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3" customFormat="1" ht="27">
      <c r="A30" s="2540" t="s">
        <v>619</v>
      </c>
      <c r="B30" s="2541">
        <v>200</v>
      </c>
      <c r="C30" s="2536"/>
      <c r="D30" s="2533"/>
      <c r="E30" s="456"/>
      <c r="F30" s="456"/>
      <c r="G30" s="2483"/>
      <c r="H30" s="2483"/>
      <c r="I30" s="2483"/>
      <c r="J30" s="2483"/>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3" customFormat="1" ht="27">
      <c r="A31" s="2534" t="s">
        <v>620</v>
      </c>
      <c r="B31" s="2542">
        <f>B30-B32</f>
        <v>200</v>
      </c>
      <c r="C31" s="2532"/>
      <c r="D31" s="2533"/>
      <c r="E31" s="456"/>
      <c r="F31" s="456"/>
      <c r="G31" s="2483"/>
      <c r="H31" s="2483"/>
      <c r="I31" s="2483"/>
      <c r="J31" s="2483"/>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3" customFormat="1" ht="27">
      <c r="A32" s="2543" t="s">
        <v>621</v>
      </c>
      <c r="B32" s="2544">
        <v>0</v>
      </c>
      <c r="C32" s="2536"/>
      <c r="D32" s="2484"/>
      <c r="E32" s="2483"/>
      <c r="F32" s="2483"/>
      <c r="G32" s="2483"/>
      <c r="H32" s="2483"/>
      <c r="I32" s="2483"/>
      <c r="J32" s="2483"/>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3" customFormat="1" ht="14.25">
      <c r="A33" s="2530" t="s">
        <v>622</v>
      </c>
      <c r="B33" s="2545">
        <v>0.05</v>
      </c>
      <c r="C33" s="2546" t="s">
        <v>623</v>
      </c>
      <c r="D33" s="2533"/>
      <c r="E33" s="456"/>
      <c r="F33" s="456"/>
      <c r="G33" s="2483"/>
      <c r="H33" s="2483"/>
      <c r="I33" s="2483"/>
      <c r="J33" s="2483"/>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34" t="s">
        <v>624</v>
      </c>
      <c r="B34" s="2547">
        <v>0.05</v>
      </c>
      <c r="C34" s="2546" t="s">
        <v>625</v>
      </c>
      <c r="D34" s="2484" t="s">
        <v>626</v>
      </c>
      <c r="E34" s="910"/>
      <c r="F34" s="2483"/>
      <c r="G34" s="2483"/>
      <c r="H34" s="2483"/>
      <c r="I34" s="2483"/>
      <c r="J34" s="2483"/>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34" t="s">
        <v>627</v>
      </c>
      <c r="B35" s="2548">
        <v>200</v>
      </c>
      <c r="C35" s="2546" t="s">
        <v>628</v>
      </c>
      <c r="D35" s="2484"/>
      <c r="E35" s="2483"/>
      <c r="F35" s="2483"/>
      <c r="G35" s="2483"/>
      <c r="H35" s="2483"/>
      <c r="I35" s="2483"/>
      <c r="J35" s="2483"/>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37" t="s">
        <v>629</v>
      </c>
      <c r="B36" s="2549">
        <v>1.4999999999999999E-2</v>
      </c>
      <c r="C36" s="2546" t="s">
        <v>630</v>
      </c>
      <c r="D36" s="2480"/>
      <c r="E36" s="2479"/>
      <c r="F36" s="2483"/>
      <c r="G36" s="2483"/>
      <c r="H36" s="2483"/>
      <c r="I36" s="2483"/>
      <c r="J36" s="2483"/>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40" t="s">
        <v>631</v>
      </c>
      <c r="B37" s="2550">
        <v>0.01</v>
      </c>
      <c r="C37" s="2546" t="s">
        <v>632</v>
      </c>
      <c r="D37" s="2484"/>
      <c r="E37" s="2483"/>
      <c r="F37" s="2483"/>
      <c r="G37" s="2483"/>
      <c r="H37" s="2483"/>
      <c r="I37" s="2483"/>
      <c r="J37" s="2483"/>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34" t="s">
        <v>633</v>
      </c>
      <c r="B38" s="2547">
        <v>0.01</v>
      </c>
      <c r="C38" s="2546" t="s">
        <v>632</v>
      </c>
      <c r="D38" s="2484"/>
      <c r="E38" s="2483"/>
      <c r="F38" s="2483"/>
      <c r="G38" s="2483"/>
      <c r="H38" s="2483"/>
      <c r="I38" s="2483"/>
      <c r="J38" s="2483"/>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51" t="s">
        <v>634</v>
      </c>
      <c r="B39" s="933">
        <f ca="1">存贷款利率!C4</f>
        <v>1.4999999999999999E-2</v>
      </c>
      <c r="C39" s="2546"/>
      <c r="D39" s="2484"/>
      <c r="E39" s="2483"/>
      <c r="F39" s="2483"/>
      <c r="G39" s="2483"/>
      <c r="H39" s="2483"/>
      <c r="I39" s="2483"/>
      <c r="J39" s="2483"/>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51" t="s">
        <v>635</v>
      </c>
      <c r="B40" s="2552">
        <f ca="1">存贷款利率!E2</f>
        <v>4.7500000000000001E-2</v>
      </c>
      <c r="C40" s="2546" t="s">
        <v>636</v>
      </c>
      <c r="D40" s="2484"/>
      <c r="E40" s="2483"/>
      <c r="F40" s="2483"/>
      <c r="G40" s="2483"/>
      <c r="H40" s="2483"/>
      <c r="I40" s="2483"/>
      <c r="J40" s="2483"/>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30" t="s">
        <v>637</v>
      </c>
      <c r="B41" s="2553">
        <f>B42+B43</f>
        <v>5.6000000000000001E-2</v>
      </c>
      <c r="C41" s="2532"/>
      <c r="D41" s="2484"/>
      <c r="E41" s="2483"/>
      <c r="F41" s="2483"/>
      <c r="G41" s="2483"/>
      <c r="H41" s="2483"/>
      <c r="I41" s="2483"/>
      <c r="J41" s="2483"/>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54" t="s">
        <v>638</v>
      </c>
      <c r="B42" s="2555">
        <v>0.05</v>
      </c>
      <c r="C42" s="2556">
        <f>IF(B2&lt;DATE(2016,5,1),0,B42)</f>
        <v>0.05</v>
      </c>
      <c r="D42" s="2484"/>
      <c r="E42" s="2483"/>
      <c r="F42" s="2483"/>
      <c r="G42" s="2483"/>
      <c r="H42" s="2483"/>
      <c r="I42" s="2483"/>
      <c r="J42" s="2483"/>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54" t="s">
        <v>639</v>
      </c>
      <c r="B43" s="2557">
        <f>B42*(B44+B45+B46)+B47</f>
        <v>6.0000000000000001E-3</v>
      </c>
      <c r="C43" s="2532"/>
      <c r="D43" s="2484"/>
      <c r="E43" s="2483"/>
      <c r="F43" s="2483"/>
      <c r="G43" s="2483"/>
      <c r="H43" s="2483"/>
      <c r="I43" s="2483"/>
      <c r="J43" s="2483"/>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58" t="s">
        <v>640</v>
      </c>
      <c r="B44" s="2559">
        <v>7.0000000000000007E-2</v>
      </c>
      <c r="C44" s="2546" t="s">
        <v>641</v>
      </c>
      <c r="D44" s="2484"/>
      <c r="E44" s="2483"/>
      <c r="F44" s="2483"/>
      <c r="G44" s="2483"/>
      <c r="H44" s="2483"/>
      <c r="I44" s="2483"/>
      <c r="J44" s="2483"/>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58" t="s">
        <v>642</v>
      </c>
      <c r="B45" s="2555">
        <v>0.03</v>
      </c>
      <c r="C45" s="2532" t="s">
        <v>643</v>
      </c>
      <c r="D45" s="2484"/>
      <c r="E45" s="2483"/>
      <c r="F45" s="2483"/>
      <c r="G45" s="2483"/>
      <c r="H45" s="2483"/>
      <c r="I45" s="2483"/>
      <c r="J45" s="2483"/>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58" t="s">
        <v>644</v>
      </c>
      <c r="B46" s="2555">
        <v>0.02</v>
      </c>
      <c r="C46" s="2532" t="s">
        <v>645</v>
      </c>
      <c r="D46" s="2484"/>
      <c r="E46" s="2483"/>
      <c r="F46" s="2483"/>
      <c r="G46" s="2483"/>
      <c r="H46" s="2483"/>
      <c r="I46" s="2483"/>
      <c r="J46" s="2483"/>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60" t="s">
        <v>646</v>
      </c>
      <c r="B47" s="2561"/>
      <c r="C47" s="2562" t="s">
        <v>647</v>
      </c>
      <c r="D47" s="2484"/>
      <c r="E47" s="2483"/>
      <c r="F47" s="2483"/>
      <c r="G47" s="2483"/>
      <c r="H47" s="2483"/>
      <c r="I47" s="2483"/>
      <c r="J47" s="2483"/>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63" t="s">
        <v>648</v>
      </c>
      <c r="B48" s="2564">
        <v>0.03</v>
      </c>
      <c r="C48" s="2565" t="s">
        <v>649</v>
      </c>
      <c r="D48" s="2484"/>
      <c r="E48" s="2483"/>
      <c r="F48" s="2483"/>
      <c r="G48" s="2483"/>
      <c r="H48" s="2483"/>
      <c r="I48" s="2483"/>
      <c r="J48" s="2483"/>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43" t="s">
        <v>650</v>
      </c>
      <c r="B49" s="2555">
        <v>5.0000000000000001E-4</v>
      </c>
      <c r="C49" s="2565" t="s">
        <v>651</v>
      </c>
      <c r="D49" s="2484"/>
      <c r="E49" s="2483"/>
      <c r="F49" s="2483"/>
      <c r="G49" s="2483"/>
      <c r="H49" s="2483"/>
      <c r="I49" s="2483"/>
      <c r="J49" s="2483"/>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66" t="s">
        <v>652</v>
      </c>
      <c r="B50" s="2567">
        <v>1.2E-2</v>
      </c>
      <c r="C50" s="2536"/>
      <c r="D50" s="2484"/>
      <c r="E50" s="2483"/>
      <c r="F50" s="2483"/>
      <c r="G50" s="2483"/>
      <c r="H50" s="2483"/>
      <c r="I50" s="2483"/>
      <c r="J50" s="2483"/>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37" t="s">
        <v>653</v>
      </c>
      <c r="B51" s="2568">
        <v>0.12</v>
      </c>
      <c r="C51" s="2536"/>
      <c r="D51" s="2484"/>
      <c r="E51" s="2483"/>
      <c r="F51" s="2483"/>
      <c r="G51" s="2483"/>
      <c r="H51" s="2483"/>
      <c r="I51" s="2483"/>
      <c r="J51" s="2483"/>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66" t="s">
        <v>654</v>
      </c>
      <c r="B52" s="2569">
        <f>SUMIF(A54:A63,B53,B54:B63)</f>
        <v>14</v>
      </c>
      <c r="C52" s="2536"/>
      <c r="D52" s="2484"/>
      <c r="E52" s="2483"/>
      <c r="F52" s="2483"/>
      <c r="G52" s="2483"/>
      <c r="H52" s="2483"/>
      <c r="I52" s="2483"/>
      <c r="J52" s="2483"/>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34" t="s">
        <v>655</v>
      </c>
      <c r="B53" s="2570" t="s">
        <v>240</v>
      </c>
      <c r="C53" s="2571" t="s">
        <v>656</v>
      </c>
      <c r="D53" s="2572" t="s">
        <v>657</v>
      </c>
      <c r="E53" s="2483"/>
      <c r="F53" s="2483"/>
      <c r="G53" s="2483"/>
      <c r="H53" s="2483"/>
      <c r="I53" s="2483"/>
      <c r="J53" s="2483"/>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73" t="s">
        <v>240</v>
      </c>
      <c r="B54" s="2574">
        <v>14</v>
      </c>
      <c r="C54" s="456">
        <v>30</v>
      </c>
      <c r="D54" s="2575"/>
      <c r="E54" s="2483"/>
      <c r="F54" s="2483"/>
      <c r="G54" s="2483"/>
      <c r="H54" s="2483"/>
      <c r="I54" s="2483"/>
      <c r="J54" s="2483"/>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73" t="s">
        <v>253</v>
      </c>
      <c r="B55" s="2574">
        <v>10</v>
      </c>
      <c r="C55" s="456">
        <v>24</v>
      </c>
      <c r="D55" s="2575"/>
      <c r="E55" s="2483"/>
      <c r="F55" s="2483"/>
      <c r="G55" s="2483"/>
      <c r="H55" s="2483"/>
      <c r="I55" s="2603"/>
      <c r="J55" s="2483"/>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73" t="s">
        <v>265</v>
      </c>
      <c r="B56" s="2574">
        <v>6</v>
      </c>
      <c r="C56" s="456">
        <v>18</v>
      </c>
      <c r="D56" s="2575"/>
      <c r="E56" s="2483"/>
      <c r="F56" s="2483"/>
      <c r="G56" s="2483"/>
      <c r="H56" s="2483"/>
      <c r="I56" s="2483"/>
      <c r="J56" s="2483"/>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73" t="s">
        <v>275</v>
      </c>
      <c r="B57" s="2574">
        <v>5</v>
      </c>
      <c r="C57" s="456">
        <v>12</v>
      </c>
      <c r="D57" s="2575"/>
      <c r="E57" s="2483"/>
      <c r="F57" s="2483"/>
      <c r="G57" s="2483"/>
      <c r="H57" s="2483"/>
      <c r="I57" s="2483"/>
      <c r="J57" s="2483"/>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73" t="s">
        <v>284</v>
      </c>
      <c r="B58" s="2574">
        <v>3</v>
      </c>
      <c r="C58" s="456">
        <v>3</v>
      </c>
      <c r="D58" s="2575"/>
      <c r="E58" s="2483"/>
      <c r="F58" s="2483"/>
      <c r="G58" s="2483"/>
      <c r="H58" s="2483"/>
      <c r="I58" s="2483"/>
      <c r="J58" s="2483"/>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73" t="s">
        <v>292</v>
      </c>
      <c r="B59" s="2574">
        <v>1.2</v>
      </c>
      <c r="C59" s="456">
        <v>1.5</v>
      </c>
      <c r="D59" s="2575"/>
      <c r="E59" s="2483"/>
      <c r="F59" s="2483"/>
      <c r="G59" s="2483"/>
      <c r="H59" s="2483"/>
      <c r="I59" s="2483"/>
      <c r="J59" s="2483"/>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73" t="s">
        <v>297</v>
      </c>
      <c r="B60" s="2574"/>
      <c r="C60" s="2483"/>
      <c r="D60" s="2484"/>
      <c r="E60" s="2483"/>
      <c r="F60" s="2483"/>
      <c r="G60" s="2483"/>
      <c r="H60" s="2483"/>
      <c r="I60" s="2483"/>
      <c r="J60" s="2483"/>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73" t="s">
        <v>302</v>
      </c>
      <c r="B61" s="2574"/>
      <c r="C61" s="2483"/>
      <c r="D61" s="2484"/>
      <c r="E61" s="2483"/>
      <c r="F61" s="2483"/>
      <c r="G61" s="2483"/>
      <c r="H61" s="2483"/>
      <c r="I61" s="2483"/>
      <c r="J61" s="2483"/>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73" t="s">
        <v>305</v>
      </c>
      <c r="B62" s="2574"/>
      <c r="C62" s="2483"/>
      <c r="D62" s="2484"/>
      <c r="E62" s="2483"/>
      <c r="F62" s="2483"/>
      <c r="G62" s="2483"/>
      <c r="H62" s="2483"/>
      <c r="I62" s="2483"/>
      <c r="J62" s="2483"/>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76" t="s">
        <v>308</v>
      </c>
      <c r="B63" s="2577"/>
      <c r="C63" s="2483"/>
      <c r="D63" s="2484"/>
      <c r="E63" s="2483"/>
      <c r="F63" s="2483"/>
      <c r="G63" s="2483"/>
      <c r="H63" s="2483"/>
      <c r="I63" s="2483"/>
      <c r="J63" s="2483"/>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74" customFormat="1">
      <c r="A64" s="2169"/>
      <c r="D64" s="2578"/>
      <c r="K64" s="187"/>
      <c r="L64" s="187"/>
    </row>
    <row r="65" spans="1:12" s="2474" customFormat="1">
      <c r="A65" s="2169"/>
      <c r="D65" s="2578"/>
      <c r="K65" s="187"/>
      <c r="L65" s="187"/>
    </row>
    <row r="66" spans="1:12" s="2474" customFormat="1">
      <c r="A66" s="2169"/>
      <c r="D66" s="2578"/>
      <c r="K66" s="187"/>
      <c r="L66" s="187"/>
    </row>
    <row r="67" spans="1:12" s="2474" customFormat="1">
      <c r="A67" s="2169"/>
      <c r="D67" s="2578"/>
      <c r="K67" s="187"/>
      <c r="L67" s="187"/>
    </row>
    <row r="68" spans="1:12" s="2474" customFormat="1">
      <c r="A68" s="2169"/>
      <c r="D68" s="2578"/>
      <c r="K68" s="187"/>
      <c r="L68" s="187"/>
    </row>
    <row r="69" spans="1:12" s="2474" customFormat="1">
      <c r="A69" s="2169"/>
      <c r="D69" s="2578"/>
      <c r="K69" s="187"/>
      <c r="L69" s="187"/>
    </row>
    <row r="70" spans="1:12" s="2474" customFormat="1">
      <c r="A70" s="2169"/>
      <c r="D70" s="2578"/>
      <c r="K70" s="187"/>
      <c r="L70" s="187"/>
    </row>
    <row r="71" spans="1:12" s="2474" customFormat="1">
      <c r="A71" s="2169"/>
      <c r="D71" s="2578"/>
      <c r="K71" s="187"/>
      <c r="L71" s="187"/>
    </row>
    <row r="72" spans="1:12" s="2474" customFormat="1">
      <c r="A72" s="2169"/>
      <c r="D72" s="2578"/>
      <c r="K72" s="187"/>
      <c r="L72" s="187"/>
    </row>
    <row r="73" spans="1:12" s="2474" customFormat="1">
      <c r="A73" s="2169"/>
      <c r="D73" s="2578"/>
      <c r="K73" s="187"/>
      <c r="L73" s="187"/>
    </row>
    <row r="74" spans="1:12" s="2474" customFormat="1">
      <c r="A74" s="2169"/>
      <c r="D74" s="2578"/>
      <c r="K74" s="187"/>
      <c r="L74" s="187"/>
    </row>
    <row r="75" spans="1:12" s="2474" customFormat="1">
      <c r="A75" s="2169"/>
      <c r="D75" s="2578"/>
      <c r="K75" s="187"/>
      <c r="L75" s="187"/>
    </row>
    <row r="76" spans="1:12" s="2474" customFormat="1">
      <c r="A76" s="2169"/>
      <c r="D76" s="2578"/>
      <c r="K76" s="187"/>
      <c r="L76" s="187"/>
    </row>
    <row r="77" spans="1:12" s="2474" customFormat="1">
      <c r="A77" s="2169"/>
      <c r="D77" s="2578"/>
      <c r="K77" s="187"/>
      <c r="L77" s="187"/>
    </row>
    <row r="78" spans="1:12" s="2474" customFormat="1">
      <c r="A78" s="2169"/>
      <c r="D78" s="2578"/>
      <c r="K78" s="187"/>
      <c r="L78" s="187"/>
    </row>
    <row r="79" spans="1:12" s="2474" customFormat="1">
      <c r="A79" s="2169"/>
      <c r="D79" s="2578"/>
      <c r="K79" s="187"/>
      <c r="L79" s="187"/>
    </row>
    <row r="80" spans="1:12" s="2474" customFormat="1">
      <c r="A80" s="2169"/>
      <c r="D80" s="2578"/>
      <c r="K80" s="187"/>
      <c r="L80" s="187"/>
    </row>
    <row r="81" spans="1:12" s="2474" customFormat="1">
      <c r="A81" s="2169"/>
      <c r="D81" s="2578"/>
      <c r="K81" s="187"/>
      <c r="L81" s="187"/>
    </row>
    <row r="82" spans="1:12" s="2474" customFormat="1">
      <c r="A82" s="2169"/>
      <c r="D82" s="2578"/>
      <c r="K82" s="187"/>
      <c r="L82" s="187"/>
    </row>
    <row r="83" spans="1:12" s="2474" customFormat="1">
      <c r="A83" s="2169"/>
      <c r="D83" s="2578"/>
      <c r="K83" s="187"/>
      <c r="L83" s="187"/>
    </row>
    <row r="84" spans="1:12" s="2474" customFormat="1">
      <c r="A84" s="2169"/>
      <c r="D84" s="2578"/>
      <c r="K84" s="187"/>
      <c r="L84" s="187"/>
    </row>
    <row r="85" spans="1:12" s="2474" customFormat="1">
      <c r="A85" s="2169"/>
      <c r="D85" s="2578"/>
      <c r="K85" s="187"/>
      <c r="L85" s="187"/>
    </row>
    <row r="86" spans="1:12" s="2474" customFormat="1">
      <c r="A86" s="2169"/>
      <c r="D86" s="2578"/>
      <c r="K86" s="187"/>
      <c r="L86" s="187"/>
    </row>
    <row r="87" spans="1:12" s="2474" customFormat="1">
      <c r="A87" s="2169"/>
      <c r="D87" s="2578"/>
      <c r="K87" s="187"/>
      <c r="L87" s="187"/>
    </row>
    <row r="88" spans="1:12" s="2474" customFormat="1">
      <c r="A88" s="2169"/>
      <c r="D88" s="2578"/>
      <c r="K88" s="187"/>
      <c r="L88" s="187"/>
    </row>
    <row r="89" spans="1:12" s="2474" customFormat="1">
      <c r="A89" s="2169"/>
      <c r="D89" s="2578"/>
      <c r="K89" s="187"/>
      <c r="L89" s="187"/>
    </row>
    <row r="90" spans="1:12" s="2474" customFormat="1">
      <c r="A90" s="2169"/>
      <c r="D90" s="2578"/>
      <c r="K90" s="187"/>
      <c r="L90" s="187"/>
    </row>
    <row r="91" spans="1:12" s="2474" customFormat="1">
      <c r="A91" s="2169"/>
      <c r="D91" s="2578"/>
      <c r="K91" s="187"/>
      <c r="L91" s="187"/>
    </row>
    <row r="92" spans="1:12" s="2474" customFormat="1">
      <c r="A92" s="2169"/>
      <c r="D92" s="2578"/>
      <c r="K92" s="187"/>
      <c r="L92" s="187"/>
    </row>
    <row r="93" spans="1:12" s="2474" customFormat="1">
      <c r="A93" s="2169"/>
      <c r="D93" s="2578"/>
      <c r="K93" s="187"/>
      <c r="L93" s="187"/>
    </row>
    <row r="94" spans="1:12" s="2474" customFormat="1">
      <c r="A94" s="2169"/>
      <c r="D94" s="2578"/>
      <c r="K94" s="187"/>
      <c r="L94" s="187"/>
    </row>
    <row r="95" spans="1:12" s="2474" customFormat="1">
      <c r="A95" s="2169"/>
      <c r="D95" s="2578"/>
      <c r="K95" s="187"/>
      <c r="L95" s="187"/>
    </row>
    <row r="96" spans="1:12" s="2474" customFormat="1">
      <c r="A96" s="2169"/>
      <c r="D96" s="2578"/>
      <c r="K96" s="187"/>
      <c r="L96" s="187"/>
    </row>
    <row r="97" spans="1:12" s="2474" customFormat="1">
      <c r="A97" s="2169"/>
      <c r="D97" s="2578"/>
      <c r="K97" s="187"/>
      <c r="L97" s="187"/>
    </row>
    <row r="98" spans="1:12" s="2474" customFormat="1">
      <c r="A98" s="2169"/>
      <c r="D98" s="2578"/>
      <c r="K98" s="187"/>
      <c r="L98" s="187"/>
    </row>
    <row r="99" spans="1:12" s="2474" customFormat="1">
      <c r="A99" s="2169"/>
      <c r="D99" s="2578"/>
      <c r="K99" s="187"/>
      <c r="L99" s="187"/>
    </row>
    <row r="100" spans="1:12" s="2474" customFormat="1">
      <c r="A100" s="2169"/>
      <c r="D100" s="2578"/>
      <c r="K100" s="187"/>
      <c r="L100" s="187"/>
    </row>
    <row r="101" spans="1:12" s="2474" customFormat="1">
      <c r="A101" s="2169"/>
      <c r="D101" s="2578"/>
      <c r="K101" s="187"/>
      <c r="L101" s="187"/>
    </row>
    <row r="102" spans="1:12" s="2474" customFormat="1">
      <c r="A102" s="2169"/>
      <c r="D102" s="2578"/>
      <c r="K102" s="187"/>
      <c r="L102" s="187"/>
    </row>
    <row r="103" spans="1:12" s="2474" customFormat="1">
      <c r="A103" s="2169"/>
      <c r="D103" s="2578"/>
      <c r="K103" s="187"/>
      <c r="L103" s="187"/>
    </row>
    <row r="104" spans="1:12" s="2474" customFormat="1">
      <c r="A104" s="2169"/>
      <c r="D104" s="2578"/>
      <c r="K104" s="187"/>
      <c r="L104" s="187"/>
    </row>
    <row r="105" spans="1:12" s="2474" customFormat="1">
      <c r="A105" s="2169"/>
      <c r="D105" s="2578"/>
      <c r="K105" s="187"/>
      <c r="L105" s="187"/>
    </row>
    <row r="106" spans="1:12" s="2474" customFormat="1">
      <c r="A106" s="2169"/>
      <c r="D106" s="2578"/>
      <c r="K106" s="187"/>
      <c r="L106" s="187"/>
    </row>
    <row r="107" spans="1:12" s="2474" customFormat="1">
      <c r="A107" s="2169"/>
      <c r="D107" s="2578"/>
      <c r="K107" s="187"/>
      <c r="L107" s="187"/>
    </row>
    <row r="108" spans="1:12" s="2474" customFormat="1">
      <c r="A108" s="2169"/>
      <c r="D108" s="2578"/>
      <c r="K108" s="187"/>
      <c r="L108" s="187"/>
    </row>
    <row r="109" spans="1:12" s="2474" customFormat="1">
      <c r="A109" s="2169"/>
      <c r="D109" s="2578"/>
      <c r="K109" s="187"/>
      <c r="L109" s="187"/>
    </row>
    <row r="110" spans="1:12" s="2474" customFormat="1">
      <c r="A110" s="2169"/>
      <c r="D110" s="2578"/>
      <c r="K110" s="187"/>
      <c r="L110" s="187"/>
    </row>
    <row r="111" spans="1:12" s="2474" customFormat="1">
      <c r="A111" s="2169"/>
      <c r="D111" s="2578"/>
      <c r="K111" s="187"/>
      <c r="L111" s="187"/>
    </row>
    <row r="112" spans="1:12" s="2474" customFormat="1">
      <c r="A112" s="2169"/>
      <c r="D112" s="2578"/>
      <c r="K112" s="187"/>
      <c r="L112" s="187"/>
    </row>
    <row r="113" spans="1:12" s="2474" customFormat="1">
      <c r="A113" s="2169"/>
      <c r="D113" s="2578"/>
      <c r="K113" s="187"/>
      <c r="L113" s="187"/>
    </row>
    <row r="114" spans="1:12" s="2474" customFormat="1">
      <c r="A114" s="2169"/>
      <c r="D114" s="2578"/>
      <c r="K114" s="187"/>
      <c r="L114" s="187"/>
    </row>
    <row r="115" spans="1:12" s="2474" customFormat="1">
      <c r="A115" s="2169"/>
      <c r="D115" s="2578"/>
      <c r="K115" s="187"/>
      <c r="L115" s="187"/>
    </row>
    <row r="116" spans="1:12" s="2474" customFormat="1">
      <c r="A116" s="2169"/>
      <c r="D116" s="2578"/>
      <c r="K116" s="187"/>
      <c r="L116" s="187"/>
    </row>
    <row r="117" spans="1:12" s="2474" customFormat="1">
      <c r="A117" s="2169"/>
      <c r="D117" s="2578"/>
      <c r="K117" s="187"/>
      <c r="L117" s="187"/>
    </row>
    <row r="118" spans="1:12" s="2474" customFormat="1">
      <c r="A118" s="2169"/>
      <c r="D118" s="2578"/>
      <c r="K118" s="187"/>
      <c r="L118" s="187"/>
    </row>
    <row r="119" spans="1:12" s="2474" customFormat="1">
      <c r="A119" s="2169"/>
      <c r="D119" s="2578"/>
      <c r="K119" s="187"/>
      <c r="L119" s="187"/>
    </row>
    <row r="120" spans="1:12" s="2474" customFormat="1">
      <c r="A120" s="2169"/>
      <c r="D120" s="2578"/>
      <c r="K120" s="187"/>
      <c r="L120" s="187"/>
    </row>
    <row r="121" spans="1:12" s="2474" customFormat="1">
      <c r="A121" s="2169"/>
      <c r="D121" s="2578"/>
      <c r="K121" s="187"/>
      <c r="L121" s="187"/>
    </row>
    <row r="122" spans="1:12" s="2474" customFormat="1">
      <c r="A122" s="2169"/>
      <c r="D122" s="2578"/>
      <c r="K122" s="187"/>
      <c r="L122" s="187"/>
    </row>
    <row r="123" spans="1:12" s="2474" customFormat="1">
      <c r="A123" s="2169"/>
      <c r="D123" s="2578"/>
      <c r="K123" s="187"/>
      <c r="L123" s="187"/>
    </row>
    <row r="124" spans="1:12" s="2474" customFormat="1">
      <c r="A124" s="2169"/>
      <c r="D124" s="2578"/>
      <c r="K124" s="187"/>
      <c r="L124" s="187"/>
    </row>
    <row r="125" spans="1:12" s="2474" customFormat="1">
      <c r="A125" s="2169"/>
      <c r="D125" s="2578"/>
      <c r="K125" s="187"/>
      <c r="L125" s="187"/>
    </row>
    <row r="126" spans="1:12" s="2474" customFormat="1">
      <c r="A126" s="2169"/>
      <c r="D126" s="2578"/>
      <c r="K126" s="187"/>
      <c r="L126" s="187"/>
    </row>
    <row r="127" spans="1:12" s="2474" customFormat="1">
      <c r="A127" s="2169"/>
      <c r="D127" s="2578"/>
      <c r="K127" s="187"/>
      <c r="L127" s="187"/>
    </row>
    <row r="128" spans="1:12" s="2474" customFormat="1">
      <c r="A128" s="2169"/>
      <c r="D128" s="2578"/>
      <c r="K128" s="187"/>
      <c r="L128" s="187"/>
    </row>
    <row r="129" spans="1:12" s="2474" customFormat="1">
      <c r="A129" s="2169"/>
      <c r="D129" s="2578"/>
      <c r="K129" s="187"/>
      <c r="L129" s="187"/>
    </row>
    <row r="130" spans="1:12" s="2474" customFormat="1">
      <c r="A130" s="2169"/>
      <c r="D130" s="2578"/>
      <c r="K130" s="187"/>
      <c r="L130" s="187"/>
    </row>
    <row r="131" spans="1:12" s="2474" customFormat="1">
      <c r="A131" s="2169"/>
      <c r="D131" s="2578"/>
      <c r="K131" s="187"/>
      <c r="L131" s="187"/>
    </row>
    <row r="132" spans="1:12" s="2474" customFormat="1">
      <c r="A132" s="2169"/>
      <c r="D132" s="2578"/>
      <c r="K132" s="187"/>
      <c r="L132" s="187"/>
    </row>
    <row r="133" spans="1:12" s="2474" customFormat="1">
      <c r="A133" s="2169"/>
      <c r="D133" s="2578"/>
      <c r="K133" s="187"/>
      <c r="L133" s="187"/>
    </row>
    <row r="134" spans="1:12" s="2474" customFormat="1">
      <c r="A134" s="2169"/>
      <c r="D134" s="2578"/>
      <c r="K134" s="187"/>
      <c r="L134" s="187"/>
    </row>
    <row r="135" spans="1:12" s="2474" customFormat="1">
      <c r="A135" s="2169"/>
      <c r="D135" s="2578"/>
      <c r="K135" s="187"/>
      <c r="L135" s="187"/>
    </row>
    <row r="136" spans="1:12" s="2474" customFormat="1">
      <c r="A136" s="2169"/>
      <c r="D136" s="2578"/>
      <c r="K136" s="187"/>
      <c r="L136" s="187"/>
    </row>
    <row r="137" spans="1:12" s="2474" customFormat="1">
      <c r="A137" s="2169"/>
      <c r="D137" s="2578"/>
      <c r="K137" s="187"/>
      <c r="L137" s="187"/>
    </row>
    <row r="138" spans="1:12" s="2474" customFormat="1">
      <c r="A138" s="2169"/>
      <c r="D138" s="2578"/>
      <c r="K138" s="187"/>
      <c r="L138" s="187"/>
    </row>
    <row r="139" spans="1:12" s="2474" customFormat="1">
      <c r="A139" s="2169"/>
      <c r="D139" s="2578"/>
      <c r="K139" s="187"/>
      <c r="L139" s="187"/>
    </row>
    <row r="140" spans="1:12" s="2474" customFormat="1">
      <c r="A140" s="2169"/>
      <c r="D140" s="2578"/>
      <c r="K140" s="187"/>
      <c r="L140" s="187"/>
    </row>
    <row r="141" spans="1:12" s="2474" customFormat="1">
      <c r="A141" s="2169"/>
      <c r="D141" s="2578"/>
      <c r="K141" s="187"/>
      <c r="L141" s="187"/>
    </row>
    <row r="142" spans="1:12" s="2474" customFormat="1">
      <c r="A142" s="2169"/>
      <c r="D142" s="2578"/>
      <c r="K142" s="187"/>
      <c r="L142" s="187"/>
    </row>
    <row r="143" spans="1:12" s="2474" customFormat="1">
      <c r="A143" s="2169"/>
      <c r="D143" s="2578"/>
      <c r="K143" s="187"/>
      <c r="L143" s="187"/>
    </row>
    <row r="144" spans="1:12" s="2474" customFormat="1">
      <c r="A144" s="2169"/>
      <c r="D144" s="2578"/>
      <c r="K144" s="187"/>
      <c r="L144" s="187"/>
    </row>
    <row r="145" spans="1:12" s="2474" customFormat="1">
      <c r="A145" s="2169"/>
      <c r="D145" s="2578"/>
      <c r="K145" s="187"/>
      <c r="L145" s="187"/>
    </row>
    <row r="146" spans="1:12" s="2474" customFormat="1">
      <c r="A146" s="2169"/>
      <c r="D146" s="2578"/>
      <c r="K146" s="187"/>
      <c r="L146" s="187"/>
    </row>
    <row r="147" spans="1:12" s="2474" customFormat="1">
      <c r="A147" s="2169"/>
      <c r="D147" s="2578"/>
      <c r="K147" s="187"/>
      <c r="L147" s="187"/>
    </row>
    <row r="148" spans="1:12" s="2474" customFormat="1">
      <c r="A148" s="2169"/>
      <c r="D148" s="2578"/>
      <c r="K148" s="187"/>
      <c r="L148" s="187"/>
    </row>
    <row r="149" spans="1:12" s="2474" customFormat="1">
      <c r="A149" s="2169"/>
      <c r="D149" s="2578"/>
      <c r="K149" s="187"/>
      <c r="L149" s="187"/>
    </row>
    <row r="150" spans="1:12" s="2474" customFormat="1">
      <c r="A150" s="2169"/>
      <c r="D150" s="2578"/>
      <c r="K150" s="187"/>
      <c r="L150" s="187"/>
    </row>
    <row r="151" spans="1:12" s="2474" customFormat="1">
      <c r="A151" s="2169"/>
      <c r="D151" s="2578"/>
      <c r="K151" s="187"/>
      <c r="L151" s="187"/>
    </row>
    <row r="152" spans="1:12" s="2474" customFormat="1">
      <c r="A152" s="2169"/>
      <c r="D152" s="2578"/>
      <c r="K152" s="187"/>
      <c r="L152" s="187"/>
    </row>
    <row r="153" spans="1:12" s="2474" customFormat="1">
      <c r="A153" s="2169"/>
      <c r="D153" s="2578"/>
      <c r="K153" s="187"/>
      <c r="L153" s="187"/>
    </row>
    <row r="154" spans="1:12" s="2474" customFormat="1">
      <c r="A154" s="2169"/>
      <c r="D154" s="2578"/>
      <c r="K154" s="187"/>
      <c r="L154" s="187"/>
    </row>
    <row r="155" spans="1:12" s="2474" customFormat="1">
      <c r="A155" s="2169"/>
      <c r="D155" s="2578"/>
      <c r="K155" s="187"/>
      <c r="L155" s="187"/>
    </row>
    <row r="156" spans="1:12" s="2474" customFormat="1">
      <c r="A156" s="2169"/>
      <c r="D156" s="2578"/>
      <c r="K156" s="187"/>
      <c r="L156" s="187"/>
    </row>
    <row r="157" spans="1:12" s="2474" customFormat="1">
      <c r="A157" s="2169"/>
      <c r="D157" s="2578"/>
      <c r="K157" s="187"/>
      <c r="L157" s="187"/>
    </row>
    <row r="158" spans="1:12" s="2474" customFormat="1">
      <c r="A158" s="2169"/>
      <c r="D158" s="2578"/>
      <c r="K158" s="187"/>
      <c r="L158" s="187"/>
    </row>
    <row r="159" spans="1:12" s="2474" customFormat="1">
      <c r="A159" s="2169"/>
      <c r="D159" s="2578"/>
      <c r="K159" s="187"/>
      <c r="L159" s="187"/>
    </row>
    <row r="160" spans="1:12" s="2474" customFormat="1">
      <c r="A160" s="2169"/>
      <c r="D160" s="2578"/>
      <c r="K160" s="187"/>
      <c r="L160" s="187"/>
    </row>
    <row r="161" spans="1:12" s="2474" customFormat="1">
      <c r="A161" s="2169"/>
      <c r="D161" s="2578"/>
      <c r="K161" s="187"/>
      <c r="L161" s="187"/>
    </row>
    <row r="162" spans="1:12" s="2474" customFormat="1">
      <c r="A162" s="2169"/>
      <c r="D162" s="2578"/>
      <c r="K162" s="187"/>
      <c r="L162" s="187"/>
    </row>
    <row r="163" spans="1:12" s="2474" customFormat="1">
      <c r="A163" s="2169"/>
      <c r="D163" s="2578"/>
      <c r="K163" s="187"/>
      <c r="L163" s="187"/>
    </row>
    <row r="164" spans="1:12" s="2474" customFormat="1">
      <c r="A164" s="2169"/>
      <c r="D164" s="2578"/>
      <c r="K164" s="187"/>
      <c r="L164" s="187"/>
    </row>
    <row r="165" spans="1:12" s="2474" customFormat="1">
      <c r="A165" s="2169"/>
      <c r="D165" s="2578"/>
      <c r="K165" s="187"/>
      <c r="L165" s="187"/>
    </row>
    <row r="166" spans="1:12" s="2474" customFormat="1">
      <c r="A166" s="2169"/>
      <c r="D166" s="2578"/>
      <c r="K166" s="187"/>
      <c r="L166" s="187"/>
    </row>
    <row r="167" spans="1:12" s="2474" customFormat="1">
      <c r="A167" s="2169"/>
      <c r="D167" s="2578"/>
      <c r="K167" s="187"/>
      <c r="L167" s="187"/>
    </row>
    <row r="168" spans="1:12" s="2474" customFormat="1">
      <c r="A168" s="2169"/>
      <c r="D168" s="2578"/>
      <c r="K168" s="187"/>
      <c r="L168" s="187"/>
    </row>
    <row r="169" spans="1:12" s="2474" customFormat="1">
      <c r="A169" s="2169"/>
      <c r="D169" s="2578"/>
      <c r="K169" s="187"/>
      <c r="L169" s="187"/>
    </row>
    <row r="170" spans="1:12" s="2474" customFormat="1">
      <c r="A170" s="2169"/>
      <c r="D170" s="2578"/>
      <c r="K170" s="187"/>
      <c r="L170" s="187"/>
    </row>
    <row r="171" spans="1:12" s="2474" customFormat="1">
      <c r="A171" s="2169"/>
      <c r="D171" s="2578"/>
      <c r="K171" s="187"/>
      <c r="L171" s="187"/>
    </row>
    <row r="172" spans="1:12" s="2474" customFormat="1">
      <c r="A172" s="2169"/>
      <c r="D172" s="2578"/>
      <c r="K172" s="187"/>
      <c r="L172" s="187"/>
    </row>
    <row r="173" spans="1:12" s="2474" customFormat="1">
      <c r="A173" s="2169"/>
      <c r="D173" s="2578"/>
      <c r="K173" s="187"/>
      <c r="L173" s="187"/>
    </row>
    <row r="174" spans="1:12" s="2474" customFormat="1">
      <c r="A174" s="2169"/>
      <c r="D174" s="2578"/>
      <c r="K174" s="187"/>
      <c r="L174" s="187"/>
    </row>
    <row r="175" spans="1:12" s="2474" customFormat="1">
      <c r="A175" s="2169"/>
      <c r="D175" s="2578"/>
      <c r="K175" s="187"/>
      <c r="L175" s="187"/>
    </row>
    <row r="176" spans="1:12" s="2474" customFormat="1">
      <c r="A176" s="2169"/>
      <c r="D176" s="2578"/>
      <c r="K176" s="187"/>
      <c r="L176" s="187"/>
    </row>
    <row r="177" spans="1:12" s="2474" customFormat="1">
      <c r="A177" s="2169"/>
      <c r="D177" s="2578"/>
      <c r="K177" s="187"/>
      <c r="L177" s="187"/>
    </row>
    <row r="178" spans="1:12" s="2474" customFormat="1">
      <c r="A178" s="2169"/>
      <c r="D178" s="2578"/>
      <c r="K178" s="187"/>
      <c r="L178" s="187"/>
    </row>
    <row r="179" spans="1:12" s="2474" customFormat="1">
      <c r="A179" s="2169"/>
      <c r="D179" s="2578"/>
      <c r="K179" s="187"/>
      <c r="L179" s="187"/>
    </row>
    <row r="180" spans="1:12" s="2474" customFormat="1">
      <c r="A180" s="2169"/>
      <c r="D180" s="2578"/>
      <c r="K180" s="187"/>
      <c r="L180" s="187"/>
    </row>
    <row r="181" spans="1:12" s="2474" customFormat="1">
      <c r="A181" s="2169"/>
      <c r="D181" s="2578"/>
      <c r="K181" s="187"/>
      <c r="L181" s="187"/>
    </row>
    <row r="182" spans="1:12" s="2474" customFormat="1">
      <c r="A182" s="2169"/>
      <c r="D182" s="2578"/>
      <c r="K182" s="187"/>
      <c r="L182" s="187"/>
    </row>
    <row r="183" spans="1:12" s="2474" customFormat="1">
      <c r="A183" s="2169"/>
      <c r="D183" s="2578"/>
      <c r="K183" s="187"/>
      <c r="L183" s="187"/>
    </row>
    <row r="184" spans="1:12" s="2474" customFormat="1">
      <c r="A184" s="2169"/>
      <c r="D184" s="2578"/>
      <c r="K184" s="187"/>
      <c r="L184" s="187"/>
    </row>
    <row r="185" spans="1:12" s="2474" customFormat="1">
      <c r="A185" s="2169"/>
      <c r="D185" s="2578"/>
      <c r="K185" s="187"/>
      <c r="L185" s="187"/>
    </row>
    <row r="186" spans="1:12" s="2474" customFormat="1">
      <c r="A186" s="2169"/>
      <c r="D186" s="2578"/>
      <c r="K186" s="187"/>
      <c r="L186" s="187"/>
    </row>
    <row r="187" spans="1:12" s="2474" customFormat="1">
      <c r="A187" s="2169"/>
      <c r="D187" s="2578"/>
      <c r="K187" s="187"/>
      <c r="L187" s="187"/>
    </row>
    <row r="188" spans="1:12" s="2474" customFormat="1">
      <c r="A188" s="2169"/>
      <c r="D188" s="2578"/>
      <c r="K188" s="187"/>
      <c r="L188" s="187"/>
    </row>
    <row r="189" spans="1:12" s="2474" customFormat="1">
      <c r="A189" s="2169"/>
      <c r="D189" s="2578"/>
      <c r="K189" s="187"/>
      <c r="L189" s="187"/>
    </row>
    <row r="190" spans="1:12" s="2474" customFormat="1">
      <c r="A190" s="2169"/>
      <c r="D190" s="2578"/>
      <c r="K190" s="187"/>
      <c r="L190" s="187"/>
    </row>
    <row r="191" spans="1:12" s="2474" customFormat="1">
      <c r="A191" s="2169"/>
      <c r="D191" s="2578"/>
      <c r="K191" s="187"/>
      <c r="L191" s="187"/>
    </row>
    <row r="192" spans="1:12" s="2474" customFormat="1">
      <c r="A192" s="2169"/>
      <c r="D192" s="2578"/>
      <c r="K192" s="187"/>
      <c r="L192" s="187"/>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9" customWidth="1"/>
    <col min="2" max="2" width="24.5" style="2400" customWidth="1"/>
    <col min="3" max="3" width="24.5" style="2401" customWidth="1"/>
    <col min="4" max="4" width="2.625" style="2401" customWidth="1"/>
    <col min="5" max="5" width="5.875" style="2401" customWidth="1"/>
    <col min="6" max="6" width="27" style="2400" customWidth="1"/>
    <col min="7" max="7" width="27" style="2402" customWidth="1"/>
    <col min="8" max="8" width="11.875" style="2400" customWidth="1"/>
    <col min="9" max="9" width="16.75" style="2402" customWidth="1"/>
    <col min="10" max="10" width="2.625" style="2401" customWidth="1"/>
    <col min="11" max="11" width="11.875" style="2400" customWidth="1"/>
    <col min="12" max="12" width="16.75" style="2402" customWidth="1"/>
    <col min="13" max="13" width="2.625" style="2401" customWidth="1"/>
    <col min="14" max="14" width="11.875" style="2400" customWidth="1"/>
    <col min="15" max="15" width="16.75" style="2402" customWidth="1"/>
    <col min="16" max="16" width="2.625" style="2401" customWidth="1"/>
    <col min="17" max="17" width="11.875" style="2400" customWidth="1"/>
    <col min="18" max="18" width="16.75" style="2403" customWidth="1"/>
    <col min="19" max="16384" width="9" style="2399"/>
  </cols>
  <sheetData>
    <row r="1" spans="1:18" s="2397" customFormat="1" ht="18.75">
      <c r="A1" s="3250" t="s">
        <v>658</v>
      </c>
      <c r="B1" s="3251"/>
      <c r="C1" s="3251"/>
      <c r="D1" s="3251"/>
      <c r="E1" s="3251"/>
      <c r="F1" s="3251"/>
      <c r="G1" s="3251"/>
      <c r="H1" s="2404"/>
      <c r="I1" s="2460"/>
      <c r="J1" s="2461"/>
      <c r="K1" s="2404"/>
      <c r="L1" s="2460"/>
      <c r="M1" s="2461"/>
      <c r="N1" s="2404"/>
      <c r="O1" s="2460"/>
      <c r="P1" s="2461"/>
      <c r="Q1" s="2469"/>
      <c r="R1" s="2470"/>
    </row>
    <row r="2" spans="1:18">
      <c r="A2" s="2405"/>
      <c r="B2" s="2406"/>
      <c r="C2" s="2407" t="s">
        <v>659</v>
      </c>
      <c r="D2" s="2408"/>
      <c r="E2" s="2409"/>
      <c r="F2" s="2410"/>
      <c r="G2" s="2407" t="s">
        <v>164</v>
      </c>
      <c r="H2" s="2399"/>
      <c r="I2" s="2399"/>
      <c r="J2" s="2399"/>
      <c r="K2" s="2399"/>
      <c r="L2" s="2399"/>
      <c r="M2" s="2399"/>
      <c r="N2" s="2399"/>
      <c r="O2" s="2399"/>
      <c r="P2" s="2399"/>
      <c r="Q2" s="2399"/>
      <c r="R2" s="2399"/>
    </row>
    <row r="3" spans="1:18" ht="54">
      <c r="A3" s="2411" t="s">
        <v>660</v>
      </c>
      <c r="B3" s="2412" t="s">
        <v>661</v>
      </c>
      <c r="C3" s="2413" t="s">
        <v>662</v>
      </c>
      <c r="D3" s="2414"/>
      <c r="E3" s="2415" t="s">
        <v>660</v>
      </c>
      <c r="F3" s="2416" t="s">
        <v>663</v>
      </c>
      <c r="G3" s="2417" t="s">
        <v>664</v>
      </c>
      <c r="H3" s="2399"/>
      <c r="I3" s="2399"/>
      <c r="J3" s="2399"/>
      <c r="K3" s="2399"/>
      <c r="L3" s="2399"/>
      <c r="M3" s="2399"/>
      <c r="N3" s="2399"/>
      <c r="O3" s="2399"/>
      <c r="P3" s="2399"/>
      <c r="Q3" s="2399"/>
      <c r="R3" s="2399"/>
    </row>
    <row r="4" spans="1:18" ht="41.25">
      <c r="A4" s="2415"/>
      <c r="B4" s="2418" t="s">
        <v>665</v>
      </c>
      <c r="C4" s="2419" t="s">
        <v>666</v>
      </c>
      <c r="D4" s="2414"/>
      <c r="E4" s="2420"/>
      <c r="F4" s="2421" t="s">
        <v>667</v>
      </c>
      <c r="G4" s="2422" t="s">
        <v>668</v>
      </c>
      <c r="H4" s="2399"/>
      <c r="I4" s="2399"/>
      <c r="J4" s="2399"/>
      <c r="K4" s="2399"/>
      <c r="L4" s="2399"/>
      <c r="M4" s="2399"/>
      <c r="N4" s="2399"/>
      <c r="O4" s="2399"/>
      <c r="P4" s="2399"/>
      <c r="Q4" s="2399"/>
      <c r="R4" s="2399"/>
    </row>
    <row r="5" spans="1:18" ht="41.25">
      <c r="A5" s="2415"/>
      <c r="B5" s="2418" t="s">
        <v>669</v>
      </c>
      <c r="C5" s="2419" t="s">
        <v>670</v>
      </c>
      <c r="D5" s="2414"/>
      <c r="E5" s="2420"/>
      <c r="F5" s="2418" t="s">
        <v>231</v>
      </c>
      <c r="G5" s="2422" t="s">
        <v>671</v>
      </c>
      <c r="H5" s="2399"/>
      <c r="I5" s="2399"/>
      <c r="J5" s="2399"/>
      <c r="K5" s="2399"/>
      <c r="L5" s="2399"/>
      <c r="M5" s="2399"/>
      <c r="N5" s="2399"/>
      <c r="O5" s="2399"/>
      <c r="P5" s="2399"/>
      <c r="Q5" s="2399"/>
      <c r="R5" s="2399"/>
    </row>
    <row r="6" spans="1:18" ht="54">
      <c r="A6" s="2415"/>
      <c r="B6" s="2418" t="s">
        <v>667</v>
      </c>
      <c r="C6" s="2422" t="s">
        <v>668</v>
      </c>
      <c r="D6" s="2414"/>
      <c r="E6" s="2420"/>
      <c r="F6" s="2418" t="s">
        <v>232</v>
      </c>
      <c r="G6" s="2422" t="s">
        <v>672</v>
      </c>
      <c r="H6" s="2399"/>
      <c r="I6" s="2399"/>
      <c r="J6" s="2399"/>
      <c r="K6" s="2399"/>
      <c r="L6" s="2399"/>
      <c r="M6" s="2399"/>
      <c r="N6" s="2399"/>
      <c r="O6" s="2399"/>
      <c r="P6" s="2399"/>
      <c r="Q6" s="2399"/>
      <c r="R6" s="2399"/>
    </row>
    <row r="7" spans="1:18" ht="40.5">
      <c r="A7" s="2415"/>
      <c r="B7" s="2418" t="s">
        <v>231</v>
      </c>
      <c r="C7" s="2422" t="s">
        <v>671</v>
      </c>
      <c r="D7" s="2423"/>
      <c r="E7" s="2424"/>
      <c r="F7" s="2425" t="s">
        <v>673</v>
      </c>
      <c r="G7" s="2426" t="s">
        <v>674</v>
      </c>
      <c r="H7" s="2399"/>
      <c r="I7" s="2399"/>
      <c r="J7" s="2399"/>
      <c r="K7" s="2399"/>
      <c r="L7" s="2399"/>
      <c r="M7" s="2399"/>
      <c r="N7" s="2399"/>
      <c r="O7" s="2399"/>
      <c r="P7" s="2399"/>
      <c r="Q7" s="2399"/>
      <c r="R7" s="2399"/>
    </row>
    <row r="8" spans="1:18" ht="27">
      <c r="A8" s="2415"/>
      <c r="B8" s="2418" t="s">
        <v>232</v>
      </c>
      <c r="C8" s="2422" t="s">
        <v>672</v>
      </c>
      <c r="D8" s="2423"/>
      <c r="E8" s="2423"/>
      <c r="F8" s="2427"/>
      <c r="G8" s="2427"/>
      <c r="H8" s="2399"/>
      <c r="I8" s="2399"/>
      <c r="J8" s="2399"/>
      <c r="K8" s="2399"/>
      <c r="L8" s="2399"/>
      <c r="M8" s="2399"/>
      <c r="N8" s="2399"/>
      <c r="O8" s="2399"/>
      <c r="P8" s="2399"/>
      <c r="Q8" s="2399"/>
      <c r="R8" s="2399"/>
    </row>
    <row r="9" spans="1:18" ht="40.5">
      <c r="A9" s="2415"/>
      <c r="B9" s="2418" t="s">
        <v>675</v>
      </c>
      <c r="C9" s="2419" t="s">
        <v>676</v>
      </c>
      <c r="D9" s="2414"/>
      <c r="E9" s="2423"/>
      <c r="F9" s="2427"/>
      <c r="G9" s="2427"/>
      <c r="H9" s="2399"/>
      <c r="I9" s="2399"/>
      <c r="J9" s="2399"/>
      <c r="K9" s="2399"/>
      <c r="L9" s="2399"/>
      <c r="M9" s="2399"/>
      <c r="N9" s="2399"/>
      <c r="O9" s="2399"/>
      <c r="P9" s="2399"/>
      <c r="Q9" s="2399"/>
      <c r="R9" s="2399"/>
    </row>
    <row r="10" spans="1:18" s="2398" customFormat="1" ht="14.25">
      <c r="A10" s="2428"/>
      <c r="B10" s="2429" t="s">
        <v>677</v>
      </c>
      <c r="C10" s="2430"/>
      <c r="D10" s="2414"/>
      <c r="E10" s="2414"/>
      <c r="F10" s="2427"/>
      <c r="G10" s="2427"/>
      <c r="H10" s="2431"/>
      <c r="I10" s="2462"/>
      <c r="J10" s="2463"/>
      <c r="K10" s="2431"/>
      <c r="L10" s="2462"/>
      <c r="M10" s="2463"/>
      <c r="N10" s="2431"/>
      <c r="O10" s="2462"/>
      <c r="P10" s="2463"/>
      <c r="Q10" s="2431"/>
      <c r="R10" s="2462"/>
    </row>
    <row r="11" spans="1:18" s="2398" customFormat="1">
      <c r="A11" s="2432"/>
      <c r="B11" s="2423"/>
      <c r="C11" s="2414"/>
      <c r="D11" s="2414"/>
      <c r="E11" s="2414"/>
      <c r="F11" s="2423"/>
      <c r="G11" s="2433"/>
      <c r="H11" s="2431"/>
      <c r="I11" s="2462"/>
      <c r="J11" s="2463"/>
      <c r="K11" s="2431"/>
      <c r="L11" s="2462"/>
      <c r="M11" s="2463"/>
      <c r="N11" s="2431"/>
      <c r="O11" s="2462"/>
      <c r="P11" s="2463"/>
      <c r="Q11" s="2431"/>
      <c r="R11" s="2462"/>
    </row>
    <row r="12" spans="1:18" s="2397" customFormat="1" ht="18.75">
      <c r="A12" s="2432"/>
      <c r="B12" s="2423"/>
      <c r="C12" s="2414"/>
      <c r="D12" s="2434"/>
      <c r="E12" s="2414"/>
      <c r="F12" s="2423"/>
      <c r="G12" s="2433"/>
      <c r="H12" s="2435"/>
      <c r="I12" s="2464"/>
      <c r="J12" s="2435"/>
      <c r="K12" s="2435"/>
      <c r="L12" s="2465"/>
      <c r="M12" s="2435"/>
      <c r="N12" s="2466"/>
      <c r="O12" s="2467"/>
      <c r="P12" s="2468"/>
      <c r="Q12" s="2466"/>
      <c r="R12" s="2470"/>
    </row>
    <row r="13" spans="1:18" ht="18.75">
      <c r="A13" s="2436" t="s">
        <v>678</v>
      </c>
      <c r="B13" s="2434"/>
      <c r="C13" s="2434"/>
      <c r="D13" s="2408"/>
      <c r="E13" s="2434"/>
      <c r="F13" s="2434"/>
      <c r="G13" s="2434"/>
    </row>
    <row r="14" spans="1:18">
      <c r="A14" s="2437"/>
      <c r="B14" s="2438"/>
      <c r="C14" s="2439" t="s">
        <v>659</v>
      </c>
      <c r="D14" s="2414"/>
      <c r="E14" s="2440"/>
      <c r="F14" s="2440"/>
      <c r="G14" s="2407" t="s">
        <v>164</v>
      </c>
    </row>
    <row r="15" spans="1:18" ht="54">
      <c r="A15" s="2441" t="s">
        <v>660</v>
      </c>
      <c r="B15" s="2442" t="s">
        <v>661</v>
      </c>
      <c r="C15" s="2443" t="str">
        <f>C3</f>
        <v>估价对象周边居住用地比例、居住小区规模和社区发展完善程度，综合评价居住社区成熟度一般</v>
      </c>
      <c r="D15" s="2414"/>
      <c r="E15" s="2444" t="s">
        <v>660</v>
      </c>
      <c r="F15" s="2442" t="s">
        <v>663</v>
      </c>
      <c r="G15" s="2445" t="str">
        <f>G3</f>
        <v>估价对象位于XX开发区，园区建设成熟度XX，产业集聚程度XX</v>
      </c>
    </row>
    <row r="16" spans="1:18" ht="40.5">
      <c r="A16" s="2446"/>
      <c r="B16" s="2447" t="s">
        <v>665</v>
      </c>
      <c r="C16" s="2448" t="str">
        <f>C4</f>
        <v>估价对象位于XX商圈，周边商业氛围成熟，人流量大，商业繁华度好</v>
      </c>
      <c r="D16" s="2414"/>
      <c r="E16" s="2449"/>
      <c r="F16" s="2450" t="s">
        <v>667</v>
      </c>
      <c r="G16" s="2451" t="str">
        <f>G4</f>
        <v>估价对象周边道路状况、公共交通通达情况、停车便捷程度，综合评价交通便捷度较好</v>
      </c>
    </row>
    <row r="17" spans="1:7" ht="40.5">
      <c r="A17" s="2446"/>
      <c r="B17" s="2447" t="s">
        <v>669</v>
      </c>
      <c r="C17" s="2448" t="str">
        <f>C5</f>
        <v>估价对象位于XX商圈，周边办公楼项目较多，入驻率高，办公集聚程度较好</v>
      </c>
      <c r="D17" s="2423"/>
      <c r="E17" s="2449"/>
      <c r="F17" s="2450" t="s">
        <v>679</v>
      </c>
      <c r="G17" s="1818"/>
    </row>
    <row r="18" spans="1:7" ht="54">
      <c r="A18" s="2446"/>
      <c r="B18" s="2450" t="s">
        <v>667</v>
      </c>
      <c r="C18" s="2451" t="str">
        <f>C6</f>
        <v>估价对象周边道路状况、公共交通通达情况、停车便捷程度，综合评价交通便捷度较好</v>
      </c>
      <c r="D18" s="2423"/>
      <c r="E18" s="2449"/>
      <c r="F18" s="2450" t="s">
        <v>673</v>
      </c>
      <c r="G18" s="2451" t="str">
        <f>G7</f>
        <v>该园区内是否有污染型企业，绿化情况，卫生条件，整体环境状况判断</v>
      </c>
    </row>
    <row r="19" spans="1:7" ht="27">
      <c r="A19" s="2446"/>
      <c r="B19" s="2450" t="s">
        <v>679</v>
      </c>
      <c r="C19" s="1818"/>
      <c r="D19" s="2414"/>
      <c r="E19" s="2449"/>
      <c r="F19" s="2418" t="s">
        <v>231</v>
      </c>
      <c r="G19" s="2451" t="str">
        <f>G5</f>
        <v>估价对象所在区域公共配套设施齐备情况</v>
      </c>
    </row>
    <row r="20" spans="1:7" ht="40.5">
      <c r="A20" s="2446"/>
      <c r="B20" s="2450" t="s">
        <v>680</v>
      </c>
      <c r="C20" s="2448" t="str">
        <f>C9</f>
        <v>区域自然环境：；人文环境；综合评价环境状况一般</v>
      </c>
      <c r="D20" s="2423"/>
      <c r="E20" s="2449"/>
      <c r="F20" s="2418" t="s">
        <v>232</v>
      </c>
      <c r="G20" s="2451" t="str">
        <f>G6</f>
        <v>估价对象所在区域基础设施水平</v>
      </c>
    </row>
    <row r="21" spans="1:7" ht="27">
      <c r="A21" s="2446"/>
      <c r="B21" s="2418" t="s">
        <v>231</v>
      </c>
      <c r="C21" s="2451" t="str">
        <f>C7</f>
        <v>估价对象所在区域公共配套设施齐备情况</v>
      </c>
      <c r="D21" s="2414"/>
      <c r="E21" s="2449"/>
      <c r="F21" s="2450" t="s">
        <v>681</v>
      </c>
      <c r="G21" s="2452"/>
    </row>
    <row r="22" spans="1:7" ht="27">
      <c r="A22" s="2446"/>
      <c r="B22" s="2418" t="s">
        <v>232</v>
      </c>
      <c r="C22" s="2451" t="str">
        <f>C8</f>
        <v>估价对象所在区域基础设施水平</v>
      </c>
      <c r="D22" s="2414"/>
      <c r="E22" s="2449"/>
      <c r="F22" s="2450" t="s">
        <v>677</v>
      </c>
      <c r="G22" s="1818"/>
    </row>
    <row r="23" spans="1:7" ht="14.25">
      <c r="A23" s="2446"/>
      <c r="B23" s="2450" t="s">
        <v>681</v>
      </c>
      <c r="C23" s="2452"/>
      <c r="E23" s="2453"/>
      <c r="F23" s="2454" t="s">
        <v>217</v>
      </c>
      <c r="G23" s="2455"/>
    </row>
    <row r="24" spans="1:7">
      <c r="A24" s="2456"/>
      <c r="B24" s="2454" t="s">
        <v>677</v>
      </c>
      <c r="C24" s="2457">
        <f>C10</f>
        <v>0</v>
      </c>
      <c r="E24" s="2458"/>
      <c r="F24" s="2458"/>
      <c r="G24" s="2459"/>
    </row>
    <row r="25" spans="1:7">
      <c r="E25" s="2399"/>
      <c r="F25" s="2399"/>
      <c r="G25" s="2399"/>
    </row>
    <row r="26" spans="1:7">
      <c r="E26" s="2399"/>
      <c r="F26" s="2399"/>
      <c r="G26" s="2399"/>
    </row>
    <row r="27" spans="1:7">
      <c r="E27" s="2399"/>
      <c r="F27" s="2399"/>
      <c r="G27" s="2399"/>
    </row>
    <row r="28" spans="1:7">
      <c r="E28" s="2399"/>
      <c r="F28" s="2399"/>
      <c r="G28" s="2399"/>
    </row>
    <row r="29" spans="1:7">
      <c r="E29" s="2399"/>
      <c r="F29" s="2399"/>
      <c r="G29" s="2399"/>
    </row>
    <row r="30" spans="1:7">
      <c r="E30" s="2399"/>
      <c r="F30" s="2399"/>
      <c r="G30" s="2399"/>
    </row>
    <row r="31" spans="1:7">
      <c r="E31" s="2399"/>
      <c r="F31" s="2399"/>
      <c r="G31" s="2399"/>
    </row>
    <row r="32" spans="1:7">
      <c r="E32" s="2399"/>
      <c r="F32" s="2399"/>
      <c r="G32" s="2399"/>
    </row>
    <row r="33" spans="5:7">
      <c r="E33" s="2399"/>
      <c r="F33" s="2399"/>
      <c r="G33" s="2399"/>
    </row>
    <row r="34" spans="5:7">
      <c r="E34" s="2399"/>
      <c r="F34" s="2399"/>
      <c r="G34" s="2399"/>
    </row>
    <row r="35" spans="5:7">
      <c r="E35" s="2399"/>
      <c r="F35" s="2399"/>
      <c r="G35" s="2399"/>
    </row>
    <row r="36" spans="5:7">
      <c r="E36" s="2399"/>
      <c r="F36" s="2399"/>
      <c r="G36" s="2399"/>
    </row>
    <row r="37" spans="5:7">
      <c r="E37" s="2399"/>
      <c r="F37" s="2399"/>
      <c r="G37" s="2399"/>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2388" t="s">
        <v>682</v>
      </c>
      <c r="B1" s="2388">
        <f>SUM(B14:B23)</f>
        <v>208542.99</v>
      </c>
      <c r="C1" s="2389"/>
      <c r="D1" s="2389"/>
      <c r="E1" s="2389"/>
      <c r="F1" s="2389"/>
    </row>
    <row r="2" spans="1:9" ht="16.5">
      <c r="A2" s="2388" t="s">
        <v>683</v>
      </c>
      <c r="B2" s="2388">
        <f>SUM(C14:C23)</f>
        <v>109589</v>
      </c>
      <c r="C2" s="2389"/>
      <c r="D2" s="2389"/>
      <c r="E2" s="2389"/>
      <c r="F2" s="2389"/>
    </row>
    <row r="3" spans="1:9" ht="16.5">
      <c r="A3" s="2388" t="s">
        <v>684</v>
      </c>
      <c r="B3" s="2390">
        <f>项目基本情况!D3</f>
        <v>43900</v>
      </c>
      <c r="C3" s="2389"/>
      <c r="D3" s="2389"/>
      <c r="E3" s="2389"/>
      <c r="F3" s="2389"/>
    </row>
    <row r="4" spans="1:9" ht="33">
      <c r="A4" s="2388" t="s">
        <v>357</v>
      </c>
      <c r="B4" s="2388" t="s">
        <v>685</v>
      </c>
      <c r="C4" s="2388" t="s">
        <v>686</v>
      </c>
      <c r="D4" s="2388" t="s">
        <v>687</v>
      </c>
      <c r="E4" s="2389"/>
      <c r="F4" s="2389"/>
    </row>
    <row r="5" spans="1:9" ht="16.5">
      <c r="A5" s="2388" t="s">
        <v>688</v>
      </c>
      <c r="B5" s="2388">
        <f ca="1">SUM(D14:D23)</f>
        <v>128958</v>
      </c>
      <c r="C5" s="2388">
        <f ca="1">ROUND(B5*10000/$B$1,0)</f>
        <v>6184</v>
      </c>
      <c r="D5" s="2388">
        <f ca="1">ROUND(B5*10000/$B$2,0)</f>
        <v>11767</v>
      </c>
      <c r="E5" s="2389"/>
      <c r="F5" s="2389"/>
    </row>
    <row r="6" spans="1:9" ht="16.5">
      <c r="A6" s="2388" t="s">
        <v>689</v>
      </c>
      <c r="B6" s="2388">
        <f ca="1">SUM(G14:G23)</f>
        <v>128958</v>
      </c>
      <c r="C6" s="2388">
        <f t="shared" ref="C6:C8" ca="1" si="0">ROUND(B6*10000/$B$1,0)</f>
        <v>6184</v>
      </c>
      <c r="D6" s="2388">
        <f t="shared" ref="D6:D8" ca="1" si="1">ROUND(B6*10000/$B$2,0)</f>
        <v>11767</v>
      </c>
      <c r="E6" s="2389"/>
      <c r="F6" s="2389"/>
    </row>
    <row r="7" spans="1:9" ht="16.5">
      <c r="A7" s="2388" t="s">
        <v>690</v>
      </c>
      <c r="B7" s="2388">
        <f>SUM(H14:H23)</f>
        <v>0</v>
      </c>
      <c r="C7" s="2388">
        <f t="shared" si="0"/>
        <v>0</v>
      </c>
      <c r="D7" s="2388">
        <f t="shared" si="1"/>
        <v>0</v>
      </c>
      <c r="E7" s="2389"/>
      <c r="F7" s="2389"/>
    </row>
    <row r="8" spans="1:9" ht="16.5">
      <c r="A8" s="2388" t="s">
        <v>343</v>
      </c>
      <c r="B8" s="2388">
        <f>SUM(I14:I23)</f>
        <v>0</v>
      </c>
      <c r="C8" s="2388">
        <f t="shared" si="0"/>
        <v>0</v>
      </c>
      <c r="D8" s="2388">
        <f t="shared" si="1"/>
        <v>0</v>
      </c>
      <c r="E8" s="2389"/>
      <c r="F8" s="2389"/>
    </row>
    <row r="9" spans="1:9" ht="16.5">
      <c r="A9" s="2388" t="s">
        <v>691</v>
      </c>
      <c r="B9" s="2391"/>
      <c r="C9" s="2389"/>
      <c r="D9" s="2389"/>
      <c r="E9" s="2389"/>
      <c r="F9" s="2389"/>
    </row>
    <row r="10" spans="1:9" ht="16.5">
      <c r="A10" s="2388" t="s">
        <v>692</v>
      </c>
      <c r="B10" s="2391"/>
      <c r="C10" s="2389"/>
      <c r="D10" s="2389"/>
      <c r="E10" s="2389"/>
      <c r="F10" s="2389"/>
    </row>
    <row r="11" spans="1:9" ht="16.5">
      <c r="A11" s="2388" t="s">
        <v>693</v>
      </c>
      <c r="B11" s="2391"/>
      <c r="C11" s="2389"/>
      <c r="D11" s="2389"/>
      <c r="E11" s="2389"/>
      <c r="F11" s="2389"/>
    </row>
    <row r="12" spans="1:9" ht="16.5">
      <c r="A12" s="2389"/>
      <c r="B12" s="2389"/>
      <c r="C12" s="2389"/>
      <c r="D12" s="2389"/>
      <c r="E12" s="2389"/>
      <c r="F12" s="2389"/>
    </row>
    <row r="13" spans="1:9" ht="33">
      <c r="A13" s="2392" t="s">
        <v>694</v>
      </c>
      <c r="B13" s="2393" t="s">
        <v>682</v>
      </c>
      <c r="C13" s="2393" t="s">
        <v>683</v>
      </c>
      <c r="D13" s="2393" t="s">
        <v>695</v>
      </c>
      <c r="E13" s="2388" t="s">
        <v>686</v>
      </c>
      <c r="F13" s="2388" t="s">
        <v>687</v>
      </c>
      <c r="G13" s="2393" t="s">
        <v>696</v>
      </c>
      <c r="H13" s="2393" t="s">
        <v>697</v>
      </c>
      <c r="I13" s="2393" t="s">
        <v>698</v>
      </c>
    </row>
    <row r="14" spans="1:9" ht="16.5">
      <c r="A14" s="2394" t="s">
        <v>699</v>
      </c>
      <c r="B14" s="2393">
        <f>结果表!L38</f>
        <v>128526.97</v>
      </c>
      <c r="C14" s="2393">
        <f>结果表!K38</f>
        <v>66881</v>
      </c>
      <c r="D14" s="2393">
        <f ca="1">结果表!C42</f>
        <v>82019</v>
      </c>
      <c r="E14" s="2393">
        <f ca="1">ROUND(D14*10000/B14,0)</f>
        <v>6381</v>
      </c>
      <c r="F14" s="2393">
        <f ca="1">ROUND(D14*10000/C14,0)</f>
        <v>12263</v>
      </c>
      <c r="G14" s="2393">
        <f ca="1">结果表!C44</f>
        <v>82019</v>
      </c>
      <c r="H14" s="2393" t="str">
        <f>结果表!C45</f>
        <v>——</v>
      </c>
      <c r="I14" s="2393" t="str">
        <f>结果表!C46</f>
        <v>——</v>
      </c>
    </row>
    <row r="15" spans="1:9" ht="16.5">
      <c r="A15" s="2394" t="s">
        <v>700</v>
      </c>
      <c r="B15" s="2395">
        <f>[1]系统读取表!$B$14</f>
        <v>80016.02</v>
      </c>
      <c r="C15" s="2395">
        <f>[1]系统读取表!$C$14</f>
        <v>42708</v>
      </c>
      <c r="D15" s="2395">
        <f ca="1">[1]系统读取表!$D$14</f>
        <v>46939</v>
      </c>
      <c r="E15" s="2393">
        <f t="shared" ref="E15:E23" ca="1" si="2">ROUND(D15*10000/B15,0)</f>
        <v>5866</v>
      </c>
      <c r="F15" s="2393">
        <f t="shared" ref="F15:F23" ca="1" si="3">ROUND(D15*10000/C15,0)</f>
        <v>10991</v>
      </c>
      <c r="G15" s="2396">
        <f ca="1">D15</f>
        <v>46939</v>
      </c>
      <c r="H15" s="2396"/>
      <c r="I15" s="2395"/>
    </row>
    <row r="16" spans="1:9" ht="16.5">
      <c r="A16" s="2394" t="s">
        <v>701</v>
      </c>
      <c r="B16" s="2395"/>
      <c r="C16" s="2395"/>
      <c r="D16" s="2395"/>
      <c r="E16" s="2393" t="e">
        <f t="shared" si="2"/>
        <v>#DIV/0!</v>
      </c>
      <c r="F16" s="2393" t="e">
        <f t="shared" si="3"/>
        <v>#DIV/0!</v>
      </c>
      <c r="G16" s="2396"/>
      <c r="H16" s="2396"/>
      <c r="I16" s="2395"/>
    </row>
    <row r="17" spans="1:9" ht="16.5">
      <c r="A17" s="2394" t="s">
        <v>702</v>
      </c>
      <c r="B17" s="2395"/>
      <c r="C17" s="2395"/>
      <c r="D17" s="2395"/>
      <c r="E17" s="2393" t="e">
        <f t="shared" si="2"/>
        <v>#DIV/0!</v>
      </c>
      <c r="F17" s="2393" t="e">
        <f t="shared" si="3"/>
        <v>#DIV/0!</v>
      </c>
      <c r="G17" s="2396"/>
      <c r="H17" s="2396"/>
      <c r="I17" s="2395"/>
    </row>
    <row r="18" spans="1:9" ht="16.5">
      <c r="A18" s="2394" t="s">
        <v>703</v>
      </c>
      <c r="B18" s="2395"/>
      <c r="C18" s="2395"/>
      <c r="D18" s="2395"/>
      <c r="E18" s="2393" t="e">
        <f t="shared" si="2"/>
        <v>#DIV/0!</v>
      </c>
      <c r="F18" s="2393" t="e">
        <f t="shared" si="3"/>
        <v>#DIV/0!</v>
      </c>
      <c r="G18" s="2395"/>
      <c r="H18" s="2395"/>
      <c r="I18" s="2395"/>
    </row>
    <row r="19" spans="1:9" ht="16.5">
      <c r="A19" s="2394" t="s">
        <v>704</v>
      </c>
      <c r="B19" s="2395"/>
      <c r="C19" s="2395"/>
      <c r="D19" s="2395"/>
      <c r="E19" s="2393" t="e">
        <f t="shared" si="2"/>
        <v>#DIV/0!</v>
      </c>
      <c r="F19" s="2393" t="e">
        <f t="shared" si="3"/>
        <v>#DIV/0!</v>
      </c>
      <c r="G19" s="2395"/>
      <c r="H19" s="2395"/>
      <c r="I19" s="2395"/>
    </row>
    <row r="20" spans="1:9" ht="16.5">
      <c r="A20" s="2394" t="s">
        <v>705</v>
      </c>
      <c r="B20" s="2395"/>
      <c r="C20" s="2395"/>
      <c r="D20" s="2395"/>
      <c r="E20" s="2393" t="e">
        <f t="shared" si="2"/>
        <v>#DIV/0!</v>
      </c>
      <c r="F20" s="2393" t="e">
        <f t="shared" si="3"/>
        <v>#DIV/0!</v>
      </c>
      <c r="G20" s="2395"/>
      <c r="H20" s="2395"/>
      <c r="I20" s="2395"/>
    </row>
    <row r="21" spans="1:9" ht="16.5">
      <c r="A21" s="2394" t="s">
        <v>706</v>
      </c>
      <c r="B21" s="2395"/>
      <c r="C21" s="2395"/>
      <c r="D21" s="2395"/>
      <c r="E21" s="2393" t="e">
        <f t="shared" si="2"/>
        <v>#DIV/0!</v>
      </c>
      <c r="F21" s="2393" t="e">
        <f t="shared" si="3"/>
        <v>#DIV/0!</v>
      </c>
      <c r="G21" s="2395"/>
      <c r="H21" s="2395"/>
      <c r="I21" s="2395"/>
    </row>
    <row r="22" spans="1:9" ht="16.5">
      <c r="A22" s="2394" t="s">
        <v>707</v>
      </c>
      <c r="B22" s="2395"/>
      <c r="C22" s="2395"/>
      <c r="D22" s="2395"/>
      <c r="E22" s="2393" t="e">
        <f t="shared" si="2"/>
        <v>#DIV/0!</v>
      </c>
      <c r="F22" s="2393" t="e">
        <f t="shared" si="3"/>
        <v>#DIV/0!</v>
      </c>
      <c r="G22" s="2395"/>
      <c r="H22" s="2395"/>
      <c r="I22" s="2395"/>
    </row>
    <row r="23" spans="1:9" ht="16.5">
      <c r="A23" s="2394" t="s">
        <v>708</v>
      </c>
      <c r="B23" s="2395"/>
      <c r="C23" s="2395"/>
      <c r="D23" s="2395"/>
      <c r="E23" s="2388" t="e">
        <f t="shared" si="2"/>
        <v>#DIV/0!</v>
      </c>
      <c r="F23" s="2388" t="e">
        <f t="shared" si="3"/>
        <v>#DIV/0!</v>
      </c>
      <c r="G23" s="2395"/>
      <c r="H23" s="2395"/>
      <c r="I23" s="2395"/>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3" zoomScaleNormal="100" zoomScaleSheetLayoutView="100" workbookViewId="0">
      <selection activeCell="E30" sqref="E3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2" t="s">
        <v>709</v>
      </c>
      <c r="B1" s="2063"/>
      <c r="C1" s="2064" t="s">
        <v>710</v>
      </c>
      <c r="D1" s="2065"/>
      <c r="E1" s="2064" t="s">
        <v>711</v>
      </c>
      <c r="F1" s="2066"/>
      <c r="G1" s="115"/>
      <c r="H1" s="115"/>
      <c r="I1" s="115"/>
      <c r="J1" s="180"/>
      <c r="K1" s="180"/>
      <c r="L1" s="180"/>
      <c r="M1" s="180"/>
      <c r="N1" s="180"/>
      <c r="O1" s="180"/>
      <c r="P1" s="180"/>
      <c r="Q1" s="180"/>
      <c r="R1" s="180"/>
      <c r="S1" s="180"/>
      <c r="T1" s="180"/>
      <c r="U1" s="180"/>
      <c r="V1" s="180"/>
    </row>
    <row r="2" spans="1:22" ht="21.75" customHeight="1">
      <c r="A2" s="3252" t="str">
        <f>项目基本情况!K2</f>
        <v>出让国有建设用地使用权</v>
      </c>
      <c r="B2" s="3253"/>
      <c r="C2" s="3254"/>
      <c r="D2" s="3254"/>
      <c r="E2" s="3254"/>
      <c r="F2" s="3254"/>
      <c r="G2" s="3253"/>
      <c r="H2" s="3253"/>
      <c r="I2" s="3255"/>
      <c r="J2" s="2178"/>
      <c r="K2" s="180"/>
      <c r="L2" s="180"/>
      <c r="M2" s="180"/>
      <c r="N2" s="180"/>
      <c r="O2" s="180"/>
      <c r="P2" s="180"/>
      <c r="Q2" s="180"/>
      <c r="R2" s="180"/>
      <c r="S2" s="180"/>
      <c r="T2" s="180"/>
      <c r="U2" s="180"/>
      <c r="V2" s="180"/>
    </row>
    <row r="3" spans="1:22" ht="14.25">
      <c r="A3" s="3256" t="s">
        <v>712</v>
      </c>
      <c r="B3" s="3257"/>
      <c r="C3" s="3257"/>
      <c r="D3" s="3257"/>
      <c r="E3" s="3257"/>
      <c r="F3" s="3257"/>
      <c r="G3" s="3257"/>
      <c r="H3" s="3257"/>
      <c r="I3" s="3257"/>
      <c r="J3" s="2178"/>
      <c r="K3" s="180"/>
      <c r="L3" s="180"/>
      <c r="M3" s="180"/>
      <c r="N3" s="180"/>
      <c r="O3" s="180"/>
      <c r="P3" s="180"/>
      <c r="Q3" s="180"/>
      <c r="R3" s="180"/>
      <c r="S3" s="180"/>
      <c r="T3" s="180"/>
      <c r="U3" s="180"/>
      <c r="V3" s="180"/>
    </row>
    <row r="4" spans="1:22" ht="14.25">
      <c r="A4" s="2067" t="s">
        <v>713</v>
      </c>
      <c r="B4" s="2031" t="s">
        <v>714</v>
      </c>
      <c r="C4" s="1110" t="s">
        <v>715</v>
      </c>
      <c r="D4" s="1110" t="s">
        <v>716</v>
      </c>
      <c r="E4" s="3258" t="s">
        <v>717</v>
      </c>
      <c r="F4" s="3259"/>
      <c r="G4" s="3259"/>
      <c r="H4" s="3259"/>
      <c r="I4" s="3260"/>
      <c r="J4" s="2178"/>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09" t="s">
        <v>718</v>
      </c>
      <c r="B5" s="3312">
        <v>25</v>
      </c>
      <c r="C5" s="3313"/>
      <c r="D5" s="3316"/>
      <c r="E5" s="866" t="s">
        <v>719</v>
      </c>
      <c r="F5" s="2070"/>
      <c r="G5" s="2070"/>
      <c r="H5" s="2070"/>
      <c r="I5" s="2180"/>
      <c r="J5" s="2178"/>
      <c r="K5" s="180"/>
      <c r="L5" s="180"/>
      <c r="M5" s="180"/>
      <c r="N5" s="180"/>
      <c r="O5" s="180"/>
      <c r="P5" s="180"/>
      <c r="Q5" s="180"/>
      <c r="R5" s="180"/>
      <c r="S5" s="180"/>
      <c r="T5" s="180"/>
      <c r="U5" s="180"/>
      <c r="V5" s="180"/>
    </row>
    <row r="6" spans="1:22" ht="14.25">
      <c r="A6" s="3309"/>
      <c r="B6" s="3312"/>
      <c r="C6" s="3314"/>
      <c r="D6" s="3316"/>
      <c r="E6" s="866" t="s">
        <v>720</v>
      </c>
      <c r="F6" s="2070"/>
      <c r="G6" s="2070"/>
      <c r="H6" s="2070"/>
      <c r="I6" s="2180"/>
      <c r="J6" s="2178"/>
      <c r="K6" s="180"/>
      <c r="L6" s="180"/>
      <c r="M6" s="180"/>
      <c r="N6" s="180"/>
      <c r="O6" s="180"/>
      <c r="P6" s="180"/>
      <c r="Q6" s="180"/>
      <c r="R6" s="180"/>
      <c r="S6" s="180"/>
      <c r="T6" s="180"/>
      <c r="U6" s="180"/>
      <c r="V6" s="180"/>
    </row>
    <row r="7" spans="1:22" ht="14.25">
      <c r="A7" s="3309"/>
      <c r="B7" s="3312"/>
      <c r="C7" s="3315"/>
      <c r="D7" s="3316"/>
      <c r="E7" s="866" t="s">
        <v>721</v>
      </c>
      <c r="F7" s="2070"/>
      <c r="G7" s="2070"/>
      <c r="H7" s="2070"/>
      <c r="I7" s="2180"/>
      <c r="J7" s="2178"/>
      <c r="K7" s="180"/>
      <c r="L7" s="180"/>
      <c r="M7" s="180"/>
      <c r="N7" s="180"/>
      <c r="O7" s="180"/>
      <c r="P7" s="180"/>
      <c r="Q7" s="180"/>
      <c r="R7" s="180"/>
      <c r="S7" s="180"/>
      <c r="T7" s="180"/>
      <c r="U7" s="180"/>
      <c r="V7" s="180"/>
    </row>
    <row r="8" spans="1:22" ht="14.25">
      <c r="A8" s="3309" t="s">
        <v>722</v>
      </c>
      <c r="B8" s="3312">
        <v>15</v>
      </c>
      <c r="C8" s="3313"/>
      <c r="D8" s="3316"/>
      <c r="E8" s="866" t="s">
        <v>723</v>
      </c>
      <c r="F8" s="2070"/>
      <c r="G8" s="2070"/>
      <c r="H8" s="2070"/>
      <c r="I8" s="2180"/>
      <c r="J8" s="2178"/>
      <c r="K8" s="180"/>
      <c r="L8" s="180"/>
      <c r="M8" s="180"/>
      <c r="N8" s="180"/>
      <c r="O8" s="180"/>
      <c r="P8" s="180"/>
      <c r="Q8" s="180"/>
      <c r="R8" s="180"/>
      <c r="S8" s="180"/>
      <c r="T8" s="180"/>
      <c r="U8" s="180"/>
      <c r="V8" s="180"/>
    </row>
    <row r="9" spans="1:22" ht="14.25">
      <c r="A9" s="3309"/>
      <c r="B9" s="3312"/>
      <c r="C9" s="3315"/>
      <c r="D9" s="3316"/>
      <c r="E9" s="866" t="s">
        <v>724</v>
      </c>
      <c r="F9" s="2070"/>
      <c r="G9" s="2070"/>
      <c r="H9" s="2070"/>
      <c r="I9" s="2180"/>
      <c r="J9" s="2178"/>
      <c r="K9" s="180"/>
      <c r="L9" s="180"/>
      <c r="M9" s="180"/>
      <c r="N9" s="180"/>
      <c r="O9" s="180"/>
      <c r="P9" s="180"/>
      <c r="Q9" s="180"/>
      <c r="R9" s="180"/>
      <c r="S9" s="180"/>
      <c r="T9" s="180"/>
      <c r="U9" s="180"/>
      <c r="V9" s="180"/>
    </row>
    <row r="10" spans="1:22" ht="14.25">
      <c r="A10" s="3309" t="s">
        <v>725</v>
      </c>
      <c r="B10" s="3312">
        <v>15</v>
      </c>
      <c r="C10" s="3313"/>
      <c r="D10" s="3316"/>
      <c r="E10" s="866" t="s">
        <v>726</v>
      </c>
      <c r="F10" s="2070"/>
      <c r="G10" s="2070"/>
      <c r="H10" s="2070"/>
      <c r="I10" s="2180"/>
      <c r="J10" s="2178"/>
      <c r="K10" s="180"/>
      <c r="L10" s="180"/>
      <c r="M10" s="180"/>
      <c r="N10" s="180"/>
      <c r="O10" s="180"/>
      <c r="P10" s="180"/>
      <c r="Q10" s="180"/>
      <c r="R10" s="180"/>
      <c r="S10" s="180"/>
      <c r="T10" s="180"/>
      <c r="U10" s="180"/>
      <c r="V10" s="180"/>
    </row>
    <row r="11" spans="1:22" ht="14.25">
      <c r="A11" s="3309"/>
      <c r="B11" s="3312"/>
      <c r="C11" s="3315"/>
      <c r="D11" s="3316"/>
      <c r="E11" s="866" t="s">
        <v>727</v>
      </c>
      <c r="F11" s="2070"/>
      <c r="G11" s="2070"/>
      <c r="H11" s="2070"/>
      <c r="I11" s="2180"/>
      <c r="J11" s="2178"/>
      <c r="K11" s="180"/>
      <c r="L11" s="180"/>
      <c r="M11" s="180"/>
      <c r="N11" s="180"/>
      <c r="O11" s="180"/>
      <c r="P11" s="180"/>
      <c r="Q11" s="180"/>
      <c r="R11" s="180"/>
      <c r="S11" s="180"/>
      <c r="T11" s="180"/>
      <c r="U11" s="180"/>
      <c r="V11" s="180"/>
    </row>
    <row r="12" spans="1:22" ht="14.25">
      <c r="A12" s="3309" t="s">
        <v>728</v>
      </c>
      <c r="B12" s="3312">
        <v>15</v>
      </c>
      <c r="C12" s="3313"/>
      <c r="D12" s="3316"/>
      <c r="E12" s="866" t="s">
        <v>729</v>
      </c>
      <c r="F12" s="2070"/>
      <c r="G12" s="2070"/>
      <c r="H12" s="2070"/>
      <c r="I12" s="2180"/>
      <c r="J12" s="2178"/>
      <c r="K12" s="180"/>
      <c r="L12" s="180"/>
      <c r="M12" s="180"/>
      <c r="N12" s="180"/>
      <c r="O12" s="180"/>
      <c r="P12" s="180"/>
      <c r="Q12" s="180"/>
      <c r="R12" s="180"/>
      <c r="S12" s="180"/>
      <c r="T12" s="180"/>
      <c r="U12" s="180"/>
      <c r="V12" s="180"/>
    </row>
    <row r="13" spans="1:22" ht="14.25">
      <c r="A13" s="3309"/>
      <c r="B13" s="3312"/>
      <c r="C13" s="3315"/>
      <c r="D13" s="3316"/>
      <c r="E13" s="866" t="s">
        <v>730</v>
      </c>
      <c r="F13" s="2070"/>
      <c r="G13" s="2070"/>
      <c r="H13" s="2070"/>
      <c r="I13" s="2180"/>
      <c r="J13" s="2178"/>
      <c r="K13" s="180"/>
      <c r="L13" s="180"/>
      <c r="M13" s="180"/>
      <c r="N13" s="180"/>
      <c r="O13" s="180"/>
      <c r="P13" s="180"/>
      <c r="Q13" s="180"/>
      <c r="R13" s="180"/>
      <c r="S13" s="180"/>
      <c r="T13" s="180"/>
      <c r="U13" s="180"/>
      <c r="V13" s="180"/>
    </row>
    <row r="14" spans="1:22" ht="14.25">
      <c r="A14" s="3309" t="s">
        <v>731</v>
      </c>
      <c r="B14" s="3312">
        <v>30</v>
      </c>
      <c r="C14" s="3313">
        <v>5</v>
      </c>
      <c r="D14" s="3316">
        <v>5</v>
      </c>
      <c r="E14" s="866" t="s">
        <v>732</v>
      </c>
      <c r="F14" s="2070"/>
      <c r="G14" s="2070"/>
      <c r="H14" s="2070"/>
      <c r="I14" s="2180"/>
      <c r="J14" s="2178"/>
      <c r="K14" s="180"/>
      <c r="L14" s="180"/>
      <c r="M14" s="180"/>
      <c r="N14" s="180"/>
      <c r="O14" s="180"/>
      <c r="P14" s="180"/>
      <c r="Q14" s="180"/>
      <c r="R14" s="180"/>
      <c r="S14" s="180"/>
      <c r="T14" s="180"/>
      <c r="U14" s="180"/>
      <c r="V14" s="180"/>
    </row>
    <row r="15" spans="1:22" ht="14.25">
      <c r="A15" s="3309"/>
      <c r="B15" s="3312"/>
      <c r="C15" s="3314"/>
      <c r="D15" s="3316"/>
      <c r="E15" s="866" t="s">
        <v>733</v>
      </c>
      <c r="F15" s="2070"/>
      <c r="G15" s="2070"/>
      <c r="H15" s="2070"/>
      <c r="I15" s="2180"/>
      <c r="J15" s="2178"/>
      <c r="K15" s="180"/>
      <c r="L15" s="180"/>
      <c r="M15" s="180"/>
      <c r="N15" s="180"/>
      <c r="O15" s="180"/>
      <c r="P15" s="180"/>
      <c r="Q15" s="180"/>
      <c r="R15" s="180"/>
      <c r="S15" s="180"/>
      <c r="T15" s="180"/>
      <c r="U15" s="180"/>
      <c r="V15" s="180"/>
    </row>
    <row r="16" spans="1:22" ht="14.25">
      <c r="A16" s="3309"/>
      <c r="B16" s="3312"/>
      <c r="C16" s="3315"/>
      <c r="D16" s="3316"/>
      <c r="E16" s="866" t="s">
        <v>734</v>
      </c>
      <c r="F16" s="2070"/>
      <c r="G16" s="2070"/>
      <c r="H16" s="2070"/>
      <c r="I16" s="2180"/>
      <c r="J16" s="2178"/>
      <c r="K16" s="180"/>
      <c r="L16" s="180"/>
      <c r="M16" s="180"/>
      <c r="N16" s="180"/>
      <c r="O16" s="180"/>
      <c r="P16" s="180"/>
      <c r="Q16" s="180"/>
      <c r="R16" s="180"/>
      <c r="S16" s="180"/>
      <c r="T16" s="180"/>
      <c r="U16" s="180"/>
      <c r="V16" s="180"/>
    </row>
    <row r="17" spans="1:26" ht="15">
      <c r="A17" s="2071" t="s">
        <v>735</v>
      </c>
      <c r="B17" s="2072"/>
      <c r="C17" s="2073">
        <f>SUM(C5:C16)</f>
        <v>5</v>
      </c>
      <c r="D17" s="2073">
        <f>SUM(D5:D16)</f>
        <v>5</v>
      </c>
      <c r="E17" s="115"/>
      <c r="F17" s="115"/>
      <c r="G17" s="115"/>
      <c r="H17" s="115"/>
      <c r="I17" s="115"/>
      <c r="J17" s="2178"/>
      <c r="K17" s="180"/>
      <c r="L17" s="180"/>
      <c r="M17" s="180"/>
      <c r="N17" s="180"/>
      <c r="O17" s="180"/>
      <c r="P17" s="180"/>
      <c r="Q17" s="180"/>
      <c r="R17" s="180"/>
      <c r="S17" s="180"/>
      <c r="T17" s="180"/>
      <c r="U17" s="180"/>
      <c r="V17" s="180"/>
    </row>
    <row r="18" spans="1:26" ht="15">
      <c r="A18" s="2074" t="s">
        <v>736</v>
      </c>
      <c r="B18" s="2075"/>
      <c r="C18" s="2076">
        <f>ROUND(C17/SUM(C17:D17),2)</f>
        <v>0.5</v>
      </c>
      <c r="D18" s="2076">
        <f>1-C18</f>
        <v>0.5</v>
      </c>
      <c r="E18" s="115"/>
      <c r="F18" s="115"/>
      <c r="G18" s="115"/>
      <c r="H18" s="115"/>
      <c r="I18" s="115"/>
      <c r="J18" s="180"/>
      <c r="K18" s="180"/>
      <c r="L18" s="180"/>
      <c r="M18" s="180"/>
      <c r="N18" s="180"/>
      <c r="O18" s="180"/>
      <c r="P18" s="180"/>
      <c r="Q18" s="180"/>
      <c r="R18" s="180"/>
      <c r="S18" s="180"/>
      <c r="T18" s="180"/>
      <c r="U18" s="180"/>
      <c r="V18" s="180"/>
    </row>
    <row r="19" spans="1:26" ht="15">
      <c r="A19" s="2077" t="s">
        <v>737</v>
      </c>
      <c r="B19" s="2078" t="s">
        <v>738</v>
      </c>
      <c r="C19" s="2079">
        <f ca="1">SUMIF(INDIRECT("'"&amp;C4&amp;"'"&amp;"!A:A"),结果表!B19,INDIRECT("'"&amp;C4&amp;"'"&amp;"!B:B"))</f>
        <v>81896</v>
      </c>
      <c r="D19" s="2080">
        <f ca="1">SUMIF(INDIRECT("'"&amp;D4&amp;"'"&amp;"!A:A"),结果表!B19,INDIRECT("'"&amp;D4&amp;"'"&amp;"!B:B"))</f>
        <v>82141</v>
      </c>
      <c r="E19" s="2077" t="s">
        <v>739</v>
      </c>
      <c r="F19" s="2078" t="s">
        <v>738</v>
      </c>
      <c r="G19" s="2081">
        <f ca="1">ROUND(C19*$C$18+D19*$D$18,0)</f>
        <v>82019</v>
      </c>
      <c r="H19" s="2082" t="s">
        <v>740</v>
      </c>
      <c r="I19" s="115"/>
      <c r="J19" s="180"/>
      <c r="K19" s="180"/>
      <c r="L19" s="180"/>
      <c r="M19" s="180"/>
      <c r="N19" s="180"/>
      <c r="O19" s="180"/>
      <c r="P19" s="180"/>
      <c r="Q19" s="180"/>
      <c r="R19" s="180"/>
      <c r="S19" s="180"/>
      <c r="T19" s="180"/>
      <c r="U19" s="180"/>
      <c r="V19" s="180"/>
    </row>
    <row r="20" spans="1:26" ht="15">
      <c r="A20" s="2083"/>
      <c r="B20" s="2084" t="s">
        <v>261</v>
      </c>
      <c r="C20" s="2085">
        <f ca="1">SUMIF(INDIRECT("'"&amp;C4&amp;"'"&amp;"!A:A"),结果表!B20,INDIRECT("'"&amp;C4&amp;"'"&amp;"!B:B"))</f>
        <v>6372</v>
      </c>
      <c r="D20" s="2086">
        <f ca="1">SUMIF(INDIRECT("'"&amp;D4&amp;"'"&amp;"!A:A"),结果表!B20,INDIRECT("'"&amp;D4&amp;"'"&amp;"!B:B"))</f>
        <v>6391</v>
      </c>
      <c r="E20" s="2083"/>
      <c r="F20" s="2084" t="s">
        <v>261</v>
      </c>
      <c r="G20" s="2087">
        <f ca="1">ROUND(C20*$C$18+D20*$D$18,0)</f>
        <v>6382</v>
      </c>
      <c r="H20" s="2014" t="s">
        <v>741</v>
      </c>
      <c r="I20" s="115"/>
      <c r="J20" s="180"/>
      <c r="K20" s="180">
        <f ca="1">G19/'数据-汇总表'!F31*10000</f>
        <v>10604.940214276194</v>
      </c>
      <c r="L20" s="180">
        <f ca="1">G19/'剩余法-待开发'!C6</f>
        <v>0.53971100091039992</v>
      </c>
      <c r="M20" s="180"/>
      <c r="N20" s="180"/>
      <c r="O20" s="180"/>
      <c r="P20" s="180"/>
      <c r="Q20" s="180"/>
      <c r="R20" s="180"/>
      <c r="S20" s="180"/>
      <c r="T20" s="180"/>
      <c r="U20" s="180"/>
      <c r="V20" s="180"/>
    </row>
    <row r="21" spans="1:26" ht="15" customHeight="1">
      <c r="A21" s="2083"/>
      <c r="B21" s="2088" t="s">
        <v>249</v>
      </c>
      <c r="C21" s="2089">
        <f ca="1">SUMIF(INDIRECT("'"&amp;C4&amp;"'"&amp;"!A:A"),结果表!B21,INDIRECT("'"&amp;C4&amp;"'"&amp;"!B:B"))</f>
        <v>12245</v>
      </c>
      <c r="D21" s="2090">
        <f ca="1">SUMIF(INDIRECT("'"&amp;D4&amp;"'"&amp;"!A:A"),结果表!B21,INDIRECT("'"&amp;D4&amp;"'"&amp;"!B:B"))</f>
        <v>12282</v>
      </c>
      <c r="E21" s="2083"/>
      <c r="F21" s="2088" t="s">
        <v>249</v>
      </c>
      <c r="G21" s="2091">
        <f ca="1">ROUND(C21*$C$18+D21*$D$18,0)</f>
        <v>12264</v>
      </c>
      <c r="H21" s="2092" t="s">
        <v>741</v>
      </c>
      <c r="I21" s="115"/>
      <c r="J21" s="180"/>
      <c r="K21" s="180"/>
      <c r="L21" s="180"/>
      <c r="M21" s="180"/>
      <c r="N21" s="180"/>
      <c r="O21" s="180"/>
      <c r="P21" s="180"/>
      <c r="Q21" s="180"/>
      <c r="R21" s="180"/>
      <c r="S21" s="180"/>
      <c r="T21" s="180"/>
      <c r="U21" s="180"/>
      <c r="V21" s="180"/>
    </row>
    <row r="22" spans="1:26" ht="15">
      <c r="A22" s="2093" t="s">
        <v>742</v>
      </c>
      <c r="B22" s="2094"/>
      <c r="C22" s="2095"/>
      <c r="D22" s="2096">
        <f ca="1">IF(C19&lt;D19,D19/C19-1,C19/D19-1)</f>
        <v>2.9915991012992027E-3</v>
      </c>
      <c r="E22" s="2005"/>
      <c r="F22" s="2097"/>
      <c r="G22" s="2098">
        <f ca="1">ROUND(G19/('数据-汇总表'!D3/666.67),0)</f>
        <v>818</v>
      </c>
      <c r="H22" s="2099" t="s">
        <v>743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10" t="s">
        <v>744</v>
      </c>
      <c r="B24" s="2078" t="s">
        <v>738</v>
      </c>
      <c r="C24" s="2100">
        <f>IF(B30=0,0,D30)</f>
        <v>0</v>
      </c>
      <c r="D24" s="2101"/>
      <c r="E24" s="115"/>
      <c r="F24" s="115"/>
      <c r="G24" s="115"/>
      <c r="H24" s="115"/>
      <c r="I24" s="115"/>
      <c r="J24" s="180"/>
      <c r="K24" s="180"/>
      <c r="L24" s="180"/>
      <c r="M24" s="180"/>
      <c r="N24" s="180"/>
      <c r="O24" s="180"/>
      <c r="P24" s="180"/>
      <c r="Q24" s="180"/>
      <c r="R24" s="180"/>
      <c r="S24" s="180"/>
      <c r="T24" s="180"/>
      <c r="U24" s="180"/>
      <c r="V24" s="180"/>
    </row>
    <row r="25" spans="1:26" ht="18">
      <c r="A25" s="3311"/>
      <c r="B25" s="2102" t="s">
        <v>261</v>
      </c>
      <c r="C25" s="2103">
        <f>IF(B30=0,0,C30)</f>
        <v>0</v>
      </c>
      <c r="D25" s="2104"/>
      <c r="E25" s="115"/>
      <c r="F25" s="115"/>
      <c r="G25" s="115"/>
      <c r="H25" s="115"/>
      <c r="I25" s="115"/>
      <c r="J25" s="180"/>
      <c r="K25" s="2181" t="str">
        <f ca="1">项目基本情况!B16&amp;"国有建设用地使用权价格："&amp;O38&amp;"万元"</f>
        <v>出让国有建设用地使用权价格：82019万元</v>
      </c>
      <c r="L25" s="2182"/>
      <c r="M25" s="2182"/>
      <c r="N25" s="2182"/>
      <c r="O25" s="2183"/>
      <c r="P25" s="180"/>
      <c r="Q25" s="180"/>
      <c r="R25" s="180"/>
      <c r="S25" s="180"/>
      <c r="T25" s="180"/>
      <c r="U25" s="180"/>
      <c r="V25" s="180"/>
    </row>
    <row r="26" spans="1:26" s="2060" customFormat="1" ht="18">
      <c r="A26" s="2105" t="s">
        <v>745</v>
      </c>
      <c r="B26" s="2106" t="s">
        <v>746</v>
      </c>
      <c r="C26" s="2106" t="s">
        <v>747</v>
      </c>
      <c r="D26" s="2107" t="s">
        <v>748</v>
      </c>
      <c r="E26" s="115"/>
      <c r="F26" s="115"/>
      <c r="G26" s="115"/>
      <c r="H26" s="115"/>
      <c r="I26" s="115"/>
      <c r="J26" s="180"/>
      <c r="K26" s="2184" t="str">
        <f ca="1">"大写金额：人民币"&amp;NUMBERSTRING(INT(O38*10000),2)&amp;"元整"</f>
        <v>大写金额：人民币捌亿贰仟零壹拾玖万元整</v>
      </c>
      <c r="L26" s="2094"/>
      <c r="M26" s="2094"/>
      <c r="N26" s="2094"/>
      <c r="O26" s="2092"/>
      <c r="P26" s="180"/>
      <c r="Q26" s="180"/>
      <c r="R26" s="180"/>
      <c r="S26" s="180"/>
      <c r="T26" s="180"/>
      <c r="U26" s="180"/>
      <c r="V26" s="180"/>
      <c r="W26" s="2227"/>
      <c r="X26" s="2227"/>
      <c r="Y26" s="2227"/>
      <c r="Z26" s="2227"/>
    </row>
    <row r="27" spans="1:26" ht="18">
      <c r="A27" s="2105"/>
      <c r="B27" s="2106"/>
      <c r="C27" s="2106"/>
      <c r="D27" s="2107"/>
      <c r="E27" s="115"/>
      <c r="F27" s="115"/>
      <c r="G27" s="115"/>
      <c r="H27" s="115"/>
      <c r="I27" s="115"/>
      <c r="J27" s="180"/>
      <c r="K27" s="2184" t="str">
        <f ca="1">"单位面积地价："&amp;M38&amp;"元/平方米"</f>
        <v>单位面积地价：12263元/平方米</v>
      </c>
      <c r="L27" s="2094"/>
      <c r="M27" s="2094"/>
      <c r="N27" s="2094"/>
      <c r="O27" s="2092"/>
      <c r="P27" s="180"/>
      <c r="Q27" s="180"/>
      <c r="R27" s="180"/>
      <c r="S27" s="180"/>
      <c r="T27" s="180"/>
      <c r="U27" s="180"/>
      <c r="V27" s="180"/>
    </row>
    <row r="28" spans="1:26" ht="18.75" customHeight="1">
      <c r="A28" s="2105"/>
      <c r="B28" s="2106"/>
      <c r="C28" s="2106"/>
      <c r="D28" s="2107"/>
      <c r="E28" s="115"/>
      <c r="F28" s="115"/>
      <c r="G28" s="115"/>
      <c r="H28" s="115"/>
      <c r="I28" s="115"/>
      <c r="J28" s="180"/>
      <c r="K28" s="2184" t="str">
        <f ca="1">"楼面地价："&amp;N38&amp;"元/平方米"</f>
        <v>楼面地价：6381元/平方米</v>
      </c>
      <c r="L28" s="2094"/>
      <c r="M28" s="2094"/>
      <c r="N28" s="2094"/>
      <c r="O28" s="2092"/>
      <c r="P28" s="180"/>
      <c r="V28" s="180"/>
    </row>
    <row r="29" spans="1:26" ht="18">
      <c r="A29" s="2105"/>
      <c r="B29" s="2106"/>
      <c r="C29" s="2106"/>
      <c r="D29" s="2107"/>
      <c r="E29" s="115"/>
      <c r="F29" s="115"/>
      <c r="G29" s="115"/>
      <c r="H29" s="115"/>
      <c r="I29" s="115"/>
      <c r="J29" s="180"/>
      <c r="K29" s="2184" t="str">
        <f ca="1">IF(OR(项目基本情况!E8="抵押价格",项目基本情况!E8="已注销及未注销"),"抵押价格："&amp;O39&amp;"万元","——")</f>
        <v>抵押价格：82019万元</v>
      </c>
      <c r="L29" s="2094"/>
      <c r="M29" s="2094"/>
      <c r="N29" s="2094"/>
      <c r="O29" s="2092"/>
      <c r="P29" s="180"/>
      <c r="V29" s="180"/>
    </row>
    <row r="30" spans="1:26" ht="18">
      <c r="A30" s="2108" t="s">
        <v>749</v>
      </c>
      <c r="B30" s="2109"/>
      <c r="C30" s="2109"/>
      <c r="D30" s="2110"/>
      <c r="E30" s="2111" t="s">
        <v>750</v>
      </c>
      <c r="F30" s="115"/>
      <c r="G30" s="115"/>
      <c r="H30" s="115"/>
      <c r="I30" s="115"/>
      <c r="J30" s="180"/>
      <c r="K30" s="2184" t="str">
        <f ca="1">IF(K29="——","——","大写金额：人民币"&amp;NUMBERSTRING(INT(O39*10000),2)&amp;"元整")</f>
        <v>大写金额：人民币捌亿贰仟零壹拾玖万元整</v>
      </c>
      <c r="L30" s="2094"/>
      <c r="M30" s="2094"/>
      <c r="N30" s="2094"/>
      <c r="O30" s="2092"/>
      <c r="P30" s="180"/>
      <c r="V30" s="180"/>
    </row>
    <row r="31" spans="1:26" ht="24" customHeight="1">
      <c r="A31" s="115"/>
      <c r="B31" s="115"/>
      <c r="C31" s="115"/>
      <c r="D31" s="115"/>
      <c r="E31" s="115"/>
      <c r="F31" s="115"/>
      <c r="G31" s="115"/>
      <c r="H31" s="115"/>
      <c r="I31" s="115"/>
      <c r="J31" s="180"/>
      <c r="K31" s="2185" t="str">
        <f>IF(项目基本情况!E8="抵押价格","——","抵押担保权已注销时的抵押价格："&amp;O40&amp;"万元")</f>
        <v>——</v>
      </c>
      <c r="L31" s="2186"/>
      <c r="M31" s="2186"/>
      <c r="N31" s="2186"/>
      <c r="O31" s="2187"/>
      <c r="P31" s="180"/>
      <c r="V31" s="180"/>
    </row>
    <row r="32" spans="1:26" ht="18">
      <c r="A32" s="2077" t="s">
        <v>751</v>
      </c>
      <c r="B32" s="2112" t="s">
        <v>752</v>
      </c>
      <c r="C32" s="2113">
        <f ca="1">G19-C24</f>
        <v>82019</v>
      </c>
      <c r="D32" s="2114" t="s">
        <v>753</v>
      </c>
      <c r="E32" s="115"/>
      <c r="F32" s="115"/>
      <c r="G32" s="115"/>
      <c r="H32" s="115"/>
      <c r="I32" s="115"/>
      <c r="J32" s="180"/>
      <c r="K32" s="2188" t="str">
        <f>IF(K31="——","——","大写金额：人民币"&amp;NUMBERSTRING(INT(O40*10000),2)&amp;"元整")</f>
        <v>——</v>
      </c>
      <c r="L32" s="2189"/>
      <c r="M32" s="2189"/>
      <c r="N32" s="2189"/>
      <c r="O32" s="2190"/>
      <c r="P32" s="180"/>
      <c r="V32" s="180"/>
    </row>
    <row r="33" spans="1:26" ht="18">
      <c r="A33" s="2115" t="s">
        <v>754</v>
      </c>
      <c r="B33" s="2116" t="s">
        <v>755</v>
      </c>
      <c r="C33" s="2071">
        <f ca="1">ROUND(C32*10000/'数据-汇总表'!E3,0)</f>
        <v>6381</v>
      </c>
      <c r="D33" s="2117" t="s">
        <v>756</v>
      </c>
      <c r="E33" s="3310" t="s">
        <v>757</v>
      </c>
      <c r="F33" s="2118" t="s">
        <v>758</v>
      </c>
      <c r="G33" s="2119"/>
      <c r="H33" s="2120"/>
      <c r="I33" s="2191"/>
      <c r="J33" s="180"/>
      <c r="K33" s="2184" t="str">
        <f>IF(项目基本情况!E9="——","——","抵押净值："&amp;C46&amp;"万元")</f>
        <v>抵押净值：——万元</v>
      </c>
      <c r="L33" s="2094"/>
      <c r="M33" s="2094"/>
      <c r="N33" s="2094"/>
      <c r="O33" s="2092"/>
      <c r="P33" s="180"/>
      <c r="V33" s="180"/>
    </row>
    <row r="34" spans="1:26" s="2060" customFormat="1" ht="18">
      <c r="A34" s="2121"/>
      <c r="B34" s="2122" t="s">
        <v>759</v>
      </c>
      <c r="C34" s="2071">
        <f ca="1">ROUND(C32*10000/'数据-汇总表'!D3,0)</f>
        <v>12263</v>
      </c>
      <c r="D34" s="2123" t="s">
        <v>756</v>
      </c>
      <c r="E34" s="3317"/>
      <c r="F34" s="2124" t="s">
        <v>760</v>
      </c>
      <c r="G34" s="2125"/>
      <c r="H34" s="2075"/>
      <c r="I34" s="115"/>
      <c r="J34" s="180"/>
      <c r="K34" s="2192" t="e">
        <f>IF(K33="——","——","大写金额：人民币"&amp;NUMBERSTRING(INT(O41*10000),2)&amp;"元整")</f>
        <v>#VALUE!</v>
      </c>
      <c r="L34" s="2193"/>
      <c r="M34" s="2193"/>
      <c r="N34" s="2193"/>
      <c r="O34" s="2194"/>
      <c r="P34" s="180"/>
      <c r="Q34" s="2227"/>
      <c r="R34" s="2227"/>
      <c r="S34" s="2227"/>
      <c r="T34" s="2227"/>
      <c r="U34" s="2227"/>
      <c r="V34" s="180"/>
      <c r="W34" s="2227"/>
      <c r="X34" s="2227"/>
      <c r="Y34" s="2227"/>
      <c r="Z34" s="2227"/>
    </row>
    <row r="35" spans="1:26" ht="15">
      <c r="A35" s="2005"/>
      <c r="B35" s="2126"/>
      <c r="C35" s="2127">
        <f ca="1">ROUND(C32/('数据-汇总表'!D3/666.67),0)</f>
        <v>818</v>
      </c>
      <c r="D35" s="2128" t="s">
        <v>761</v>
      </c>
      <c r="E35" s="3318"/>
      <c r="F35" s="2129" t="s">
        <v>762</v>
      </c>
      <c r="G35" s="2130"/>
      <c r="H35" s="2131" t="s">
        <v>763</v>
      </c>
      <c r="I35" s="115"/>
      <c r="J35" s="180"/>
      <c r="K35" s="3322" t="s">
        <v>764</v>
      </c>
      <c r="L35" s="3322" t="s">
        <v>765</v>
      </c>
      <c r="M35" s="2195" t="s">
        <v>766</v>
      </c>
      <c r="N35" s="3322" t="s">
        <v>767</v>
      </c>
      <c r="O35" s="3322" t="s">
        <v>768</v>
      </c>
      <c r="P35" s="180"/>
      <c r="V35" s="180"/>
    </row>
    <row r="36" spans="1:26" ht="16.5" customHeight="1">
      <c r="A36" s="2132" t="s">
        <v>769</v>
      </c>
      <c r="B36" s="2133" t="s">
        <v>746</v>
      </c>
      <c r="C36" s="2134" t="s">
        <v>747</v>
      </c>
      <c r="D36" s="2134" t="s">
        <v>770</v>
      </c>
      <c r="E36" s="2135" t="s">
        <v>748</v>
      </c>
      <c r="F36" s="115"/>
      <c r="G36" s="115"/>
      <c r="H36" s="115"/>
      <c r="I36" s="115"/>
      <c r="J36" s="2196"/>
      <c r="K36" s="3323"/>
      <c r="L36" s="3323"/>
      <c r="M36" s="2197" t="s">
        <v>771</v>
      </c>
      <c r="N36" s="3323"/>
      <c r="O36" s="3323"/>
      <c r="P36" s="180"/>
      <c r="V36" s="180"/>
    </row>
    <row r="37" spans="1:26" ht="16.5" customHeight="1">
      <c r="A37" s="2136" t="s">
        <v>772</v>
      </c>
      <c r="B37" s="2137"/>
      <c r="C37" s="2106"/>
      <c r="D37" s="2106"/>
      <c r="E37" s="2107"/>
      <c r="F37" s="115"/>
      <c r="G37" s="115"/>
      <c r="H37" s="115"/>
      <c r="I37" s="115"/>
      <c r="J37" s="2196"/>
      <c r="K37" s="3324"/>
      <c r="L37" s="3324"/>
      <c r="M37" s="2198"/>
      <c r="N37" s="3324"/>
      <c r="O37" s="3324"/>
      <c r="P37" s="180"/>
      <c r="V37" s="180"/>
    </row>
    <row r="38" spans="1:26" ht="16.5" customHeight="1">
      <c r="A38" s="2136" t="s">
        <v>773</v>
      </c>
      <c r="B38" s="2137"/>
      <c r="C38" s="2106"/>
      <c r="D38" s="2106"/>
      <c r="E38" s="2107"/>
      <c r="F38" s="115"/>
      <c r="G38" s="115"/>
      <c r="H38" s="115"/>
      <c r="I38" s="115"/>
      <c r="J38" s="2196"/>
      <c r="K38" s="2199">
        <f>'数据-汇总表'!D3</f>
        <v>66881</v>
      </c>
      <c r="L38" s="2200">
        <f>'数据-汇总表'!E3</f>
        <v>128526.97</v>
      </c>
      <c r="M38" s="2200">
        <f ca="1">C34</f>
        <v>12263</v>
      </c>
      <c r="N38" s="2200">
        <f ca="1">C33</f>
        <v>6381</v>
      </c>
      <c r="O38" s="2201">
        <f ca="1">C32</f>
        <v>82019</v>
      </c>
      <c r="P38" s="180"/>
      <c r="V38" s="180"/>
    </row>
    <row r="39" spans="1:26" ht="16.5" customHeight="1">
      <c r="A39" s="2138"/>
      <c r="B39" s="2139"/>
      <c r="C39" s="2109"/>
      <c r="D39" s="2109"/>
      <c r="E39" s="2110"/>
      <c r="F39" s="115"/>
      <c r="G39" s="115"/>
      <c r="H39" s="115"/>
      <c r="I39" s="115"/>
      <c r="J39" s="2196"/>
      <c r="K39" s="3261" t="str">
        <f>MID(A44,3,LEN(A44)-2)</f>
        <v>抵押价格</v>
      </c>
      <c r="L39" s="3262"/>
      <c r="M39" s="3262"/>
      <c r="N39" s="3263"/>
      <c r="O39" s="2202">
        <f ca="1">C44</f>
        <v>82019</v>
      </c>
      <c r="P39" s="180"/>
      <c r="V39" s="180"/>
    </row>
    <row r="40" spans="1:26" ht="18.75">
      <c r="A40" s="2140" t="s">
        <v>774</v>
      </c>
      <c r="B40" s="115"/>
      <c r="C40" s="115"/>
      <c r="D40" s="115"/>
      <c r="E40" s="115"/>
      <c r="F40" s="115"/>
      <c r="G40" s="115"/>
      <c r="H40" s="115"/>
      <c r="I40" s="115"/>
      <c r="J40" s="2196"/>
      <c r="K40" s="3261" t="str">
        <f t="shared" ref="K40:K41" si="0">MID(A45,3,LEN(A45)-2)</f>
        <v/>
      </c>
      <c r="L40" s="3262"/>
      <c r="M40" s="3262"/>
      <c r="N40" s="3263"/>
      <c r="O40" s="2202" t="str">
        <f>C45</f>
        <v>——</v>
      </c>
      <c r="P40" s="180"/>
      <c r="V40" s="180"/>
    </row>
    <row r="41" spans="1:26" ht="15.75">
      <c r="A41" s="2141" t="s">
        <v>775</v>
      </c>
      <c r="B41" s="2142"/>
      <c r="C41" s="2143" t="s">
        <v>776</v>
      </c>
      <c r="D41" s="2144" t="s">
        <v>777</v>
      </c>
      <c r="E41" s="2144" t="s">
        <v>778</v>
      </c>
      <c r="F41" s="2145" t="s">
        <v>779</v>
      </c>
      <c r="G41" s="115"/>
      <c r="H41" s="115"/>
      <c r="I41" s="115"/>
      <c r="J41" s="2196"/>
      <c r="K41" s="3261" t="str">
        <f t="shared" si="0"/>
        <v/>
      </c>
      <c r="L41" s="3262"/>
      <c r="M41" s="3262"/>
      <c r="N41" s="3263"/>
      <c r="O41" s="2202" t="str">
        <f>C46</f>
        <v>——</v>
      </c>
      <c r="P41" s="180"/>
      <c r="V41" s="180"/>
    </row>
    <row r="42" spans="1:26" ht="29.25">
      <c r="A42" s="3264" t="s">
        <v>780</v>
      </c>
      <c r="B42" s="3265"/>
      <c r="C42" s="2071">
        <f ca="1">C32</f>
        <v>82019</v>
      </c>
      <c r="D42" s="2146">
        <f ca="1">C33</f>
        <v>6381</v>
      </c>
      <c r="E42" s="2146">
        <f ca="1">C34</f>
        <v>12263</v>
      </c>
      <c r="F42" s="2147">
        <f ca="1">C35</f>
        <v>818</v>
      </c>
      <c r="G42" s="115"/>
      <c r="H42" s="115"/>
      <c r="I42" s="2203"/>
      <c r="J42" s="2196"/>
      <c r="K42" s="2204" t="s">
        <v>781</v>
      </c>
      <c r="L42" s="2205" t="s">
        <v>782</v>
      </c>
      <c r="M42" s="2206" t="s">
        <v>783</v>
      </c>
      <c r="N42" s="2207" t="s">
        <v>784</v>
      </c>
      <c r="O42" s="2208" t="s">
        <v>785</v>
      </c>
      <c r="P42" s="180"/>
      <c r="V42" s="180"/>
    </row>
    <row r="43" spans="1:26" ht="30">
      <c r="A43" s="3266" t="s">
        <v>786</v>
      </c>
      <c r="B43" s="3267"/>
      <c r="C43" s="2071">
        <f>IF(H33="正常操作",G33+G34+G35,G34+G35)</f>
        <v>0</v>
      </c>
      <c r="D43" s="2146" t="s">
        <v>138</v>
      </c>
      <c r="E43" s="2146" t="s">
        <v>138</v>
      </c>
      <c r="F43" s="2147" t="s">
        <v>138</v>
      </c>
      <c r="G43" s="2148" t="s">
        <v>138</v>
      </c>
      <c r="H43" s="115"/>
      <c r="I43" s="2203"/>
      <c r="J43" s="2196"/>
      <c r="K43" s="2209" t="str">
        <f>C4</f>
        <v>比较法-住宅、综合</v>
      </c>
      <c r="L43" s="2210">
        <f ca="1">IF(L42="估价结果/万元",C19,C20)</f>
        <v>81896</v>
      </c>
      <c r="M43" s="2211">
        <f>C18</f>
        <v>0.5</v>
      </c>
      <c r="N43" s="2212">
        <f ca="1">IF(N42="测算结果/万元",G19,G20)</f>
        <v>82019</v>
      </c>
      <c r="O43" s="2213">
        <f ca="1">IF(O42="最终结果/万元",C32,C33)</f>
        <v>82019</v>
      </c>
      <c r="P43" s="180"/>
      <c r="V43" s="180"/>
    </row>
    <row r="44" spans="1:26" ht="30">
      <c r="A44" s="3264" t="str">
        <f>IF(OR(项目基本情况!E8="抵押价格",项目基本情况!E8="已注销及未注销"),"3.抵押价格","——")</f>
        <v>3.抵押价格</v>
      </c>
      <c r="B44" s="3265"/>
      <c r="C44" s="2071">
        <f ca="1">IF(A44="——","——",C42-C43)</f>
        <v>82019</v>
      </c>
      <c r="D44" s="2146">
        <f ca="1">ROUND(C44*10000/'数据-汇总表'!E3,0)</f>
        <v>6381</v>
      </c>
      <c r="E44" s="2146">
        <f ca="1">ROUND(C44*10000/'数据-汇总表'!D3,0)</f>
        <v>12263</v>
      </c>
      <c r="F44" s="2147">
        <f ca="1">ROUND(C44/('数据-汇总表'!D3/666.67),0)</f>
        <v>818</v>
      </c>
      <c r="G44" s="115"/>
      <c r="H44" s="115"/>
      <c r="I44" s="2203"/>
      <c r="J44" s="2196"/>
      <c r="K44" s="2214" t="str">
        <f>D4</f>
        <v>剩余法-待开发</v>
      </c>
      <c r="L44" s="2215">
        <f ca="1">IF(L42="估价结果/万元",D19,D20)</f>
        <v>82141</v>
      </c>
      <c r="M44" s="2216">
        <f>D18</f>
        <v>0.5</v>
      </c>
      <c r="N44" s="2217"/>
      <c r="O44" s="2218"/>
      <c r="P44" s="180"/>
      <c r="V44" s="180"/>
    </row>
    <row r="45" spans="1:26" ht="15">
      <c r="A45" s="3268" t="str">
        <f>IF(项目基本情况!E8="已注销及未注销","4.抵押担保权已注销时的抵押价格",IF(项目基本情况!E8="已注销","3.抵押担保权已注销时的抵押价格","——"))</f>
        <v>——</v>
      </c>
      <c r="B45" s="3269"/>
      <c r="C45" s="2149" t="str">
        <f>IF(A45="——","——",IF(项目基本情况!E8="抵押价格","——",C32-G34-G35))</f>
        <v>——</v>
      </c>
      <c r="D45" s="2146" t="e">
        <f>ROUND(C45*10000/'数据-汇总表'!E3,0)</f>
        <v>#VALUE!</v>
      </c>
      <c r="E45" s="2146" t="e">
        <f>ROUND(C45*10000/'数据-汇总表'!D3,0)</f>
        <v>#VALUE!</v>
      </c>
      <c r="F45" s="2147" t="e">
        <f>ROUND(C45/('数据-汇总表'!D3/666.67),0)</f>
        <v>#VALUE!</v>
      </c>
      <c r="G45" s="115"/>
      <c r="H45" s="115"/>
      <c r="I45" s="2203"/>
      <c r="J45" s="2196"/>
      <c r="K45" s="180"/>
      <c r="L45" s="180"/>
      <c r="M45" s="180"/>
      <c r="N45" s="180"/>
      <c r="O45" s="180"/>
      <c r="P45" s="180"/>
      <c r="V45" s="180"/>
    </row>
    <row r="46" spans="1:26" ht="15">
      <c r="A46" s="3270" t="str">
        <f>IF(项目基本情况!E9="抵押净值",IF(A45="——","4.抵押净值","5.抵押净值"),"——")</f>
        <v>——</v>
      </c>
      <c r="B46" s="3271"/>
      <c r="C46" s="2150" t="str">
        <f>IF(A46="——","——",O79)</f>
        <v>——</v>
      </c>
      <c r="D46" s="2146" t="e">
        <f>ROUND(C46*10000/'数据-汇总表'!E3,0)</f>
        <v>#VALUE!</v>
      </c>
      <c r="E46" s="2146" t="e">
        <f>ROUND(C46*10000/'数据-汇总表'!D3,0)</f>
        <v>#VALUE!</v>
      </c>
      <c r="F46" s="2147" t="e">
        <f>ROUND(C46/('数据-汇总表'!D3/666.67),0)</f>
        <v>#VALUE!</v>
      </c>
      <c r="G46" s="115"/>
      <c r="H46" s="115"/>
      <c r="I46" s="2203"/>
      <c r="J46" s="2196"/>
      <c r="K46" s="180"/>
      <c r="L46" s="180"/>
      <c r="M46" s="180"/>
      <c r="N46" s="180"/>
      <c r="O46" s="180"/>
      <c r="P46" s="180"/>
      <c r="Q46" s="180"/>
      <c r="R46" s="180"/>
      <c r="S46" s="180"/>
      <c r="T46" s="180"/>
      <c r="U46" s="180"/>
      <c r="V46" s="180"/>
    </row>
    <row r="47" spans="1:26" ht="15.75">
      <c r="A47" s="2151" t="s">
        <v>787</v>
      </c>
      <c r="B47" s="2152"/>
      <c r="C47" s="2153" t="s">
        <v>788</v>
      </c>
      <c r="D47" s="2154"/>
      <c r="E47" s="2154"/>
      <c r="F47" s="2154"/>
      <c r="G47" s="2155"/>
      <c r="H47" s="2156"/>
      <c r="I47" s="2219"/>
      <c r="J47" s="2196"/>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7">
        <v>1</v>
      </c>
      <c r="B48" s="2158"/>
      <c r="C48" s="2158"/>
      <c r="D48" s="2154"/>
      <c r="E48" s="2154"/>
      <c r="F48" s="2154"/>
      <c r="G48" s="2154"/>
      <c r="H48" s="2159"/>
      <c r="I48" s="2220"/>
      <c r="J48" s="2196"/>
      <c r="K48" s="180"/>
      <c r="L48" s="180"/>
      <c r="M48" s="180"/>
      <c r="N48" s="180"/>
      <c r="O48" s="180"/>
      <c r="P48" s="180"/>
      <c r="Q48" s="180"/>
      <c r="R48" s="180"/>
      <c r="S48" s="180"/>
      <c r="T48" s="180"/>
      <c r="U48" s="180"/>
      <c r="V48" s="180"/>
    </row>
    <row r="49" spans="1:22" ht="12.75">
      <c r="A49" s="2157">
        <v>2</v>
      </c>
      <c r="B49" s="2158"/>
      <c r="C49" s="2158"/>
      <c r="D49" s="2154"/>
      <c r="E49" s="2154"/>
      <c r="F49" s="2154"/>
      <c r="G49" s="2154"/>
      <c r="H49" s="2159"/>
      <c r="I49" s="2220"/>
      <c r="J49" s="2221"/>
      <c r="K49" s="180"/>
      <c r="L49" s="180"/>
      <c r="M49" s="180"/>
      <c r="N49" s="180"/>
      <c r="O49" s="180"/>
      <c r="P49" s="180"/>
      <c r="Q49" s="180"/>
      <c r="R49" s="180"/>
      <c r="S49" s="180"/>
      <c r="T49" s="180"/>
      <c r="U49" s="180"/>
      <c r="V49" s="180"/>
    </row>
    <row r="50" spans="1:22" ht="12.75">
      <c r="A50" s="2157">
        <v>3</v>
      </c>
      <c r="B50" s="2158"/>
      <c r="C50" s="2158"/>
      <c r="D50" s="2154"/>
      <c r="E50" s="2154"/>
      <c r="F50" s="2154"/>
      <c r="G50" s="2154"/>
      <c r="H50" s="2159"/>
      <c r="I50" s="2220"/>
      <c r="J50" s="2221"/>
      <c r="K50" s="180"/>
      <c r="L50" s="180"/>
      <c r="M50" s="180"/>
      <c r="N50" s="180"/>
      <c r="O50" s="180"/>
      <c r="P50" s="180"/>
      <c r="Q50" s="180"/>
      <c r="R50" s="180"/>
      <c r="S50" s="180"/>
      <c r="T50" s="180"/>
      <c r="U50" s="180"/>
      <c r="V50" s="180"/>
    </row>
    <row r="51" spans="1:22" ht="12.75">
      <c r="A51" s="2160"/>
      <c r="B51" s="2161"/>
      <c r="C51" s="2161"/>
      <c r="D51" s="2162"/>
      <c r="E51" s="2162"/>
      <c r="F51" s="2162"/>
      <c r="G51" s="2162"/>
      <c r="H51" s="2163"/>
      <c r="I51" s="2222"/>
      <c r="J51" s="2221"/>
      <c r="K51" s="180"/>
      <c r="L51" s="180"/>
      <c r="M51" s="180"/>
      <c r="N51" s="180"/>
      <c r="O51" s="180"/>
      <c r="P51" s="180"/>
      <c r="Q51" s="180"/>
      <c r="R51" s="180"/>
      <c r="S51" s="180"/>
      <c r="T51" s="180"/>
      <c r="U51" s="180"/>
      <c r="V51" s="180"/>
    </row>
    <row r="52" spans="1:22" ht="12.75">
      <c r="A52" s="2158"/>
      <c r="B52" s="2158"/>
      <c r="C52" s="2158"/>
      <c r="D52" s="2154"/>
      <c r="E52" s="2154"/>
      <c r="F52" s="2154"/>
      <c r="G52" s="2154"/>
      <c r="H52" s="2159"/>
      <c r="I52" s="69"/>
      <c r="J52" s="2221"/>
      <c r="K52" s="180"/>
      <c r="L52" s="180"/>
      <c r="M52" s="180"/>
      <c r="N52" s="180"/>
      <c r="O52" s="180"/>
      <c r="P52" s="180"/>
      <c r="Q52" s="180"/>
      <c r="R52" s="180"/>
      <c r="S52" s="180"/>
      <c r="T52" s="180"/>
      <c r="U52" s="180"/>
      <c r="V52" s="180"/>
    </row>
    <row r="53" spans="1:22" ht="12.75">
      <c r="A53" s="69"/>
      <c r="B53" s="69"/>
      <c r="C53" s="69"/>
      <c r="D53" s="69"/>
      <c r="E53" s="69"/>
      <c r="F53" s="2164" t="s">
        <v>789</v>
      </c>
      <c r="G53" s="2165"/>
      <c r="H53" s="2165"/>
      <c r="I53" s="2223" t="s">
        <v>790</v>
      </c>
      <c r="J53" s="2221"/>
      <c r="K53" s="180"/>
      <c r="L53" s="180"/>
      <c r="M53" s="180"/>
      <c r="N53" s="180"/>
      <c r="O53" s="180"/>
      <c r="P53" s="180"/>
      <c r="Q53" s="180"/>
      <c r="R53" s="180"/>
      <c r="S53" s="180"/>
      <c r="T53" s="180"/>
      <c r="U53" s="180"/>
      <c r="V53" s="180"/>
    </row>
    <row r="54" spans="1:22" ht="12.75">
      <c r="A54" s="69"/>
      <c r="B54" s="2166" t="s">
        <v>791</v>
      </c>
      <c r="C54" s="69"/>
      <c r="D54" s="69"/>
      <c r="E54" s="69"/>
      <c r="F54" s="69"/>
      <c r="G54" s="69"/>
      <c r="H54" s="69"/>
      <c r="I54" s="69"/>
      <c r="J54" s="2221"/>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1"/>
      <c r="K55" s="180"/>
      <c r="L55" s="180"/>
      <c r="M55" s="180"/>
      <c r="N55" s="180"/>
      <c r="O55" s="180"/>
      <c r="P55" s="180"/>
      <c r="Q55" s="180"/>
      <c r="R55" s="180"/>
      <c r="S55" s="180"/>
      <c r="T55" s="180"/>
      <c r="U55" s="180"/>
      <c r="V55" s="180"/>
    </row>
    <row r="56" spans="1:22" ht="12.75">
      <c r="A56" s="69"/>
      <c r="B56" s="2165"/>
      <c r="C56" s="2165"/>
      <c r="D56" s="2165"/>
      <c r="E56" s="2165"/>
      <c r="F56" s="2165"/>
      <c r="G56" s="2165"/>
      <c r="H56" s="2165"/>
      <c r="I56" s="2223" t="s">
        <v>792</v>
      </c>
      <c r="J56" s="2221"/>
      <c r="K56" s="180"/>
      <c r="L56" s="180"/>
      <c r="M56" s="180"/>
      <c r="N56" s="180"/>
      <c r="O56" s="180"/>
      <c r="P56" s="180"/>
      <c r="Q56" s="180"/>
      <c r="R56" s="180"/>
      <c r="S56" s="180"/>
      <c r="T56" s="180"/>
      <c r="U56" s="180"/>
      <c r="V56" s="180"/>
    </row>
    <row r="57" spans="1:22" ht="12.75">
      <c r="A57" s="69"/>
      <c r="B57" s="2166" t="s">
        <v>793</v>
      </c>
      <c r="C57" s="69"/>
      <c r="D57" s="69"/>
      <c r="E57" s="69"/>
      <c r="F57" s="69"/>
      <c r="G57" s="69"/>
      <c r="H57" s="69"/>
      <c r="I57" s="69"/>
      <c r="J57" s="2221"/>
      <c r="K57" s="180"/>
      <c r="L57" s="180"/>
      <c r="M57" s="180"/>
      <c r="N57" s="180"/>
      <c r="O57" s="180"/>
      <c r="P57" s="180"/>
      <c r="Q57" s="180"/>
      <c r="R57" s="180"/>
      <c r="S57" s="180"/>
      <c r="T57" s="180"/>
      <c r="U57" s="180"/>
      <c r="V57" s="180"/>
    </row>
    <row r="58" spans="1:22" ht="12.75">
      <c r="A58" s="69"/>
      <c r="B58" s="2166"/>
      <c r="C58" s="69"/>
      <c r="D58" s="69"/>
      <c r="E58" s="69"/>
      <c r="F58" s="69"/>
      <c r="G58" s="69"/>
      <c r="H58" s="69"/>
      <c r="I58" s="69"/>
      <c r="J58" s="2221"/>
      <c r="K58" s="180"/>
      <c r="L58" s="180"/>
      <c r="M58" s="180"/>
      <c r="N58" s="180"/>
      <c r="O58" s="180"/>
      <c r="P58" s="180"/>
      <c r="Q58" s="180"/>
      <c r="R58" s="180"/>
      <c r="S58" s="180"/>
      <c r="T58" s="180"/>
      <c r="U58" s="180"/>
      <c r="V58" s="180"/>
    </row>
    <row r="59" spans="1:22" ht="12.75">
      <c r="A59" s="69"/>
      <c r="B59" s="2165"/>
      <c r="C59" s="2165"/>
      <c r="D59" s="2165"/>
      <c r="E59" s="2165"/>
      <c r="F59" s="2165"/>
      <c r="G59" s="2165"/>
      <c r="H59" s="2165"/>
      <c r="I59" s="2223" t="s">
        <v>792</v>
      </c>
      <c r="J59" s="2221"/>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1"/>
      <c r="K60" s="180"/>
      <c r="L60" s="180"/>
      <c r="M60" s="180"/>
      <c r="N60" s="180"/>
      <c r="O60" s="180"/>
      <c r="P60" s="180"/>
      <c r="Q60" s="180"/>
      <c r="R60" s="180"/>
      <c r="S60" s="180"/>
      <c r="T60" s="180"/>
      <c r="U60" s="180"/>
      <c r="V60" s="180"/>
    </row>
    <row r="61" spans="1:22" ht="12.75">
      <c r="A61" s="69"/>
      <c r="B61" s="2166"/>
      <c r="C61" s="2167"/>
      <c r="D61" s="2168"/>
      <c r="E61" s="2168"/>
      <c r="F61" s="2169"/>
      <c r="G61" s="69"/>
      <c r="H61" s="69"/>
      <c r="I61" s="69"/>
      <c r="J61" s="2221"/>
      <c r="K61" s="180"/>
      <c r="L61" s="180"/>
      <c r="M61" s="180"/>
      <c r="N61" s="180"/>
      <c r="O61" s="180"/>
      <c r="P61" s="180"/>
      <c r="Q61" s="180"/>
      <c r="R61" s="180"/>
      <c r="S61" s="180"/>
      <c r="T61" s="180"/>
      <c r="U61" s="180"/>
      <c r="V61" s="180"/>
    </row>
    <row r="62" spans="1:22" ht="18.75">
      <c r="A62" s="2170" t="s">
        <v>794</v>
      </c>
      <c r="B62" s="2171"/>
      <c r="C62" s="2171"/>
      <c r="D62" s="2172"/>
      <c r="E62" s="2172"/>
      <c r="F62" s="2173"/>
      <c r="G62" s="2173"/>
      <c r="H62" s="2173"/>
      <c r="I62" s="2173"/>
      <c r="J62" s="2224"/>
      <c r="K62" s="180"/>
      <c r="L62" s="180"/>
      <c r="M62" s="180"/>
      <c r="N62" s="180"/>
      <c r="O62" s="180"/>
      <c r="P62" s="180"/>
      <c r="Q62" s="180"/>
      <c r="R62" s="180"/>
      <c r="S62" s="180"/>
      <c r="T62" s="180"/>
      <c r="U62" s="180"/>
      <c r="V62" s="180"/>
    </row>
    <row r="63" spans="1:22" ht="14.25" customHeight="1">
      <c r="A63" s="3272" t="s">
        <v>795</v>
      </c>
      <c r="B63" s="3273"/>
      <c r="C63" s="3274"/>
      <c r="D63" s="893">
        <f ca="1">ROUND(C42*F63,0)</f>
        <v>49211</v>
      </c>
      <c r="E63" s="2174" t="s">
        <v>796</v>
      </c>
      <c r="F63" s="2175">
        <v>0.6</v>
      </c>
      <c r="G63" s="2176" t="s">
        <v>797</v>
      </c>
      <c r="H63" s="115"/>
      <c r="I63" s="115"/>
      <c r="J63" s="180"/>
      <c r="K63" s="180"/>
      <c r="L63" s="180"/>
      <c r="M63" s="180"/>
      <c r="N63" s="180"/>
      <c r="O63" s="180"/>
      <c r="P63" s="115"/>
      <c r="Q63" s="180"/>
      <c r="R63" s="180"/>
      <c r="S63" s="180"/>
      <c r="T63" s="180"/>
      <c r="U63" s="180"/>
      <c r="V63" s="180"/>
    </row>
    <row r="64" spans="1:22" ht="14.25" customHeight="1">
      <c r="A64" s="3275" t="s">
        <v>798</v>
      </c>
      <c r="B64" s="3276"/>
      <c r="C64" s="3276"/>
      <c r="D64" s="3276"/>
      <c r="E64" s="3276"/>
      <c r="F64" s="3276"/>
      <c r="G64" s="3277"/>
      <c r="H64" s="2177"/>
      <c r="I64" s="116"/>
      <c r="J64" s="117"/>
      <c r="K64" s="2225" t="s">
        <v>799</v>
      </c>
      <c r="L64" s="2226"/>
      <c r="M64" s="2226"/>
      <c r="N64" s="2226"/>
      <c r="O64" s="2226"/>
      <c r="P64" s="115"/>
      <c r="Q64" s="180"/>
      <c r="R64" s="180"/>
      <c r="S64" s="180"/>
      <c r="T64" s="180"/>
      <c r="U64" s="180"/>
      <c r="V64" s="180"/>
    </row>
    <row r="65" spans="1:22" ht="12" customHeight="1">
      <c r="A65" s="2228" t="s">
        <v>800</v>
      </c>
      <c r="B65" s="2229"/>
      <c r="C65" s="2230"/>
      <c r="D65" s="2231" t="s">
        <v>801</v>
      </c>
      <c r="E65" s="121" t="s">
        <v>802</v>
      </c>
      <c r="F65" s="2232" t="s">
        <v>803</v>
      </c>
      <c r="G65" s="2233" t="s">
        <v>804</v>
      </c>
      <c r="H65" s="2177"/>
      <c r="I65" s="116"/>
      <c r="J65" s="117"/>
      <c r="K65" s="2331"/>
      <c r="L65" s="2332"/>
      <c r="M65" s="2332"/>
      <c r="N65" s="2333" t="s">
        <v>805</v>
      </c>
      <c r="O65" s="2334"/>
      <c r="P65" s="2335"/>
      <c r="Q65" s="180"/>
      <c r="R65" s="180"/>
      <c r="S65" s="180"/>
      <c r="T65" s="180"/>
      <c r="U65" s="180"/>
      <c r="V65" s="180"/>
    </row>
    <row r="66" spans="1:22" ht="25.5">
      <c r="A66" s="3278" t="s">
        <v>806</v>
      </c>
      <c r="B66" s="3279"/>
      <c r="C66" s="3279"/>
      <c r="D66" s="866">
        <f ca="1">IF(H66="情况1",0,IF(H66="情况2",D70,IF(H66="情况3",D71,IF(H66="情况4",D72))))</f>
        <v>2625</v>
      </c>
      <c r="E66" s="888" t="str">
        <f>IF(H66="情况4","(销售额-原购置价)×税（费）率","销售额×税（费）率")</f>
        <v>销售额×税（费）率</v>
      </c>
      <c r="F66" s="2234">
        <f>IF(H66="情况1","免征",'数据-取费表'!B41)</f>
        <v>5.6000000000000001E-2</v>
      </c>
      <c r="G66" s="2235" t="s">
        <v>807</v>
      </c>
      <c r="H66" s="2236" t="s">
        <v>808</v>
      </c>
      <c r="I66" s="2177"/>
      <c r="J66" s="2336"/>
      <c r="K66" s="2337">
        <v>1</v>
      </c>
      <c r="L66" s="3280" t="s">
        <v>809</v>
      </c>
      <c r="M66" s="3281"/>
      <c r="N66" s="2338"/>
      <c r="O66" s="2339"/>
      <c r="P66" s="2340"/>
      <c r="Q66" s="180"/>
      <c r="R66" s="180"/>
      <c r="S66" s="180"/>
      <c r="T66" s="180"/>
      <c r="U66" s="180"/>
      <c r="V66" s="180"/>
    </row>
    <row r="67" spans="1:22" ht="25.5" customHeight="1">
      <c r="A67" s="2237" t="s">
        <v>810</v>
      </c>
      <c r="B67" s="3282" t="s">
        <v>811</v>
      </c>
      <c r="C67" s="3282"/>
      <c r="D67" s="2238">
        <v>0</v>
      </c>
      <c r="E67" s="2239" t="s">
        <v>812</v>
      </c>
      <c r="F67" s="2240" t="s">
        <v>138</v>
      </c>
      <c r="G67" s="3319"/>
      <c r="H67" s="115"/>
      <c r="I67" s="2341"/>
      <c r="J67" s="2342"/>
      <c r="K67" s="2343">
        <v>2</v>
      </c>
      <c r="L67" s="3283" t="s">
        <v>813</v>
      </c>
      <c r="M67" s="3283"/>
      <c r="N67" s="2344">
        <f>'数据-取费表'!B2</f>
        <v>43900</v>
      </c>
      <c r="O67" s="2344"/>
      <c r="P67" s="2344"/>
      <c r="Q67" s="180"/>
      <c r="R67" s="180"/>
      <c r="S67" s="180"/>
      <c r="T67" s="180"/>
      <c r="U67" s="180"/>
      <c r="V67" s="180"/>
    </row>
    <row r="68" spans="1:22" ht="25.5" customHeight="1">
      <c r="A68" s="2242"/>
      <c r="B68" s="3282" t="s">
        <v>814</v>
      </c>
      <c r="C68" s="3282"/>
      <c r="D68" s="2243"/>
      <c r="E68" s="2244"/>
      <c r="F68" s="2245"/>
      <c r="G68" s="3320"/>
      <c r="H68" s="115"/>
      <c r="I68" s="2341"/>
      <c r="J68" s="2342"/>
      <c r="K68" s="2343">
        <v>3</v>
      </c>
      <c r="L68" s="3283" t="s">
        <v>815</v>
      </c>
      <c r="M68" s="3283"/>
      <c r="N68" s="2345">
        <f ca="1">C42</f>
        <v>82019</v>
      </c>
      <c r="O68" s="2345"/>
      <c r="P68" s="2345"/>
      <c r="Q68" s="180"/>
      <c r="R68" s="180"/>
      <c r="S68" s="180"/>
      <c r="T68" s="180"/>
      <c r="U68" s="180"/>
      <c r="V68" s="180"/>
    </row>
    <row r="69" spans="1:22" ht="12" customHeight="1">
      <c r="A69" s="2246"/>
      <c r="B69" s="3282" t="s">
        <v>816</v>
      </c>
      <c r="C69" s="3282"/>
      <c r="D69" s="2247"/>
      <c r="E69" s="2248"/>
      <c r="F69" s="2245"/>
      <c r="G69" s="3321"/>
      <c r="H69" s="115"/>
      <c r="I69" s="2341"/>
      <c r="J69" s="2342"/>
      <c r="K69" s="2346">
        <v>4</v>
      </c>
      <c r="L69" s="3284" t="s">
        <v>817</v>
      </c>
      <c r="M69" s="3285"/>
      <c r="N69" s="2347">
        <f ca="1">C44</f>
        <v>82019</v>
      </c>
      <c r="O69" s="2347"/>
      <c r="P69" s="2347"/>
      <c r="Q69" s="180"/>
      <c r="R69" s="180"/>
      <c r="S69" s="180"/>
      <c r="T69" s="180"/>
      <c r="U69" s="180"/>
      <c r="V69" s="180"/>
    </row>
    <row r="70" spans="1:22" ht="24" customHeight="1">
      <c r="A70" s="2250" t="s">
        <v>818</v>
      </c>
      <c r="B70" s="3282" t="s">
        <v>819</v>
      </c>
      <c r="C70" s="3282"/>
      <c r="D70" s="2247">
        <f ca="1">ROUND(D63*'数据-取费表'!B41/(1+'数据-取费表'!C42),0)</f>
        <v>2625</v>
      </c>
      <c r="E70" s="124" t="s">
        <v>820</v>
      </c>
      <c r="F70" s="2251">
        <f>'数据-取费表'!B41</f>
        <v>5.6000000000000001E-2</v>
      </c>
      <c r="G70" s="2252"/>
      <c r="H70" s="115"/>
      <c r="I70" s="2341"/>
      <c r="J70" s="2342"/>
      <c r="K70" s="2348"/>
      <c r="L70" s="2349"/>
      <c r="M70" s="2349"/>
      <c r="N70" s="2350" t="s">
        <v>798</v>
      </c>
      <c r="O70" s="2349"/>
      <c r="P70" s="2351"/>
      <c r="Q70" s="180"/>
      <c r="R70" s="180"/>
      <c r="S70" s="180"/>
      <c r="T70" s="180"/>
      <c r="U70" s="180"/>
      <c r="V70" s="180"/>
    </row>
    <row r="71" spans="1:22" ht="12" customHeight="1">
      <c r="A71" s="2250" t="s">
        <v>821</v>
      </c>
      <c r="B71" s="3286" t="s">
        <v>822</v>
      </c>
      <c r="C71" s="3287"/>
      <c r="D71" s="2247">
        <f ca="1">ROUND(D63*'数据-取费表'!B41/(1+'数据-取费表'!C42),0)</f>
        <v>2625</v>
      </c>
      <c r="E71" s="124" t="s">
        <v>820</v>
      </c>
      <c r="F71" s="2251">
        <f>'数据-取费表'!B41</f>
        <v>5.6000000000000001E-2</v>
      </c>
      <c r="G71" s="2252"/>
      <c r="H71" s="115"/>
      <c r="I71" s="2341"/>
      <c r="J71" s="2342"/>
      <c r="K71" s="2352" t="s">
        <v>823</v>
      </c>
      <c r="L71" s="3288" t="s">
        <v>800</v>
      </c>
      <c r="M71" s="3288"/>
      <c r="N71" s="2352" t="s">
        <v>824</v>
      </c>
      <c r="O71" s="2352" t="s">
        <v>825</v>
      </c>
      <c r="P71" s="2352" t="s">
        <v>803</v>
      </c>
      <c r="Q71" s="180"/>
      <c r="R71" s="180"/>
      <c r="S71" s="180"/>
      <c r="T71" s="180"/>
      <c r="U71" s="180"/>
      <c r="V71" s="180"/>
    </row>
    <row r="72" spans="1:22" ht="12" customHeight="1">
      <c r="A72" s="2250" t="s">
        <v>826</v>
      </c>
      <c r="B72" s="3286" t="s">
        <v>827</v>
      </c>
      <c r="C72" s="3287"/>
      <c r="D72" s="2247">
        <f ca="1">C86</f>
        <v>2513</v>
      </c>
      <c r="E72" s="2248" t="s">
        <v>828</v>
      </c>
      <c r="F72" s="2251">
        <f>'数据-取费表'!B41</f>
        <v>5.6000000000000001E-2</v>
      </c>
      <c r="G72" s="2252"/>
      <c r="H72" s="2253"/>
      <c r="I72" s="2341"/>
      <c r="J72" s="2342"/>
      <c r="K72" s="2343">
        <v>1</v>
      </c>
      <c r="L72" s="3289" t="s">
        <v>829</v>
      </c>
      <c r="M72" s="3289"/>
      <c r="N72" s="2353">
        <f ca="1">D66</f>
        <v>2625</v>
      </c>
      <c r="O72" s="1266" t="str">
        <f>E66</f>
        <v>销售额×税（费）率</v>
      </c>
      <c r="P72" s="2354">
        <f>F66</f>
        <v>5.6000000000000001E-2</v>
      </c>
      <c r="Q72" s="180"/>
      <c r="R72" s="180"/>
      <c r="S72" s="180"/>
      <c r="T72" s="180"/>
      <c r="U72" s="180"/>
      <c r="V72" s="180"/>
    </row>
    <row r="73" spans="1:22" ht="24" customHeight="1">
      <c r="A73" s="3290" t="s">
        <v>830</v>
      </c>
      <c r="B73" s="3279"/>
      <c r="C73" s="3279"/>
      <c r="D73" s="2254">
        <f>IF(H73="个人住宅",0,ROUND(D63*I73,0))</f>
        <v>0</v>
      </c>
      <c r="E73" s="124" t="s">
        <v>831</v>
      </c>
      <c r="F73" s="2251" t="str">
        <f>IF(H73="正常",I73,"免征")</f>
        <v>免征</v>
      </c>
      <c r="G73" s="2252"/>
      <c r="H73" s="2236" t="s">
        <v>832</v>
      </c>
      <c r="I73" s="2251">
        <f>'数据-取费表'!B49</f>
        <v>5.0000000000000001E-4</v>
      </c>
      <c r="J73" s="2342"/>
      <c r="K73" s="2343">
        <v>2</v>
      </c>
      <c r="L73" s="3289" t="s">
        <v>833</v>
      </c>
      <c r="M73" s="3289"/>
      <c r="N73" s="2353">
        <f t="shared" ref="N73:P74" si="1">D73</f>
        <v>0</v>
      </c>
      <c r="O73" s="1266" t="str">
        <f t="shared" si="1"/>
        <v>销售额×税（费）率</v>
      </c>
      <c r="P73" s="2354" t="str">
        <f t="shared" si="1"/>
        <v>免征</v>
      </c>
      <c r="Q73" s="180"/>
      <c r="R73" s="180"/>
      <c r="S73" s="180"/>
      <c r="T73" s="180"/>
      <c r="U73" s="180"/>
      <c r="V73" s="180"/>
    </row>
    <row r="74" spans="1:22" ht="24.75">
      <c r="A74" s="3290" t="s">
        <v>834</v>
      </c>
      <c r="B74" s="3279"/>
      <c r="C74" s="3279"/>
      <c r="D74" s="2254">
        <f ca="1">IF(H74="个人住宅",D75,D76)</f>
        <v>27198</v>
      </c>
      <c r="E74" s="124" t="s">
        <v>835</v>
      </c>
      <c r="F74" s="2251" t="str">
        <f>IF(H74="正常",F76,"免征")</f>
        <v>——</v>
      </c>
      <c r="G74" s="2255" t="s">
        <v>807</v>
      </c>
      <c r="H74" s="2256" t="s">
        <v>836</v>
      </c>
      <c r="I74" s="2258"/>
      <c r="J74" s="2342"/>
      <c r="K74" s="2343">
        <v>3</v>
      </c>
      <c r="L74" s="3289" t="s">
        <v>837</v>
      </c>
      <c r="M74" s="3289"/>
      <c r="N74" s="2353">
        <f t="shared" ca="1" si="1"/>
        <v>27198</v>
      </c>
      <c r="O74" s="1266" t="str">
        <f t="shared" si="1"/>
        <v>增值额×税（费）率</v>
      </c>
      <c r="P74" s="2355" t="str">
        <f t="shared" si="1"/>
        <v>——</v>
      </c>
      <c r="Q74" s="180"/>
      <c r="R74" s="180"/>
      <c r="S74" s="180"/>
      <c r="T74" s="180"/>
      <c r="U74" s="180"/>
      <c r="V74" s="180"/>
    </row>
    <row r="75" spans="1:22" ht="24">
      <c r="A75" s="2250" t="s">
        <v>810</v>
      </c>
      <c r="B75" s="3258" t="s">
        <v>838</v>
      </c>
      <c r="C75" s="3260"/>
      <c r="D75" s="2257">
        <v>0</v>
      </c>
      <c r="E75" s="2239" t="s">
        <v>812</v>
      </c>
      <c r="F75" s="78"/>
      <c r="G75" s="2252"/>
      <c r="H75" s="2258"/>
      <c r="I75" s="2258"/>
      <c r="J75" s="2342"/>
      <c r="K75" s="2343">
        <f>IF(H77="非个人房产","",4)</f>
        <v>4</v>
      </c>
      <c r="L75" s="3289" t="str">
        <f>IF(H77="非个人房产","——","个人所得税")</f>
        <v>个人所得税</v>
      </c>
      <c r="M75" s="3289"/>
      <c r="N75" s="2356">
        <f ca="1">D77</f>
        <v>492</v>
      </c>
      <c r="O75" s="1279" t="str">
        <f>E77</f>
        <v>销售额×税（费）率</v>
      </c>
      <c r="P75" s="2357">
        <f>F77</f>
        <v>0.01</v>
      </c>
      <c r="Q75" s="180"/>
      <c r="R75" s="180"/>
      <c r="S75" s="180"/>
      <c r="T75" s="180"/>
      <c r="U75" s="180"/>
      <c r="V75" s="180"/>
    </row>
    <row r="76" spans="1:22" ht="24.75">
      <c r="A76" s="2250" t="s">
        <v>818</v>
      </c>
      <c r="B76" s="3258" t="s">
        <v>839</v>
      </c>
      <c r="C76" s="3259"/>
      <c r="D76" s="2254">
        <f ca="1">IF(H76="转让取得",C99,C115)</f>
        <v>27198</v>
      </c>
      <c r="E76" s="124" t="s">
        <v>835</v>
      </c>
      <c r="F76" s="121" t="s">
        <v>138</v>
      </c>
      <c r="G76" s="2252"/>
      <c r="H76" s="2256" t="s">
        <v>840</v>
      </c>
      <c r="I76" s="2258"/>
      <c r="J76" s="2342"/>
      <c r="K76" s="2343" t="str">
        <f>IF(项目基本情况!K6="上海银行",IF(K75="",4,K75+1),"")</f>
        <v/>
      </c>
      <c r="L76" s="3291" t="str">
        <f>IF(项目基本情况!K6="上海银行","其他处置费用","")</f>
        <v/>
      </c>
      <c r="M76" s="3292"/>
      <c r="N76" s="2353" t="str">
        <f>IF(项目基本情况!K6="上海银行",N89,"")</f>
        <v/>
      </c>
      <c r="O76" s="3293" t="str">
        <f>IF(项目基本情况!K6="上海银行","包含处置中涉及的律师、诉讼、拍卖、评估等费用","")</f>
        <v/>
      </c>
      <c r="P76" s="3294"/>
      <c r="Q76" s="180"/>
      <c r="R76" s="180"/>
      <c r="S76" s="180"/>
      <c r="T76" s="180"/>
      <c r="U76" s="180"/>
      <c r="V76" s="180"/>
    </row>
    <row r="77" spans="1:22" ht="25.5">
      <c r="A77" s="3295" t="s">
        <v>841</v>
      </c>
      <c r="B77" s="3296"/>
      <c r="C77" s="3296"/>
      <c r="D77" s="2259">
        <f ca="1">IF(H77="非个人房产","——",IF(H77="个人住宅",0,ROUND(D63*I77,0)))</f>
        <v>492</v>
      </c>
      <c r="E77" s="2260" t="str">
        <f>IF(H77="非个人房产","——","销售额×税（费）率")</f>
        <v>销售额×税（费）率</v>
      </c>
      <c r="F77" s="2261">
        <f>IF(H77="非个人房产","——",IF(H77="个人住宅","免征",I77))</f>
        <v>0.01</v>
      </c>
      <c r="G77" s="2262" t="s">
        <v>807</v>
      </c>
      <c r="H77" s="2256" t="s">
        <v>842</v>
      </c>
      <c r="I77" s="2359">
        <v>0.01</v>
      </c>
      <c r="J77" s="2342"/>
      <c r="K77" s="3325">
        <f>IF(AND(K75="",K76=""),4,IF(项目基本情况!K6="上海银行",K76+1,K75+1))</f>
        <v>5</v>
      </c>
      <c r="L77" s="3289" t="s">
        <v>458</v>
      </c>
      <c r="M77" s="2360" t="s">
        <v>843</v>
      </c>
      <c r="N77" s="2361"/>
      <c r="O77" s="2362">
        <f ca="1">SUMIF(N72:N76,"&lt;9e307")</f>
        <v>30315</v>
      </c>
      <c r="P77" s="2363"/>
      <c r="Q77" s="2382">
        <f ca="1">O77/N69</f>
        <v>0.36960948073007471</v>
      </c>
      <c r="R77" s="180"/>
      <c r="S77" s="180"/>
      <c r="T77" s="180"/>
      <c r="U77" s="180"/>
      <c r="V77" s="180"/>
    </row>
    <row r="78" spans="1:22" ht="12" customHeight="1">
      <c r="A78" s="2263"/>
      <c r="B78" s="115"/>
      <c r="C78" s="115"/>
      <c r="D78" s="115"/>
      <c r="E78" s="2258"/>
      <c r="F78" s="2258"/>
      <c r="G78" s="2258"/>
      <c r="H78" s="2264"/>
      <c r="I78" s="115"/>
      <c r="J78" s="2342"/>
      <c r="K78" s="3325"/>
      <c r="L78" s="3289"/>
      <c r="M78" s="2360" t="s">
        <v>844</v>
      </c>
      <c r="N78" s="2361"/>
      <c r="O78" s="2362" t="str">
        <f ca="1">NUMBERSTRING(INT(O77*10000),2)&amp;"元整"</f>
        <v>叁亿零叁佰壹拾伍万元整</v>
      </c>
      <c r="P78" s="2363"/>
      <c r="Q78" s="180"/>
      <c r="R78" s="180"/>
      <c r="S78" s="180"/>
      <c r="T78" s="180"/>
      <c r="U78" s="180"/>
      <c r="V78" s="180"/>
    </row>
    <row r="79" spans="1:22" ht="12.75">
      <c r="A79" s="3297" t="s">
        <v>845</v>
      </c>
      <c r="B79" s="3297"/>
      <c r="C79" s="3297"/>
      <c r="D79" s="3297"/>
      <c r="E79" s="3297"/>
      <c r="F79" s="2258"/>
      <c r="G79" s="2258"/>
      <c r="H79" s="2264"/>
      <c r="I79" s="115"/>
      <c r="J79" s="2342"/>
      <c r="K79" s="3326">
        <f>K77+1</f>
        <v>6</v>
      </c>
      <c r="L79" s="3289" t="s">
        <v>846</v>
      </c>
      <c r="M79" s="2360" t="s">
        <v>843</v>
      </c>
      <c r="N79" s="2361"/>
      <c r="O79" s="2362">
        <f ca="1">N69-O77</f>
        <v>51704</v>
      </c>
      <c r="P79" s="2363"/>
      <c r="Q79" s="180"/>
      <c r="R79" s="180"/>
      <c r="S79" s="180"/>
      <c r="T79" s="180"/>
      <c r="U79" s="180"/>
      <c r="V79" s="180"/>
    </row>
    <row r="80" spans="1:22" ht="25.5">
      <c r="A80" s="3298" t="s">
        <v>847</v>
      </c>
      <c r="B80" s="3299"/>
      <c r="C80" s="2265"/>
      <c r="D80" s="2265" t="s">
        <v>848</v>
      </c>
      <c r="E80" s="2266" t="s">
        <v>804</v>
      </c>
      <c r="F80" s="2258"/>
      <c r="G80" s="2258"/>
      <c r="H80" s="2264"/>
      <c r="I80" s="115"/>
      <c r="J80" s="180"/>
      <c r="K80" s="3327"/>
      <c r="L80" s="3289"/>
      <c r="M80" s="2360" t="s">
        <v>844</v>
      </c>
      <c r="N80" s="2361"/>
      <c r="O80" s="2362" t="str">
        <f ca="1">NUMBERSTRING(INT(O79*10000),2)&amp;"元整"</f>
        <v>伍亿壹仟柒佰零肆万元整</v>
      </c>
      <c r="P80" s="2363"/>
      <c r="Q80" s="180"/>
      <c r="R80" s="180"/>
      <c r="S80" s="180"/>
      <c r="T80" s="180"/>
      <c r="U80" s="180"/>
      <c r="V80" s="180"/>
    </row>
    <row r="81" spans="1:26" ht="12.75">
      <c r="A81" s="2267" t="s">
        <v>849</v>
      </c>
      <c r="B81" s="2268" t="s">
        <v>850</v>
      </c>
      <c r="C81" s="2269">
        <f ca="1">ROUND((C82+C83)/(1+'数据-取费表'!C42),0)</f>
        <v>46868</v>
      </c>
      <c r="D81" s="2270"/>
      <c r="E81" s="2271"/>
      <c r="F81" s="2258"/>
      <c r="G81" s="2258"/>
      <c r="H81" s="2264"/>
      <c r="I81" s="115"/>
      <c r="J81" s="180"/>
      <c r="K81" s="2343">
        <f>K79+1</f>
        <v>7</v>
      </c>
      <c r="L81" s="3300" t="s">
        <v>851</v>
      </c>
      <c r="M81" s="3301"/>
      <c r="N81" s="2364"/>
      <c r="O81" s="2365">
        <f ca="1">ROUND(O79*10000/'数据-汇总表'!E3,0)</f>
        <v>4023</v>
      </c>
      <c r="P81" s="2366"/>
      <c r="Q81" s="180"/>
      <c r="R81" s="180"/>
      <c r="S81" s="180"/>
      <c r="T81" s="180"/>
      <c r="U81" s="180"/>
      <c r="V81" s="180"/>
    </row>
    <row r="82" spans="1:26" ht="12.75">
      <c r="A82" s="1996" t="s">
        <v>852</v>
      </c>
      <c r="B82" s="2272" t="s">
        <v>853</v>
      </c>
      <c r="C82" s="2273">
        <f ca="1">D63</f>
        <v>49211</v>
      </c>
      <c r="D82" s="1537" t="s">
        <v>138</v>
      </c>
      <c r="E82" s="2274"/>
      <c r="F82" s="2258"/>
      <c r="G82" s="2258"/>
      <c r="H82" s="2264"/>
      <c r="I82" s="115"/>
      <c r="J82" s="180"/>
      <c r="K82" s="180"/>
      <c r="L82" s="180"/>
      <c r="M82" s="180"/>
      <c r="N82" s="180"/>
      <c r="O82" s="180"/>
      <c r="P82" s="180"/>
      <c r="Q82" s="180"/>
      <c r="R82" s="180"/>
      <c r="S82" s="180"/>
      <c r="T82" s="180"/>
      <c r="U82" s="180"/>
      <c r="V82" s="180"/>
    </row>
    <row r="83" spans="1:26" ht="12.75">
      <c r="A83" s="1996" t="s">
        <v>854</v>
      </c>
      <c r="B83" s="2272" t="s">
        <v>855</v>
      </c>
      <c r="C83" s="2275">
        <v>0</v>
      </c>
      <c r="D83" s="1537"/>
      <c r="E83" s="2274"/>
      <c r="F83" s="2258"/>
      <c r="G83" s="2258"/>
      <c r="H83" s="2264"/>
      <c r="I83" s="115"/>
      <c r="J83" s="180"/>
      <c r="K83" s="3328" t="s">
        <v>856</v>
      </c>
      <c r="L83" s="2367" t="s">
        <v>857</v>
      </c>
      <c r="M83" s="2368">
        <f ca="1">IF(N69&gt;10000,N69*0.5%,IF(AND(N69&gt;1000,N69&lt;=10000),N69*1%,IF(AND(N69&gt;100,N69&lt;=1000),N69*3%,IF(AND(N69&gt;10,N69&lt;=100),N69*5%,N69*8%))))</f>
        <v>410.09500000000003</v>
      </c>
      <c r="N83" s="121">
        <f ca="1">ROUND(M83,1)</f>
        <v>410.1</v>
      </c>
      <c r="O83" s="2369"/>
      <c r="P83" s="180"/>
      <c r="Q83" s="180"/>
      <c r="R83" s="180"/>
      <c r="S83" s="180"/>
      <c r="T83" s="180"/>
      <c r="U83" s="180"/>
      <c r="V83" s="180"/>
    </row>
    <row r="84" spans="1:26" ht="12.75">
      <c r="A84" s="2267" t="s">
        <v>858</v>
      </c>
      <c r="B84" s="2276" t="s">
        <v>859</v>
      </c>
      <c r="C84" s="2277">
        <v>2000</v>
      </c>
      <c r="D84" s="2278" t="s">
        <v>138</v>
      </c>
      <c r="E84" s="2279" t="s">
        <v>860</v>
      </c>
      <c r="F84" s="2258"/>
      <c r="G84" s="2258"/>
      <c r="H84" s="2264"/>
      <c r="I84" s="115"/>
      <c r="J84" s="180"/>
      <c r="K84" s="3328"/>
      <c r="L84" s="2367" t="s">
        <v>861</v>
      </c>
      <c r="M84" s="2368">
        <f ca="1">IF(N69&gt;2000,N69*0.5%,IF(AND(N69&gt;1000,N69&lt;=2000),N69*0.6%,IF(AND(N69&gt;500,N69&lt;=1000),N69*0.7%,IF(AND(N69&gt;200,N69&lt;=500),N69*0.8%,IF(AND(N69&gt;100,N69&lt;=200),N69*0.9%,IF(AND(N69&gt;50,N69&lt;=100),N69*1%,IF(AND(N69&gt;20,N69&lt;=50),N69*1.5%,IF(AND(N69&gt;10,N69&lt;=20),N69*2%,IF(AND(N69&gt;1,N69&lt;=10),N69*2.5%)))))))))</f>
        <v>410.09500000000003</v>
      </c>
      <c r="N84" s="121">
        <f t="shared" ref="N84:N85" ca="1" si="2">ROUND(M84,1)</f>
        <v>410.1</v>
      </c>
      <c r="O84" s="180" t="s">
        <v>862</v>
      </c>
      <c r="P84" s="180"/>
      <c r="Q84" s="180"/>
      <c r="R84" s="180"/>
      <c r="S84" s="180"/>
      <c r="T84" s="180"/>
      <c r="U84" s="180"/>
      <c r="V84" s="180"/>
    </row>
    <row r="85" spans="1:26" ht="12.75">
      <c r="A85" s="2267" t="s">
        <v>863</v>
      </c>
      <c r="B85" s="2276" t="s">
        <v>864</v>
      </c>
      <c r="C85" s="2280">
        <f ca="1">C81-C84</f>
        <v>44868</v>
      </c>
      <c r="D85" s="1537" t="s">
        <v>138</v>
      </c>
      <c r="E85" s="2274"/>
      <c r="F85" s="2258"/>
      <c r="G85" s="2258"/>
      <c r="H85" s="2264"/>
      <c r="I85" s="115"/>
      <c r="J85" s="180"/>
      <c r="K85" s="3328"/>
      <c r="L85" s="2367" t="s">
        <v>865</v>
      </c>
      <c r="M85" s="2368">
        <f ca="1">IF(N69&gt;1000,N69*0.1%,IF(AND(N69&gt;500,N69&lt;=1000),N69*0.5%,IF(AND(N69&gt;50,N69&lt;=500),N69*1%,IF(AND(N69&gt;1,N69&lt;=50),N69*1.5%))))</f>
        <v>82.019000000000005</v>
      </c>
      <c r="N85" s="121">
        <f t="shared" ca="1" si="2"/>
        <v>82</v>
      </c>
      <c r="O85" s="180" t="s">
        <v>862</v>
      </c>
      <c r="P85" s="180"/>
      <c r="Q85" s="180"/>
      <c r="R85" s="180"/>
      <c r="S85" s="180"/>
      <c r="T85" s="180"/>
      <c r="U85" s="180"/>
      <c r="V85" s="180"/>
    </row>
    <row r="86" spans="1:26" ht="12.75">
      <c r="A86" s="2281" t="s">
        <v>866</v>
      </c>
      <c r="B86" s="2282" t="s">
        <v>867</v>
      </c>
      <c r="C86" s="2283">
        <f ca="1">IF(C85&lt;=0,0,ROUND(C85*D86,0))</f>
        <v>2513</v>
      </c>
      <c r="D86" s="2284">
        <f>'数据-取费表'!B41</f>
        <v>5.6000000000000001E-2</v>
      </c>
      <c r="E86" s="2285"/>
      <c r="F86" s="2258"/>
      <c r="G86" s="2258"/>
      <c r="H86" s="2264"/>
      <c r="I86" s="115"/>
      <c r="J86" s="180"/>
      <c r="K86" s="3328"/>
      <c r="L86" s="2367" t="s">
        <v>868</v>
      </c>
      <c r="M86" s="2368">
        <f ca="1">N69*0.5%</f>
        <v>410.09500000000003</v>
      </c>
      <c r="N86" s="121">
        <f ca="1">IF(M86&gt;0.5,0.5,ROUND(M86,0))</f>
        <v>0.5</v>
      </c>
      <c r="O86" s="180" t="s">
        <v>869</v>
      </c>
      <c r="P86" s="180"/>
      <c r="Q86" s="180"/>
      <c r="R86" s="180"/>
      <c r="S86" s="180"/>
      <c r="T86" s="180"/>
      <c r="U86" s="180"/>
      <c r="V86" s="180"/>
    </row>
    <row r="87" spans="1:26" s="2060" customFormat="1" ht="14.25" customHeight="1">
      <c r="A87" s="2286"/>
      <c r="B87" s="2287"/>
      <c r="C87" s="2288"/>
      <c r="D87" s="2289"/>
      <c r="E87" s="2290"/>
      <c r="F87" s="2258"/>
      <c r="G87" s="2258"/>
      <c r="H87" s="2264"/>
      <c r="I87" s="115"/>
      <c r="J87" s="180"/>
      <c r="K87" s="3328"/>
      <c r="L87" s="2367" t="s">
        <v>870</v>
      </c>
      <c r="M87" s="2368">
        <f ca="1">IF(N69&gt;=10000,(8.25+(N69-10000)*0.01%),IF(AND(N69&gt;=8000,N69&lt;10000),(7.85+(N69-8000)*0.02%),IF(AND(N69&gt;=5000,N69&lt;8000),(6.65+(N69-5000)*0.04%),IF(AND(N69&gt;=2000,N69&lt;5000),(4.25+(PN69-2000)*0.08%),IF(AND(N69&gt;=1000,N69&lt;2000),(2.75+(N69-1000)*0.15%),IF(AND(N69&gt;=100,N69&lt;1000),(0.5+(N69-100)*0.25%),IF(AND(N69&gt;0,N69&lt;100),N69*0.5%)))))))</f>
        <v>15.4519</v>
      </c>
      <c r="N87" s="121">
        <f ca="1">ROUND(M87*0.9,1)</f>
        <v>13.9</v>
      </c>
      <c r="O87" s="2369"/>
      <c r="P87" s="115"/>
      <c r="Q87" s="180"/>
      <c r="R87" s="180"/>
      <c r="S87" s="180"/>
      <c r="T87" s="180"/>
      <c r="U87" s="180"/>
      <c r="V87" s="180"/>
      <c r="W87" s="2227"/>
      <c r="X87" s="2227"/>
      <c r="Y87" s="2227"/>
      <c r="Z87" s="2227"/>
    </row>
    <row r="88" spans="1:26" s="2061" customFormat="1" ht="14.25">
      <c r="A88" s="3302" t="s">
        <v>871</v>
      </c>
      <c r="B88" s="3303"/>
      <c r="C88" s="3303"/>
      <c r="D88" s="3303"/>
      <c r="E88" s="3303"/>
      <c r="F88" s="3303"/>
      <c r="G88" s="3303"/>
      <c r="H88" s="3303"/>
      <c r="I88" s="2370"/>
      <c r="J88" s="2371"/>
      <c r="K88" s="3328"/>
      <c r="L88" s="2367" t="s">
        <v>872</v>
      </c>
      <c r="M88" s="2368">
        <f ca="1">IF(N69&gt;10000,N69*0.5%,IF(AND(N69&gt;5000,N69&lt;=10000),N69*1%,IF(AND(N69&gt;1000,N69&lt;=5000),N69*2%,IF(AND(N69&gt;200,N69&lt;=1000),N69*3%,N69*5%))))</f>
        <v>410.09500000000003</v>
      </c>
      <c r="N88" s="121">
        <f ca="1">ROUND(M88,1)</f>
        <v>410.1</v>
      </c>
      <c r="O88" s="2369"/>
      <c r="P88" s="2226"/>
      <c r="Q88" s="2376"/>
      <c r="R88" s="2376"/>
      <c r="S88" s="2376"/>
      <c r="T88" s="2376"/>
      <c r="U88" s="2376"/>
      <c r="V88" s="2376"/>
      <c r="W88" s="2383"/>
      <c r="X88" s="2383"/>
      <c r="Y88" s="2383"/>
      <c r="Z88" s="2383"/>
    </row>
    <row r="89" spans="1:26" s="2061" customFormat="1" ht="14.25">
      <c r="A89" s="3298" t="s">
        <v>847</v>
      </c>
      <c r="B89" s="3299"/>
      <c r="C89" s="2265"/>
      <c r="D89" s="2265" t="s">
        <v>848</v>
      </c>
      <c r="E89" s="2291" t="s">
        <v>804</v>
      </c>
      <c r="F89" s="2292"/>
      <c r="G89" s="2292"/>
      <c r="H89" s="2293"/>
      <c r="I89" s="2372"/>
      <c r="J89" s="2373"/>
      <c r="K89" s="3328"/>
      <c r="L89" s="2367" t="s">
        <v>491</v>
      </c>
      <c r="M89" s="2374"/>
      <c r="N89" s="121">
        <f ca="1">ROUND(SUM(N83:N88),0)</f>
        <v>1327</v>
      </c>
      <c r="O89" s="2375">
        <f ca="1">N89/N69</f>
        <v>1.6179177995342544E-2</v>
      </c>
      <c r="P89" s="2376"/>
      <c r="Q89" s="2376"/>
      <c r="R89" s="2376"/>
      <c r="S89" s="2376"/>
      <c r="T89" s="2376"/>
      <c r="U89" s="2376"/>
      <c r="V89" s="2376"/>
      <c r="W89" s="2383"/>
      <c r="X89" s="2383"/>
      <c r="Y89" s="2383"/>
      <c r="Z89" s="2383"/>
    </row>
    <row r="90" spans="1:26" s="2061" customFormat="1" ht="14.25">
      <c r="A90" s="2267" t="s">
        <v>849</v>
      </c>
      <c r="B90" s="2276" t="s">
        <v>873</v>
      </c>
      <c r="C90" s="2280">
        <f ca="1">ROUND(D63/(1+'数据-取费表'!C42),0)</f>
        <v>46868</v>
      </c>
      <c r="D90" s="1537" t="s">
        <v>138</v>
      </c>
      <c r="E90" s="857"/>
      <c r="F90" s="858"/>
      <c r="G90" s="858"/>
      <c r="H90" s="2294"/>
      <c r="I90" s="2372"/>
      <c r="J90" s="2373"/>
      <c r="K90" s="2376"/>
      <c r="L90" s="2376"/>
      <c r="M90" s="2376"/>
      <c r="N90" s="2376"/>
      <c r="O90" s="2376"/>
      <c r="P90" s="2376"/>
      <c r="Q90" s="2376"/>
      <c r="R90" s="2376"/>
      <c r="S90" s="2376"/>
      <c r="T90" s="2376"/>
      <c r="U90" s="2376"/>
      <c r="V90" s="2376"/>
      <c r="W90" s="2383"/>
      <c r="X90" s="2383"/>
      <c r="Y90" s="2383"/>
      <c r="Z90" s="2383"/>
    </row>
    <row r="91" spans="1:26" s="2061" customFormat="1" ht="14.25">
      <c r="A91" s="2267" t="s">
        <v>858</v>
      </c>
      <c r="B91" s="2232" t="s">
        <v>874</v>
      </c>
      <c r="C91" s="2280">
        <f ca="1">C92+C96</f>
        <v>2842</v>
      </c>
      <c r="D91" s="1537" t="s">
        <v>138</v>
      </c>
      <c r="E91" s="857"/>
      <c r="F91" s="858"/>
      <c r="G91" s="858"/>
      <c r="H91" s="2294"/>
      <c r="I91" s="2372"/>
      <c r="J91" s="2373"/>
      <c r="K91" s="2376"/>
      <c r="L91" s="2376"/>
      <c r="M91" s="2376"/>
      <c r="N91" s="2376"/>
      <c r="O91" s="2376"/>
      <c r="P91" s="2376"/>
      <c r="Q91" s="2376"/>
      <c r="R91" s="2376"/>
      <c r="S91" s="2376"/>
      <c r="T91" s="2376"/>
      <c r="U91" s="2376"/>
      <c r="V91" s="2376"/>
      <c r="W91" s="2383"/>
      <c r="X91" s="2383"/>
      <c r="Y91" s="2383"/>
      <c r="Z91" s="2383"/>
    </row>
    <row r="92" spans="1:26" s="2061" customFormat="1" ht="24">
      <c r="A92" s="2295" t="s">
        <v>852</v>
      </c>
      <c r="B92" s="2272" t="s">
        <v>875</v>
      </c>
      <c r="C92" s="1537">
        <f>ROUND(IF(G95="2016年5月1日后购买",C93/(1+'数据-取费表'!C30)+C94+C95,C93+C94+C95),0)</f>
        <v>2561</v>
      </c>
      <c r="D92" s="1537" t="s">
        <v>138</v>
      </c>
      <c r="E92" s="857"/>
      <c r="F92" s="858"/>
      <c r="G92" s="858"/>
      <c r="H92" s="2294"/>
      <c r="I92" s="2372"/>
      <c r="J92" s="2373"/>
      <c r="K92" s="2376"/>
      <c r="L92" s="2376"/>
      <c r="M92" s="2376"/>
      <c r="N92" s="2376"/>
      <c r="O92" s="2376"/>
      <c r="P92" s="2376"/>
      <c r="Q92" s="2376"/>
      <c r="R92" s="2376"/>
      <c r="S92" s="2376"/>
      <c r="T92" s="2376"/>
      <c r="U92" s="2376"/>
      <c r="V92" s="2376"/>
      <c r="W92" s="2383"/>
      <c r="X92" s="2383"/>
      <c r="Y92" s="2383"/>
      <c r="Z92" s="2383"/>
    </row>
    <row r="93" spans="1:26" s="2061" customFormat="1" ht="14.25">
      <c r="A93" s="2295" t="s">
        <v>876</v>
      </c>
      <c r="B93" s="2272" t="s">
        <v>877</v>
      </c>
      <c r="C93" s="1539">
        <v>2000</v>
      </c>
      <c r="D93" s="1537" t="s">
        <v>138</v>
      </c>
      <c r="E93" s="2296" t="s">
        <v>878</v>
      </c>
      <c r="F93" s="2297" t="s">
        <v>879</v>
      </c>
      <c r="G93" s="2296" t="s">
        <v>880</v>
      </c>
      <c r="H93" s="2298">
        <v>5</v>
      </c>
      <c r="I93" s="2226"/>
      <c r="J93" s="2376"/>
      <c r="K93" s="2376"/>
      <c r="L93" s="2376"/>
      <c r="M93" s="2376"/>
      <c r="N93" s="2376"/>
      <c r="O93" s="2376"/>
      <c r="P93" s="2376"/>
      <c r="Q93" s="2376"/>
      <c r="R93" s="2376"/>
      <c r="S93" s="2376"/>
      <c r="T93" s="2376"/>
      <c r="U93" s="2376"/>
      <c r="V93" s="2376"/>
      <c r="W93" s="2383"/>
      <c r="X93" s="2383"/>
      <c r="Y93" s="2383"/>
      <c r="Z93" s="2383"/>
    </row>
    <row r="94" spans="1:26" s="2061" customFormat="1" ht="24.75" customHeight="1">
      <c r="A94" s="2295" t="s">
        <v>881</v>
      </c>
      <c r="B94" s="2299" t="s">
        <v>882</v>
      </c>
      <c r="C94" s="1537">
        <f>IF(F93="购房发票",ROUND(C93*H93*5%,0),0)</f>
        <v>500</v>
      </c>
      <c r="D94" s="2300">
        <v>0.05</v>
      </c>
      <c r="E94" s="3286" t="s">
        <v>883</v>
      </c>
      <c r="F94" s="3282"/>
      <c r="G94" s="3282"/>
      <c r="H94" s="3304"/>
      <c r="I94" s="2372"/>
      <c r="J94" s="2373"/>
      <c r="K94" s="2376"/>
      <c r="L94" s="2376"/>
      <c r="M94" s="2376"/>
      <c r="N94" s="2376"/>
      <c r="O94" s="2376"/>
      <c r="P94" s="2376"/>
      <c r="Q94" s="2376"/>
      <c r="R94" s="2376"/>
      <c r="S94" s="2376"/>
      <c r="T94" s="2376"/>
      <c r="U94" s="2376"/>
      <c r="V94" s="2376"/>
      <c r="W94" s="2383"/>
      <c r="X94" s="2383"/>
      <c r="Y94" s="2383"/>
      <c r="Z94" s="2383"/>
    </row>
    <row r="95" spans="1:26" s="2061" customFormat="1" ht="24.75" customHeight="1">
      <c r="A95" s="2295" t="s">
        <v>884</v>
      </c>
      <c r="B95" s="2272" t="s">
        <v>885</v>
      </c>
      <c r="C95" s="1537">
        <f>ROUND(IF(G95="个人买卖住房",0,IF(G95="2016年5月1日前购买",C93*D95,C93*D95/(1+'数据-取费表'!C42))),0)</f>
        <v>61</v>
      </c>
      <c r="D95" s="2302">
        <f>'数据-取费表'!B48+'数据-取费表'!B49</f>
        <v>3.0499999999999999E-2</v>
      </c>
      <c r="E95" s="937" t="s">
        <v>886</v>
      </c>
      <c r="F95" s="2303"/>
      <c r="G95" s="2304" t="s">
        <v>887</v>
      </c>
      <c r="H95" s="2301" t="str">
        <f>IF(G95="个人买卖住房","免征印花税"," ")</f>
        <v/>
      </c>
      <c r="I95" s="2372"/>
      <c r="J95" s="2373"/>
      <c r="K95" s="2376"/>
      <c r="L95" s="2376"/>
      <c r="M95" s="2376"/>
      <c r="N95" s="2376"/>
      <c r="O95" s="2376"/>
      <c r="P95" s="2376"/>
      <c r="Q95" s="2376"/>
      <c r="R95" s="2376"/>
      <c r="S95" s="2376"/>
      <c r="T95" s="2376"/>
      <c r="U95" s="2376"/>
      <c r="V95" s="2376"/>
      <c r="W95" s="2383"/>
      <c r="X95" s="2383"/>
      <c r="Y95" s="2383"/>
      <c r="Z95" s="2383"/>
    </row>
    <row r="96" spans="1:26" s="2061" customFormat="1" ht="24.75" customHeight="1">
      <c r="A96" s="2295" t="s">
        <v>854</v>
      </c>
      <c r="B96" s="2272" t="s">
        <v>888</v>
      </c>
      <c r="C96" s="2305">
        <f ca="1">ROUND(D63*D96/(1+'数据-取费表'!C42),0)</f>
        <v>281</v>
      </c>
      <c r="D96" s="2306">
        <f>'数据-取费表'!B43</f>
        <v>6.0000000000000001E-3</v>
      </c>
      <c r="E96" s="3305" t="s">
        <v>889</v>
      </c>
      <c r="F96" s="3306"/>
      <c r="G96" s="3306"/>
      <c r="H96" s="3307"/>
      <c r="I96" s="2377"/>
      <c r="J96" s="2378"/>
      <c r="K96" s="2376"/>
      <c r="L96" s="2376"/>
      <c r="M96" s="2376"/>
      <c r="N96" s="2376"/>
      <c r="O96" s="2376"/>
      <c r="P96" s="2376"/>
      <c r="Q96" s="2376"/>
      <c r="R96" s="2376"/>
      <c r="S96" s="2376"/>
      <c r="T96" s="2376"/>
      <c r="U96" s="2376"/>
      <c r="V96" s="2376"/>
      <c r="W96" s="2383"/>
      <c r="X96" s="2383"/>
      <c r="Y96" s="2383"/>
      <c r="Z96" s="2383"/>
    </row>
    <row r="97" spans="1:26" s="2061" customFormat="1" ht="14.25">
      <c r="A97" s="2309" t="s">
        <v>863</v>
      </c>
      <c r="B97" s="2276" t="s">
        <v>890</v>
      </c>
      <c r="C97" s="2280">
        <f ca="1">C90-C91</f>
        <v>44026</v>
      </c>
      <c r="D97" s="1537" t="s">
        <v>138</v>
      </c>
      <c r="E97" s="857"/>
      <c r="F97" s="858"/>
      <c r="G97" s="858"/>
      <c r="H97" s="2294"/>
      <c r="I97" s="2372"/>
      <c r="J97" s="2373"/>
      <c r="K97" s="2376"/>
      <c r="L97" s="2376"/>
      <c r="M97" s="2376"/>
      <c r="N97" s="2376"/>
      <c r="O97" s="2376"/>
      <c r="P97" s="2376"/>
      <c r="Q97" s="2376"/>
      <c r="R97" s="2376"/>
      <c r="S97" s="2376"/>
      <c r="T97" s="2376"/>
      <c r="U97" s="2376"/>
      <c r="V97" s="2376"/>
      <c r="W97" s="2383"/>
      <c r="X97" s="2383"/>
      <c r="Y97" s="2383"/>
      <c r="Z97" s="2383"/>
    </row>
    <row r="98" spans="1:26" s="2061" customFormat="1" ht="24">
      <c r="A98" s="2309" t="s">
        <v>866</v>
      </c>
      <c r="B98" s="2276" t="s">
        <v>891</v>
      </c>
      <c r="C98" s="2310">
        <f ca="1">IF(C97&lt;=0,0,C97/C91)</f>
        <v>15.491203377902885</v>
      </c>
      <c r="D98" s="1537"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94"/>
      <c r="I98" s="2372"/>
      <c r="J98" s="2373"/>
      <c r="K98" s="2376"/>
      <c r="L98" s="2376"/>
      <c r="M98" s="2376"/>
      <c r="N98" s="2376"/>
      <c r="O98" s="2376"/>
      <c r="P98" s="2376"/>
      <c r="Q98" s="2376"/>
      <c r="R98" s="2376"/>
      <c r="S98" s="2376"/>
      <c r="T98" s="2376"/>
      <c r="U98" s="2376"/>
      <c r="V98" s="2376"/>
      <c r="W98" s="2383"/>
      <c r="X98" s="2383"/>
      <c r="Y98" s="2383"/>
      <c r="Z98" s="2383"/>
    </row>
    <row r="99" spans="1:26" s="2061" customFormat="1" ht="24">
      <c r="A99" s="2311" t="s">
        <v>892</v>
      </c>
      <c r="B99" s="2282" t="s">
        <v>893</v>
      </c>
      <c r="C99" s="2312">
        <f ca="1">ROUND(IF(C97&lt;=0,0,IF(C98&gt;=200%,C97*60%-C91*35%,IF(C98&gt;=100%,C97*50%-C91*15%,IF(C98&gt;=50%,C97*40%-C91*5%,IF(C98&lt;50%,C97*30%,0))))),0)</f>
        <v>25421</v>
      </c>
      <c r="D99" s="2313" t="s">
        <v>138</v>
      </c>
      <c r="E99" s="23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5"/>
      <c r="G99" s="2315"/>
      <c r="H99" s="2316"/>
      <c r="I99" s="2372"/>
      <c r="J99" s="2373"/>
      <c r="K99" s="2376"/>
      <c r="L99" s="2376"/>
      <c r="M99" s="2376"/>
      <c r="N99" s="2376"/>
      <c r="O99" s="2376"/>
      <c r="P99" s="2376"/>
      <c r="Q99" s="2376"/>
      <c r="R99" s="2376"/>
      <c r="S99" s="2376"/>
      <c r="T99" s="2376"/>
      <c r="U99" s="2376"/>
      <c r="V99" s="2376"/>
      <c r="W99" s="2383"/>
      <c r="X99" s="2383"/>
      <c r="Y99" s="2383"/>
      <c r="Z99" s="2383"/>
    </row>
    <row r="100" spans="1:26" s="2061" customFormat="1" ht="7.5" customHeight="1">
      <c r="A100" s="2317"/>
      <c r="B100" s="2318"/>
      <c r="C100" s="2226"/>
      <c r="D100" s="2226"/>
      <c r="E100" s="2318"/>
      <c r="F100" s="2318"/>
      <c r="G100" s="2318"/>
      <c r="H100" s="2319"/>
      <c r="I100" s="2377"/>
      <c r="J100" s="2378"/>
      <c r="K100" s="2376"/>
      <c r="L100" s="2376"/>
      <c r="M100" s="2376"/>
      <c r="N100" s="2376"/>
      <c r="O100" s="2376"/>
      <c r="P100" s="2376"/>
      <c r="Q100" s="2376"/>
      <c r="R100" s="2376"/>
      <c r="S100" s="2376"/>
      <c r="T100" s="2376"/>
      <c r="U100" s="2376"/>
      <c r="V100" s="2376"/>
      <c r="W100" s="2383"/>
      <c r="X100" s="2383"/>
      <c r="Y100" s="2383"/>
      <c r="Z100" s="2383"/>
    </row>
    <row r="101" spans="1:26" s="2061" customFormat="1" ht="14.25">
      <c r="A101" s="3302" t="s">
        <v>894</v>
      </c>
      <c r="B101" s="3303"/>
      <c r="C101" s="3303"/>
      <c r="D101" s="3303"/>
      <c r="E101" s="3303"/>
      <c r="F101" s="3303"/>
      <c r="G101" s="3303"/>
      <c r="H101" s="3303"/>
      <c r="I101" s="2226"/>
      <c r="J101" s="2376"/>
      <c r="K101" s="2376"/>
      <c r="L101" s="2376"/>
      <c r="M101" s="2376"/>
      <c r="N101" s="2376"/>
      <c r="O101" s="2376"/>
      <c r="P101" s="2376"/>
      <c r="Q101" s="2376"/>
      <c r="R101" s="2376"/>
      <c r="S101" s="2376"/>
      <c r="T101" s="2376"/>
      <c r="U101" s="2376"/>
      <c r="V101" s="2376"/>
      <c r="W101" s="2383"/>
      <c r="X101" s="2383"/>
      <c r="Y101" s="2383"/>
      <c r="Z101" s="2383"/>
    </row>
    <row r="102" spans="1:26" s="2061" customFormat="1" ht="14.25">
      <c r="A102" s="3298" t="s">
        <v>847</v>
      </c>
      <c r="B102" s="3299"/>
      <c r="C102" s="2265"/>
      <c r="D102" s="2265" t="s">
        <v>848</v>
      </c>
      <c r="E102" s="2291" t="s">
        <v>804</v>
      </c>
      <c r="F102" s="2292"/>
      <c r="G102" s="2292"/>
      <c r="H102" s="2320"/>
      <c r="I102" s="2226"/>
      <c r="J102" s="2376"/>
      <c r="K102" s="2376"/>
      <c r="L102" s="2376"/>
      <c r="M102" s="2376"/>
      <c r="N102" s="2376"/>
      <c r="O102" s="2376"/>
      <c r="P102" s="2376"/>
      <c r="Q102" s="2376"/>
      <c r="R102" s="2376"/>
      <c r="S102" s="2376"/>
      <c r="T102" s="2376"/>
      <c r="U102" s="2376"/>
      <c r="V102" s="2376"/>
      <c r="W102" s="2383"/>
      <c r="X102" s="2383"/>
      <c r="Y102" s="2383"/>
      <c r="Z102" s="2383"/>
    </row>
    <row r="103" spans="1:26" s="2061" customFormat="1" ht="14.25">
      <c r="A103" s="2267" t="s">
        <v>849</v>
      </c>
      <c r="B103" s="2276" t="s">
        <v>873</v>
      </c>
      <c r="C103" s="2280">
        <f ca="1">ROUND(D63/(1+'数据-取费表'!C42),0)</f>
        <v>46868</v>
      </c>
      <c r="D103" s="1537" t="s">
        <v>138</v>
      </c>
      <c r="E103" s="857"/>
      <c r="F103" s="858"/>
      <c r="G103" s="858"/>
      <c r="H103" s="2321"/>
      <c r="I103" s="2226"/>
      <c r="J103" s="2376"/>
      <c r="K103" s="2376"/>
      <c r="L103" s="2376"/>
      <c r="M103" s="2376"/>
      <c r="N103" s="2376"/>
      <c r="O103" s="2376"/>
      <c r="P103" s="2376"/>
      <c r="Q103" s="2376"/>
      <c r="R103" s="2376"/>
      <c r="S103" s="2376"/>
      <c r="T103" s="2376"/>
      <c r="U103" s="2376"/>
      <c r="V103" s="2376"/>
      <c r="W103" s="2383"/>
      <c r="X103" s="2383"/>
      <c r="Y103" s="2383"/>
      <c r="Z103" s="2383"/>
    </row>
    <row r="104" spans="1:26" s="2061" customFormat="1" ht="14.25">
      <c r="A104" s="2267" t="s">
        <v>858</v>
      </c>
      <c r="B104" s="2232" t="s">
        <v>874</v>
      </c>
      <c r="C104" s="2280">
        <f ca="1">IF(H106="仅含出让金",C105+C108+C109+C110+C111+C112,C105+C109+C110+C111+C112)</f>
        <v>971</v>
      </c>
      <c r="D104" s="2322"/>
      <c r="E104" s="857"/>
      <c r="F104" s="858"/>
      <c r="G104" s="858"/>
      <c r="H104" s="2321"/>
      <c r="I104" s="2226"/>
      <c r="J104" s="2376"/>
      <c r="K104" s="2376"/>
      <c r="L104" s="2376"/>
      <c r="M104" s="2376"/>
      <c r="N104" s="2376"/>
      <c r="O104" s="2376"/>
      <c r="P104" s="2376"/>
      <c r="Q104" s="2376"/>
      <c r="R104" s="2376"/>
      <c r="S104" s="2376"/>
      <c r="T104" s="2376"/>
      <c r="U104" s="2376"/>
      <c r="V104" s="2376"/>
      <c r="W104" s="2383"/>
      <c r="X104" s="2383"/>
      <c r="Y104" s="2383"/>
      <c r="Z104" s="2383"/>
    </row>
    <row r="105" spans="1:26" s="2061" customFormat="1" ht="14.25">
      <c r="A105" s="2295" t="s">
        <v>852</v>
      </c>
      <c r="B105" s="2272" t="s">
        <v>895</v>
      </c>
      <c r="C105" s="2305">
        <f>C106+C107</f>
        <v>572</v>
      </c>
      <c r="D105" s="2306"/>
      <c r="E105" s="2323"/>
      <c r="F105" s="2307"/>
      <c r="G105" s="2307"/>
      <c r="H105" s="2308"/>
      <c r="I105" s="2226"/>
      <c r="J105" s="2376"/>
      <c r="K105" s="2376"/>
      <c r="L105" s="2376"/>
      <c r="M105" s="2376"/>
      <c r="N105" s="2376"/>
      <c r="O105" s="2376"/>
      <c r="P105" s="2376"/>
      <c r="Q105" s="2376"/>
      <c r="R105" s="2376"/>
      <c r="S105" s="2376"/>
      <c r="T105" s="2376"/>
      <c r="U105" s="2376"/>
      <c r="V105" s="2376"/>
      <c r="W105" s="2383"/>
      <c r="X105" s="2383"/>
      <c r="Y105" s="2383"/>
      <c r="Z105" s="2383"/>
    </row>
    <row r="106" spans="1:26" s="2061" customFormat="1" ht="14.25">
      <c r="A106" s="2295" t="s">
        <v>876</v>
      </c>
      <c r="B106" s="2272" t="s">
        <v>896</v>
      </c>
      <c r="C106" s="2324">
        <v>555</v>
      </c>
      <c r="D106" s="2306"/>
      <c r="E106" s="2325" t="s">
        <v>897</v>
      </c>
      <c r="F106" s="2307"/>
      <c r="G106" s="2326" t="s">
        <v>898</v>
      </c>
      <c r="H106" s="2327" t="s">
        <v>899</v>
      </c>
      <c r="I106" s="2226"/>
      <c r="J106" s="2376"/>
      <c r="K106" s="2376"/>
      <c r="L106" s="2376"/>
      <c r="M106" s="2376"/>
      <c r="N106" s="2376"/>
      <c r="O106" s="2376"/>
      <c r="P106" s="2376"/>
      <c r="Q106" s="2376"/>
      <c r="R106" s="2376"/>
      <c r="S106" s="2376"/>
      <c r="T106" s="2376"/>
      <c r="U106" s="2376"/>
      <c r="V106" s="2376"/>
      <c r="W106" s="2383"/>
      <c r="X106" s="2383"/>
      <c r="Y106" s="2383"/>
      <c r="Z106" s="2383"/>
    </row>
    <row r="107" spans="1:26" s="2061" customFormat="1" ht="14.25">
      <c r="A107" s="2295" t="s">
        <v>881</v>
      </c>
      <c r="B107" s="2272" t="s">
        <v>885</v>
      </c>
      <c r="C107" s="2305">
        <f>ROUND(C106*D107,0)</f>
        <v>17</v>
      </c>
      <c r="D107" s="2306">
        <f>'数据-取费表'!B48+'数据-取费表'!B49</f>
        <v>3.0499999999999999E-2</v>
      </c>
      <c r="E107" s="2325" t="s">
        <v>900</v>
      </c>
      <c r="F107" s="2307"/>
      <c r="G107" s="2307"/>
      <c r="H107" s="2308"/>
      <c r="I107" s="2226"/>
      <c r="J107" s="2376"/>
      <c r="K107" s="2376"/>
      <c r="L107" s="2376"/>
      <c r="M107" s="2376"/>
      <c r="N107" s="2376"/>
      <c r="O107" s="2376"/>
      <c r="P107" s="2376"/>
      <c r="Q107" s="2376"/>
      <c r="R107" s="2376"/>
      <c r="S107" s="2376"/>
      <c r="T107" s="2376"/>
      <c r="U107" s="2376"/>
      <c r="V107" s="2376"/>
      <c r="W107" s="2383"/>
      <c r="X107" s="2383"/>
      <c r="Y107" s="2383"/>
      <c r="Z107" s="2383"/>
    </row>
    <row r="108" spans="1:26" s="2061" customFormat="1" ht="14.25">
      <c r="A108" s="2295" t="s">
        <v>854</v>
      </c>
      <c r="B108" s="2272" t="s">
        <v>901</v>
      </c>
      <c r="C108" s="2324"/>
      <c r="D108" s="2306"/>
      <c r="E108" s="2325" t="str">
        <f>IF(H106="-","土地取得成本中已包含该笔费用"," ")</f>
        <v/>
      </c>
      <c r="F108" s="2307"/>
      <c r="G108" s="2307"/>
      <c r="H108" s="2308"/>
      <c r="I108" s="2226"/>
      <c r="J108" s="2376"/>
      <c r="K108" s="2376"/>
      <c r="L108" s="2376"/>
      <c r="M108" s="2376"/>
      <c r="N108" s="2376"/>
      <c r="O108" s="2376"/>
      <c r="P108" s="2376"/>
      <c r="Q108" s="2376"/>
      <c r="R108" s="2376"/>
      <c r="S108" s="2376"/>
      <c r="T108" s="2376"/>
      <c r="U108" s="2376"/>
      <c r="V108" s="2376"/>
      <c r="W108" s="2383"/>
      <c r="X108" s="2383"/>
      <c r="Y108" s="2383"/>
      <c r="Z108" s="2383"/>
    </row>
    <row r="109" spans="1:26" s="2061" customFormat="1" ht="24" customHeight="1">
      <c r="A109" s="2328" t="s">
        <v>902</v>
      </c>
      <c r="B109" s="2272" t="s">
        <v>903</v>
      </c>
      <c r="C109" s="2305">
        <f>IF(H109="——",IF(F1="现房",'剩余法-现房'!C18,'剩余法-待开发'!C18),I109)</f>
        <v>55</v>
      </c>
      <c r="D109" s="2306"/>
      <c r="E109" s="3308" t="s">
        <v>904</v>
      </c>
      <c r="F109" s="3306"/>
      <c r="G109" s="3306"/>
      <c r="H109" s="2329" t="s">
        <v>905</v>
      </c>
      <c r="I109" s="2379">
        <v>55</v>
      </c>
      <c r="J109" s="2376"/>
      <c r="K109" s="2376"/>
      <c r="L109" s="2376"/>
      <c r="M109" s="2376"/>
      <c r="N109" s="2376"/>
      <c r="O109" s="2376"/>
      <c r="P109" s="2376"/>
      <c r="Q109" s="2376"/>
      <c r="R109" s="2376"/>
      <c r="S109" s="2376"/>
      <c r="T109" s="2376"/>
      <c r="U109" s="2376"/>
      <c r="V109" s="2376"/>
      <c r="W109" s="2383"/>
      <c r="X109" s="2383"/>
      <c r="Y109" s="2383"/>
      <c r="Z109" s="2383"/>
    </row>
    <row r="110" spans="1:26" s="2061" customFormat="1" ht="25.5" customHeight="1">
      <c r="A110" s="2328" t="s">
        <v>906</v>
      </c>
      <c r="B110" s="2272" t="s">
        <v>907</v>
      </c>
      <c r="C110" s="2305">
        <f>ROUND((C105+C108+C109)*D110,0)</f>
        <v>63</v>
      </c>
      <c r="D110" s="2306">
        <v>0.1</v>
      </c>
      <c r="E110" s="3308" t="s">
        <v>908</v>
      </c>
      <c r="F110" s="3306"/>
      <c r="G110" s="3306"/>
      <c r="H110" s="3307"/>
      <c r="I110" s="2226"/>
      <c r="J110" s="2376"/>
      <c r="K110" s="2376"/>
      <c r="L110" s="2376"/>
      <c r="M110" s="2376"/>
      <c r="N110" s="2376"/>
      <c r="O110" s="2376"/>
      <c r="P110" s="2376"/>
      <c r="Q110" s="2376"/>
      <c r="R110" s="2376"/>
      <c r="S110" s="2376"/>
      <c r="T110" s="2376"/>
      <c r="U110" s="2376"/>
      <c r="V110" s="2376"/>
      <c r="W110" s="2383"/>
      <c r="X110" s="2383"/>
      <c r="Y110" s="2383"/>
      <c r="Z110" s="2383"/>
    </row>
    <row r="111" spans="1:26" s="2061" customFormat="1" ht="25.5" customHeight="1">
      <c r="A111" s="2328" t="s">
        <v>909</v>
      </c>
      <c r="B111" s="2272" t="s">
        <v>888</v>
      </c>
      <c r="C111" s="2305">
        <f ca="1">ROUND(D63*D111/(1+'数据-取费表'!C42),0)</f>
        <v>281</v>
      </c>
      <c r="D111" s="2306">
        <f>'数据-取费表'!B43</f>
        <v>6.0000000000000001E-3</v>
      </c>
      <c r="E111" s="3305" t="s">
        <v>889</v>
      </c>
      <c r="F111" s="3306"/>
      <c r="G111" s="3306"/>
      <c r="H111" s="3307"/>
      <c r="I111" s="2226"/>
      <c r="J111" s="2376"/>
      <c r="K111" s="2376"/>
      <c r="L111" s="2376"/>
      <c r="M111" s="2376"/>
      <c r="N111" s="2376"/>
      <c r="O111" s="2376"/>
      <c r="P111" s="2376"/>
      <c r="Q111" s="2376"/>
      <c r="R111" s="2376"/>
      <c r="S111" s="2376"/>
      <c r="T111" s="2376"/>
      <c r="U111" s="2376"/>
      <c r="V111" s="2376"/>
      <c r="W111" s="2383"/>
      <c r="X111" s="2383"/>
      <c r="Y111" s="2383"/>
      <c r="Z111" s="2383"/>
    </row>
    <row r="112" spans="1:26" s="2061" customFormat="1" ht="25.5" customHeight="1">
      <c r="A112" s="2328" t="s">
        <v>910</v>
      </c>
      <c r="B112" s="2272" t="s">
        <v>911</v>
      </c>
      <c r="C112" s="2305">
        <f>ROUND(C108*D112,0)</f>
        <v>0</v>
      </c>
      <c r="D112" s="2306">
        <v>0.2</v>
      </c>
      <c r="E112" s="3308" t="s">
        <v>912</v>
      </c>
      <c r="F112" s="3306"/>
      <c r="G112" s="3306"/>
      <c r="H112" s="3307"/>
      <c r="I112" s="2226"/>
      <c r="J112" s="2376"/>
      <c r="K112" s="2376"/>
      <c r="L112" s="2376"/>
      <c r="M112" s="2376"/>
      <c r="N112" s="2376"/>
      <c r="O112" s="2376"/>
      <c r="P112" s="2376"/>
      <c r="Q112" s="2376"/>
      <c r="R112" s="2376"/>
      <c r="S112" s="2376"/>
      <c r="T112" s="2376"/>
      <c r="U112" s="2376"/>
      <c r="V112" s="2376"/>
      <c r="W112" s="2383"/>
      <c r="X112" s="2383"/>
      <c r="Y112" s="2383"/>
      <c r="Z112" s="2383"/>
    </row>
    <row r="113" spans="1:26" s="2061" customFormat="1" ht="14.25">
      <c r="A113" s="2309" t="s">
        <v>863</v>
      </c>
      <c r="B113" s="2276" t="s">
        <v>890</v>
      </c>
      <c r="C113" s="2280">
        <f ca="1">ROUND(C103-C104,0)</f>
        <v>45897</v>
      </c>
      <c r="D113" s="1537" t="s">
        <v>138</v>
      </c>
      <c r="E113" s="857"/>
      <c r="F113" s="858"/>
      <c r="G113" s="858"/>
      <c r="H113" s="2321"/>
      <c r="I113" s="2226"/>
      <c r="J113" s="2376"/>
      <c r="K113" s="2376"/>
      <c r="L113" s="2376"/>
      <c r="M113" s="2376"/>
      <c r="N113" s="2376"/>
      <c r="O113" s="2376"/>
      <c r="P113" s="2376"/>
      <c r="Q113" s="2376"/>
      <c r="R113" s="2376"/>
      <c r="S113" s="2376"/>
      <c r="T113" s="2376"/>
      <c r="U113" s="2376"/>
      <c r="V113" s="2376"/>
      <c r="W113" s="2383"/>
      <c r="X113" s="2383"/>
      <c r="Y113" s="2383"/>
      <c r="Z113" s="2383"/>
    </row>
    <row r="114" spans="1:26" s="2061" customFormat="1" ht="24">
      <c r="A114" s="2309" t="s">
        <v>866</v>
      </c>
      <c r="B114" s="2276" t="s">
        <v>891</v>
      </c>
      <c r="C114" s="2310">
        <f ca="1">IF(C113&lt;=0,0,C113/C104)</f>
        <v>47.267765190525232</v>
      </c>
      <c r="D114" s="1537"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21"/>
      <c r="I114" s="2226"/>
      <c r="J114" s="2376"/>
      <c r="K114" s="2376"/>
      <c r="L114" s="2376"/>
      <c r="M114" s="2376"/>
      <c r="N114" s="2376"/>
      <c r="O114" s="2376"/>
      <c r="P114" s="2376"/>
      <c r="Q114" s="2376"/>
      <c r="R114" s="2376"/>
      <c r="S114" s="2376"/>
      <c r="T114" s="2376"/>
      <c r="U114" s="2376"/>
      <c r="V114" s="2376"/>
      <c r="W114" s="2383"/>
      <c r="X114" s="2383"/>
      <c r="Y114" s="2383"/>
      <c r="Z114" s="2383"/>
    </row>
    <row r="115" spans="1:26" s="2061" customFormat="1" ht="24">
      <c r="A115" s="2311" t="s">
        <v>892</v>
      </c>
      <c r="B115" s="2282" t="s">
        <v>893</v>
      </c>
      <c r="C115" s="2312">
        <f ca="1">ROUND(IF(C113&lt;=0,0,IF(C114&gt;=200%,C113*60%-C104*35%,IF(C114&gt;=100%,C113*50%-C104*15%,IF(C114&gt;=50%,C113*40%-C104*5%,IF(C114&lt;50%,C113*30%,0))))),0)</f>
        <v>27198</v>
      </c>
      <c r="D115" s="2313" t="s">
        <v>138</v>
      </c>
      <c r="E115" s="23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5"/>
      <c r="G115" s="2315"/>
      <c r="H115" s="2330"/>
      <c r="I115" s="2226"/>
      <c r="J115" s="2376"/>
      <c r="K115" s="2376"/>
      <c r="L115" s="2376"/>
      <c r="M115" s="2376"/>
      <c r="N115" s="2376"/>
      <c r="O115" s="2376"/>
      <c r="P115" s="2376"/>
      <c r="Q115" s="2376"/>
      <c r="R115" s="2376"/>
      <c r="S115" s="2376"/>
      <c r="T115" s="2376"/>
      <c r="U115" s="2376"/>
      <c r="V115" s="2376"/>
      <c r="W115" s="2383"/>
      <c r="X115" s="2383"/>
      <c r="Y115" s="2383"/>
      <c r="Z115" s="2383"/>
    </row>
    <row r="116" spans="1:26" s="153" customFormat="1" ht="21.75" customHeight="1">
      <c r="J116" s="2380"/>
      <c r="K116" s="180"/>
      <c r="L116" s="180"/>
      <c r="M116" s="180"/>
      <c r="N116" s="180"/>
      <c r="O116" s="180"/>
    </row>
    <row r="117" spans="1:26" s="153" customFormat="1" ht="21.75" customHeight="1">
      <c r="J117" s="2380"/>
    </row>
    <row r="118" spans="1:26" s="153" customFormat="1" ht="21.75" customHeight="1">
      <c r="J118" s="2380"/>
    </row>
    <row r="119" spans="1:26" s="153" customFormat="1" ht="21.75" customHeight="1">
      <c r="J119" s="2380"/>
    </row>
    <row r="120" spans="1:26" s="153" customFormat="1" ht="21.75" customHeight="1">
      <c r="J120" s="2380"/>
    </row>
    <row r="121" spans="1:26" s="153" customFormat="1" ht="21.75" customHeight="1"/>
    <row r="122" spans="1:26" s="153" customFormat="1" ht="21.75" customHeight="1">
      <c r="J122" s="2381"/>
    </row>
    <row r="123" spans="1:26" s="153" customFormat="1" ht="21.75" customHeight="1"/>
    <row r="124" spans="1:26" s="153" customFormat="1" ht="21.75" customHeight="1"/>
    <row r="125" spans="1:26" s="153" customFormat="1" ht="21.75" customHeight="1">
      <c r="J125" s="2381"/>
    </row>
    <row r="126" spans="1:26" s="153" customFormat="1" ht="21.75" customHeight="1"/>
    <row r="127" spans="1:26" s="153" customFormat="1" ht="21.75" customHeight="1"/>
    <row r="128" spans="1:26" s="153" customFormat="1" ht="21.75" customHeight="1">
      <c r="J128" s="2381"/>
    </row>
    <row r="129" spans="2:6" s="153" customFormat="1" ht="21.75" customHeight="1"/>
    <row r="130" spans="2:6" s="153" customFormat="1" ht="21.75" customHeight="1">
      <c r="B130" s="2384"/>
      <c r="C130" s="2385"/>
      <c r="D130" s="2386"/>
      <c r="E130" s="2386"/>
      <c r="F130" s="238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F63">
      <formula1>"100%,80%,60%,64%"</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H106">
      <formula1>"仅含出让金,出让金+开发费"</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73:H74">
      <formula1>"个人住宅,正常"</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4" zoomScale="80" zoomScaleNormal="95" zoomScaleSheetLayoutView="80" workbookViewId="0">
      <selection activeCell="M19" sqref="M1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913</v>
      </c>
      <c r="B1" s="529"/>
      <c r="C1" s="200" t="s">
        <v>914</v>
      </c>
      <c r="D1" s="1728" t="s">
        <v>915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4"/>
    </row>
    <row r="2" spans="1:30" s="189" customFormat="1" ht="28.5" customHeight="1">
      <c r="A2" s="205" t="s">
        <v>916</v>
      </c>
      <c r="B2" s="1730">
        <f>F68</f>
        <v>81896</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4"/>
    </row>
    <row r="3" spans="1:30" s="189" customFormat="1" ht="28.5" customHeight="1">
      <c r="A3" s="708" t="s">
        <v>917</v>
      </c>
      <c r="B3" s="211">
        <f>ROUND(B2*10000/'数据-汇总表'!E3,0)</f>
        <v>6372</v>
      </c>
      <c r="C3" s="565"/>
      <c r="D3" s="2024"/>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2" t="s">
        <v>918</v>
      </c>
      <c r="B4" s="710">
        <f>IF(B48="单位面积地价",C50,ROUND(B2*10000/'数据-汇总表'!D3,0))</f>
        <v>12245</v>
      </c>
      <c r="C4" s="565"/>
      <c r="D4" s="2024"/>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816</v>
      </c>
      <c r="C5" s="713" t="s">
        <v>919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920</v>
      </c>
      <c r="B6" s="215"/>
      <c r="C6" s="3329" t="s">
        <v>921</v>
      </c>
      <c r="D6" s="3330"/>
      <c r="E6" s="3329" t="s">
        <v>922</v>
      </c>
      <c r="F6" s="3330"/>
      <c r="G6" s="3329" t="s">
        <v>923</v>
      </c>
      <c r="H6" s="3330"/>
      <c r="I6" s="3329" t="s">
        <v>924</v>
      </c>
      <c r="J6" s="3330"/>
      <c r="K6" s="376" t="s">
        <v>925</v>
      </c>
      <c r="L6" s="377"/>
      <c r="M6" s="375"/>
      <c r="N6" s="375"/>
      <c r="O6" s="378"/>
      <c r="P6" s="3358" t="s">
        <v>926</v>
      </c>
      <c r="Q6" s="3359"/>
      <c r="R6" s="3364" t="s">
        <v>922</v>
      </c>
      <c r="S6" s="3365"/>
      <c r="T6" s="3364" t="s">
        <v>923</v>
      </c>
      <c r="U6" s="3365"/>
      <c r="V6" s="3341" t="s">
        <v>924</v>
      </c>
      <c r="W6" s="3341"/>
      <c r="X6" s="443"/>
      <c r="Y6" s="3364" t="s">
        <v>926</v>
      </c>
      <c r="Z6" s="3365"/>
      <c r="AA6" s="3351" t="s">
        <v>922</v>
      </c>
      <c r="AB6" s="3352" t="s">
        <v>923</v>
      </c>
      <c r="AC6" s="3351" t="s">
        <v>924</v>
      </c>
    </row>
    <row r="7" spans="1:30" ht="20.25">
      <c r="A7" s="216"/>
      <c r="B7" s="217"/>
      <c r="C7" s="3331" t="s">
        <v>927</v>
      </c>
      <c r="D7" s="3332"/>
      <c r="E7" s="3331" t="str">
        <f>Sheet3!A49</f>
        <v>琴湖片区沙家浜路北侧、新世纪大道西侧</v>
      </c>
      <c r="F7" s="3332"/>
      <c r="G7" s="3331" t="str">
        <f>Sheet3!A50</f>
        <v>甸桥片区元和路东侧、元丰园南侧</v>
      </c>
      <c r="H7" s="3332"/>
      <c r="I7" s="3331" t="str">
        <f>Sheet3!A54</f>
        <v>莫城街道元和塘东侧、招商西路北侧</v>
      </c>
      <c r="J7" s="3332"/>
      <c r="K7" s="376"/>
      <c r="L7" s="377"/>
      <c r="M7" s="375"/>
      <c r="N7" s="375"/>
      <c r="O7" s="378"/>
      <c r="P7" s="3360"/>
      <c r="Q7" s="3361"/>
      <c r="R7" s="3366"/>
      <c r="S7" s="3367"/>
      <c r="T7" s="3366"/>
      <c r="U7" s="3367"/>
      <c r="V7" s="3341"/>
      <c r="W7" s="3341"/>
      <c r="X7" s="443"/>
      <c r="Y7" s="3366"/>
      <c r="Z7" s="3367"/>
      <c r="AA7" s="3352"/>
      <c r="AB7" s="3352"/>
      <c r="AC7" s="3352"/>
    </row>
    <row r="8" spans="1:30" ht="20.25">
      <c r="A8" s="216"/>
      <c r="B8" s="217"/>
      <c r="C8" s="3333" t="s">
        <v>928</v>
      </c>
      <c r="D8" s="3334"/>
      <c r="E8" s="3333" t="s">
        <v>928</v>
      </c>
      <c r="F8" s="3334"/>
      <c r="G8" s="3335" t="s">
        <v>928</v>
      </c>
      <c r="H8" s="3336"/>
      <c r="I8" s="3335" t="s">
        <v>928</v>
      </c>
      <c r="J8" s="3336"/>
      <c r="K8" s="376" t="s">
        <v>929</v>
      </c>
      <c r="L8" s="377"/>
      <c r="M8" s="375"/>
      <c r="N8" s="375"/>
      <c r="O8" s="378"/>
      <c r="P8" s="3362"/>
      <c r="Q8" s="3363"/>
      <c r="R8" s="3366"/>
      <c r="S8" s="3367"/>
      <c r="T8" s="3368"/>
      <c r="U8" s="3369"/>
      <c r="V8" s="3341"/>
      <c r="W8" s="3341"/>
      <c r="X8" s="443"/>
      <c r="Y8" s="3368"/>
      <c r="Z8" s="3369"/>
      <c r="AA8" s="3353"/>
      <c r="AB8" s="3353"/>
      <c r="AC8" s="3353"/>
    </row>
    <row r="9" spans="1:30" s="190" customFormat="1" ht="20.25">
      <c r="A9" s="220"/>
      <c r="B9" s="221" t="s">
        <v>930</v>
      </c>
      <c r="C9" s="2025">
        <f>'数据-取费表'!B2</f>
        <v>43900</v>
      </c>
      <c r="D9" s="223">
        <v>100</v>
      </c>
      <c r="E9" s="224" t="str">
        <f>Sheet3!H49</f>
        <v>2019-11-12</v>
      </c>
      <c r="F9" s="225">
        <f>SUMIF(72:72,YEAR(E9)&amp;"-"&amp;INT((MONTH(E9)+2)/3),73:73)</f>
        <v>99.5</v>
      </c>
      <c r="G9" s="226" t="str">
        <f>Sheet3!H50</f>
        <v>2019-10-29</v>
      </c>
      <c r="H9" s="223">
        <f>SUMIF(72:72,YEAR(G9)&amp;"-"&amp;INT((MONTH(G9)+2)/3),73:73)</f>
        <v>99.5</v>
      </c>
      <c r="I9" s="226" t="str">
        <f>Sheet3!H54</f>
        <v>2019-08-01</v>
      </c>
      <c r="J9" s="223">
        <f>SUMIF(72:72,YEAR(I9)&amp;"-"&amp;INT((MONTH(I9)+2)/3),73:73)</f>
        <v>99</v>
      </c>
      <c r="K9" s="379"/>
      <c r="L9" s="380"/>
      <c r="M9" s="375"/>
      <c r="N9" s="375"/>
      <c r="O9" s="381"/>
      <c r="P9" s="3337" t="s">
        <v>931</v>
      </c>
      <c r="Q9" s="3338"/>
      <c r="R9" s="444" t="s">
        <v>932</v>
      </c>
      <c r="S9" s="445">
        <f t="shared" ref="S9:S17" si="0">F9</f>
        <v>99.5</v>
      </c>
      <c r="T9" s="444" t="s">
        <v>932</v>
      </c>
      <c r="U9" s="445">
        <f t="shared" ref="U9:U17" si="1">H9</f>
        <v>99.5</v>
      </c>
      <c r="V9" s="444" t="s">
        <v>932</v>
      </c>
      <c r="W9" s="445">
        <f t="shared" ref="W9:W17" si="2">J9</f>
        <v>99</v>
      </c>
      <c r="X9" s="446"/>
      <c r="Y9" s="3337" t="s">
        <v>931</v>
      </c>
      <c r="Z9" s="3339"/>
      <c r="AA9" s="463">
        <f>D9/F9</f>
        <v>1.0050251256281399</v>
      </c>
      <c r="AB9" s="463">
        <f>D9/H9</f>
        <v>1.0050251256281399</v>
      </c>
      <c r="AC9" s="463">
        <f>D9/J9</f>
        <v>1.0101010101010099</v>
      </c>
    </row>
    <row r="10" spans="1:30" s="190" customFormat="1" ht="20.25">
      <c r="A10" s="227"/>
      <c r="B10" s="228" t="s">
        <v>933</v>
      </c>
      <c r="C10" s="616" t="s">
        <v>934</v>
      </c>
      <c r="D10" s="223">
        <v>100</v>
      </c>
      <c r="E10" s="229" t="s">
        <v>935</v>
      </c>
      <c r="F10" s="225">
        <f>SUMIF(75:75,E10,76:76)-SUMIF(75:75,C10,76:76)+100</f>
        <v>100</v>
      </c>
      <c r="G10" s="229" t="s">
        <v>935</v>
      </c>
      <c r="H10" s="223">
        <f>SUMIF(75:75,G10,76:76)-SUMIF(75:75,C10,76:76)+100</f>
        <v>100</v>
      </c>
      <c r="I10" s="229" t="s">
        <v>935</v>
      </c>
      <c r="J10" s="223">
        <f>SUMIF(75:75,I10,76:76)-SUMIF(75:75,C10,76:76)+100</f>
        <v>100</v>
      </c>
      <c r="K10" s="379"/>
      <c r="L10" s="380"/>
      <c r="M10" s="375"/>
      <c r="N10" s="375"/>
      <c r="O10" s="381"/>
      <c r="P10" s="3337" t="s">
        <v>936</v>
      </c>
      <c r="Q10" s="3339"/>
      <c r="R10" s="444" t="s">
        <v>932</v>
      </c>
      <c r="S10" s="445">
        <f t="shared" si="0"/>
        <v>100</v>
      </c>
      <c r="T10" s="444" t="s">
        <v>932</v>
      </c>
      <c r="U10" s="445">
        <f t="shared" si="1"/>
        <v>100</v>
      </c>
      <c r="V10" s="444" t="s">
        <v>932</v>
      </c>
      <c r="W10" s="445">
        <f t="shared" si="2"/>
        <v>100</v>
      </c>
      <c r="X10" s="446"/>
      <c r="Y10" s="3337" t="s">
        <v>936</v>
      </c>
      <c r="Z10" s="3339"/>
      <c r="AA10" s="463">
        <f t="shared" ref="AA10:AA47" si="3">D10/F10</f>
        <v>1</v>
      </c>
      <c r="AB10" s="463">
        <f t="shared" ref="AB10:AB47" si="4">D10/H10</f>
        <v>1</v>
      </c>
      <c r="AC10" s="463">
        <f t="shared" ref="AC10:AC47" si="5">D10/J10</f>
        <v>1</v>
      </c>
    </row>
    <row r="11" spans="1:30" s="190" customFormat="1" ht="20.25">
      <c r="A11" s="230"/>
      <c r="B11" s="231" t="s">
        <v>937</v>
      </c>
      <c r="C11" s="2026"/>
      <c r="D11" s="233">
        <v>100</v>
      </c>
      <c r="E11" s="1733"/>
      <c r="F11" s="233">
        <f>SUMIF(77:77,E11,78:78)-SUMIF(77:77,C11,78:78)+100</f>
        <v>100</v>
      </c>
      <c r="G11" s="1733"/>
      <c r="H11" s="233">
        <f>SUMIF(77:77,G11,78:78)-SUMIF(77:77,C11,78:78)+100</f>
        <v>100</v>
      </c>
      <c r="I11" s="1733"/>
      <c r="J11" s="233">
        <f>SUMIF(77:77,I11,78:78)-SUMIF(77:77,C11,78:78)+100</f>
        <v>100</v>
      </c>
      <c r="K11" s="379"/>
      <c r="L11" s="380"/>
      <c r="M11" s="375"/>
      <c r="N11" s="375"/>
      <c r="O11" s="382"/>
      <c r="P11" s="3340" t="s">
        <v>938</v>
      </c>
      <c r="Q11" s="447" t="str">
        <f t="shared" ref="Q11:Q17" si="6">B11</f>
        <v>用途</v>
      </c>
      <c r="R11" s="444" t="s">
        <v>932</v>
      </c>
      <c r="S11" s="445">
        <f t="shared" si="0"/>
        <v>100</v>
      </c>
      <c r="T11" s="444" t="s">
        <v>932</v>
      </c>
      <c r="U11" s="445">
        <f t="shared" si="1"/>
        <v>100</v>
      </c>
      <c r="V11" s="444" t="s">
        <v>932</v>
      </c>
      <c r="W11" s="445">
        <f t="shared" si="2"/>
        <v>100</v>
      </c>
      <c r="X11" s="446"/>
      <c r="Y11" s="3312" t="s">
        <v>939</v>
      </c>
      <c r="Z11" s="464" t="str">
        <f t="shared" ref="Z11:Z17" si="7">Q11</f>
        <v>用途</v>
      </c>
      <c r="AA11" s="463">
        <f t="shared" si="3"/>
        <v>1</v>
      </c>
      <c r="AB11" s="463">
        <f t="shared" si="4"/>
        <v>1</v>
      </c>
      <c r="AC11" s="463">
        <f t="shared" si="5"/>
        <v>1</v>
      </c>
    </row>
    <row r="12" spans="1:30" s="191" customFormat="1" ht="27">
      <c r="A12" s="235"/>
      <c r="B12" s="228" t="s">
        <v>940</v>
      </c>
      <c r="C12" s="566"/>
      <c r="D12" s="237">
        <v>100</v>
      </c>
      <c r="E12" s="620"/>
      <c r="F12" s="237">
        <f>ROUND(100/'数据-取费表'!G16,0)</f>
        <v>103</v>
      </c>
      <c r="G12" s="619"/>
      <c r="H12" s="237">
        <f>ROUND(100/'数据-取费表'!G16,0)</f>
        <v>103</v>
      </c>
      <c r="I12" s="619"/>
      <c r="J12" s="237">
        <f>ROUND(100/'数据-取费表'!G16,0)</f>
        <v>103</v>
      </c>
      <c r="K12" s="1790"/>
      <c r="L12" s="385"/>
      <c r="M12" s="375"/>
      <c r="N12" s="375"/>
      <c r="O12" s="387"/>
      <c r="P12" s="3340"/>
      <c r="Q12" s="447" t="str">
        <f t="shared" si="6"/>
        <v>土地使用年限（年）</v>
      </c>
      <c r="R12" s="444" t="s">
        <v>932</v>
      </c>
      <c r="S12" s="445">
        <f t="shared" si="0"/>
        <v>103</v>
      </c>
      <c r="T12" s="444" t="s">
        <v>932</v>
      </c>
      <c r="U12" s="445">
        <f t="shared" si="1"/>
        <v>103</v>
      </c>
      <c r="V12" s="444" t="s">
        <v>932</v>
      </c>
      <c r="W12" s="445">
        <f t="shared" si="2"/>
        <v>103</v>
      </c>
      <c r="X12" s="446"/>
      <c r="Y12" s="3312"/>
      <c r="Z12" s="464" t="str">
        <f t="shared" si="7"/>
        <v>土地使用年限（年）</v>
      </c>
      <c r="AA12" s="463">
        <f t="shared" si="3"/>
        <v>0.970873786407767</v>
      </c>
      <c r="AB12" s="463">
        <f t="shared" si="4"/>
        <v>0.970873786407767</v>
      </c>
      <c r="AC12" s="463">
        <f t="shared" si="5"/>
        <v>0.970873786407767</v>
      </c>
    </row>
    <row r="13" spans="1:30" ht="20.25">
      <c r="A13" s="530"/>
      <c r="B13" s="228" t="s">
        <v>941</v>
      </c>
      <c r="C13" s="532">
        <f>'数据-汇总表'!I4</f>
        <v>1.1599999999999999</v>
      </c>
      <c r="D13" s="237">
        <v>100</v>
      </c>
      <c r="E13" s="531">
        <v>2</v>
      </c>
      <c r="F13" s="237">
        <f>LOOKUP(E13,82:82,83:83)-LOOKUP(C13,82:82,83:83)+100</f>
        <v>98</v>
      </c>
      <c r="G13" s="532">
        <v>1.2</v>
      </c>
      <c r="H13" s="237">
        <f>LOOKUP(G13,82:82,83:83)-LOOKUP(C13,82:82,83:83)+100</f>
        <v>100</v>
      </c>
      <c r="I13" s="531">
        <v>2.5</v>
      </c>
      <c r="J13" s="237">
        <f>LOOKUP(I13,82:82,83:83)-LOOKUP(C13,82:82,83:83)+100</f>
        <v>98</v>
      </c>
      <c r="K13" s="1791">
        <v>2</v>
      </c>
      <c r="L13" s="389"/>
      <c r="M13" s="375"/>
      <c r="N13" s="375"/>
      <c r="O13" s="390"/>
      <c r="P13" s="3340"/>
      <c r="Q13" s="447" t="str">
        <f t="shared" si="6"/>
        <v>容积率</v>
      </c>
      <c r="R13" s="444" t="s">
        <v>932</v>
      </c>
      <c r="S13" s="445">
        <f t="shared" si="0"/>
        <v>98</v>
      </c>
      <c r="T13" s="444" t="s">
        <v>932</v>
      </c>
      <c r="U13" s="445">
        <f t="shared" si="1"/>
        <v>100</v>
      </c>
      <c r="V13" s="444" t="s">
        <v>932</v>
      </c>
      <c r="W13" s="445">
        <f t="shared" si="2"/>
        <v>98</v>
      </c>
      <c r="X13" s="446"/>
      <c r="Y13" s="3312"/>
      <c r="Z13" s="464" t="str">
        <f t="shared" si="7"/>
        <v>容积率</v>
      </c>
      <c r="AA13" s="463">
        <f t="shared" si="3"/>
        <v>1.0204081632653061</v>
      </c>
      <c r="AB13" s="463">
        <f t="shared" si="4"/>
        <v>1</v>
      </c>
      <c r="AC13" s="463">
        <f t="shared" si="5"/>
        <v>1.0204081632653061</v>
      </c>
    </row>
    <row r="14" spans="1:30" s="190" customFormat="1" ht="20.25">
      <c r="A14" s="227"/>
      <c r="B14" s="2027" t="s">
        <v>942</v>
      </c>
      <c r="C14" s="2028"/>
      <c r="D14" s="243">
        <v>100</v>
      </c>
      <c r="E14" s="2029"/>
      <c r="F14" s="237">
        <f>SUMIF(84:84,E14,85:85)-SUMIF(84:84,C14,85:85)+100</f>
        <v>100</v>
      </c>
      <c r="G14" s="619"/>
      <c r="H14" s="237">
        <f>SUMIF(84:84,G14,85:85)-SUMIF(84:84,C14,85:85)+100</f>
        <v>100</v>
      </c>
      <c r="I14" s="620"/>
      <c r="J14" s="237">
        <f>SUMIF(84:84,I14,85:85)-SUMIF(84:84,C14,85:85)+100</f>
        <v>100</v>
      </c>
      <c r="K14" s="1790"/>
      <c r="L14" s="380"/>
      <c r="M14" s="375"/>
      <c r="N14" s="375"/>
      <c r="O14" s="382"/>
      <c r="P14" s="3340"/>
      <c r="Q14" s="447" t="str">
        <f t="shared" si="6"/>
        <v>配建</v>
      </c>
      <c r="R14" s="444" t="s">
        <v>932</v>
      </c>
      <c r="S14" s="445">
        <f t="shared" si="0"/>
        <v>100</v>
      </c>
      <c r="T14" s="444" t="s">
        <v>932</v>
      </c>
      <c r="U14" s="445">
        <f t="shared" si="1"/>
        <v>100</v>
      </c>
      <c r="V14" s="444" t="s">
        <v>932</v>
      </c>
      <c r="W14" s="445">
        <f t="shared" si="2"/>
        <v>100</v>
      </c>
      <c r="X14" s="446"/>
      <c r="Y14" s="3312"/>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34"/>
      <c r="H15" s="247">
        <f>SUMIF(86:86,G15,87:87)-SUMIF(86:86,C15,87:87)+100</f>
        <v>100</v>
      </c>
      <c r="I15" s="1734"/>
      <c r="J15" s="247">
        <f>SUMIF(86:86,I15,87:87)-SUMIF(86:86,C15,87:87)+100</f>
        <v>100</v>
      </c>
      <c r="K15" s="1790"/>
      <c r="L15" s="391"/>
      <c r="M15" s="375"/>
      <c r="N15" s="375"/>
      <c r="O15" s="390"/>
      <c r="P15" s="3340"/>
      <c r="Q15" s="447">
        <f t="shared" si="6"/>
        <v>111</v>
      </c>
      <c r="R15" s="444" t="s">
        <v>932</v>
      </c>
      <c r="S15" s="445">
        <f t="shared" si="0"/>
        <v>100</v>
      </c>
      <c r="T15" s="444" t="s">
        <v>932</v>
      </c>
      <c r="U15" s="445">
        <f t="shared" si="1"/>
        <v>100</v>
      </c>
      <c r="V15" s="444" t="s">
        <v>932</v>
      </c>
      <c r="W15" s="445">
        <f t="shared" si="2"/>
        <v>100</v>
      </c>
      <c r="X15" s="446"/>
      <c r="Y15" s="3312"/>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34"/>
      <c r="H16" s="300">
        <f>SUMIF(88:88,G16,89:89)-SUMIF(88:88,C16,89:89)+100</f>
        <v>100</v>
      </c>
      <c r="I16" s="1734"/>
      <c r="J16" s="300">
        <f>SUMIF(88:88,I16,89:89)-SUMIF(88:88,C16,89:89)+100</f>
        <v>100</v>
      </c>
      <c r="K16" s="1790"/>
      <c r="L16" s="391"/>
      <c r="M16" s="375"/>
      <c r="N16" s="375"/>
      <c r="O16" s="390"/>
      <c r="P16" s="3340"/>
      <c r="Q16" s="447">
        <f t="shared" si="6"/>
        <v>111</v>
      </c>
      <c r="R16" s="444" t="s">
        <v>932</v>
      </c>
      <c r="S16" s="445">
        <f t="shared" si="0"/>
        <v>100</v>
      </c>
      <c r="T16" s="444" t="s">
        <v>932</v>
      </c>
      <c r="U16" s="445">
        <f t="shared" si="1"/>
        <v>100</v>
      </c>
      <c r="V16" s="444" t="s">
        <v>932</v>
      </c>
      <c r="W16" s="445">
        <f t="shared" si="2"/>
        <v>100</v>
      </c>
      <c r="X16" s="446"/>
      <c r="Y16" s="3312"/>
      <c r="Z16" s="464">
        <f t="shared" si="7"/>
        <v>111</v>
      </c>
      <c r="AA16" s="463">
        <f t="shared" si="3"/>
        <v>1</v>
      </c>
      <c r="AB16" s="463">
        <f t="shared" si="4"/>
        <v>1</v>
      </c>
      <c r="AC16" s="463">
        <f t="shared" si="5"/>
        <v>1</v>
      </c>
    </row>
    <row r="17" spans="1:29" ht="99.75">
      <c r="A17" s="248" t="s">
        <v>943</v>
      </c>
      <c r="B17" s="273" t="s">
        <v>225</v>
      </c>
      <c r="C17" s="567" t="str">
        <f>估价对象房地状况!C15</f>
        <v>估价对象周边居住用地比例、居住小区规模和社区发展完善程度，综合评价居住社区成熟度一般</v>
      </c>
      <c r="D17" s="253">
        <v>100</v>
      </c>
      <c r="E17" s="254"/>
      <c r="F17" s="251">
        <f>SUMIF(90:90,E18,91:91)-SUMIF(90:90,C18,91:91)+100</f>
        <v>103</v>
      </c>
      <c r="G17" s="252"/>
      <c r="H17" s="251">
        <f>SUMIF(90:90,G18,91:91)-SUMIF(90:90,C18,91:91)+100</f>
        <v>103</v>
      </c>
      <c r="I17" s="254"/>
      <c r="J17" s="251">
        <f>SUMIF(90:90,I18,91:91)-SUMIF(90:90,C18,91:91)+100</f>
        <v>103</v>
      </c>
      <c r="K17" s="1791">
        <v>3</v>
      </c>
      <c r="L17" s="391"/>
      <c r="M17" s="375"/>
      <c r="N17" s="375"/>
      <c r="O17" s="390"/>
      <c r="P17" s="3347" t="s">
        <v>944</v>
      </c>
      <c r="Q17" s="383" t="str">
        <f t="shared" si="6"/>
        <v>居住社区成熟度</v>
      </c>
      <c r="R17" s="448" t="s">
        <v>932</v>
      </c>
      <c r="S17" s="449">
        <f t="shared" si="0"/>
        <v>103</v>
      </c>
      <c r="T17" s="448" t="s">
        <v>932</v>
      </c>
      <c r="U17" s="449">
        <f t="shared" si="1"/>
        <v>103</v>
      </c>
      <c r="V17" s="448" t="s">
        <v>932</v>
      </c>
      <c r="W17" s="449">
        <f t="shared" si="2"/>
        <v>103</v>
      </c>
      <c r="X17" s="443"/>
      <c r="Y17" s="3347" t="s">
        <v>944</v>
      </c>
      <c r="Z17" s="442" t="str">
        <f t="shared" si="7"/>
        <v>居住社区成熟度</v>
      </c>
      <c r="AA17" s="454">
        <f t="shared" si="3"/>
        <v>0.970873786407767</v>
      </c>
      <c r="AB17" s="454">
        <f t="shared" si="4"/>
        <v>0.970873786407767</v>
      </c>
      <c r="AC17" s="454">
        <f t="shared" si="5"/>
        <v>0.970873786407767</v>
      </c>
    </row>
    <row r="18" spans="1:29" ht="20.25">
      <c r="A18" s="255"/>
      <c r="B18" s="568"/>
      <c r="C18" s="569" t="s">
        <v>945</v>
      </c>
      <c r="D18" s="259"/>
      <c r="E18" s="535" t="s">
        <v>946</v>
      </c>
      <c r="F18" s="258"/>
      <c r="G18" s="535" t="s">
        <v>946</v>
      </c>
      <c r="H18" s="260"/>
      <c r="I18" s="535" t="s">
        <v>946</v>
      </c>
      <c r="J18" s="258"/>
      <c r="K18" s="1790"/>
      <c r="L18" s="391"/>
      <c r="M18" s="375"/>
      <c r="N18" s="375"/>
      <c r="O18" s="390"/>
      <c r="P18" s="3348"/>
      <c r="Q18" s="383"/>
      <c r="R18" s="448"/>
      <c r="S18" s="449"/>
      <c r="T18" s="448"/>
      <c r="U18" s="449"/>
      <c r="V18" s="448"/>
      <c r="W18" s="449"/>
      <c r="X18" s="443"/>
      <c r="Y18" s="3348"/>
      <c r="Z18" s="442"/>
      <c r="AA18" s="454">
        <v>1</v>
      </c>
      <c r="AB18" s="454">
        <v>1</v>
      </c>
      <c r="AC18" s="454">
        <v>1</v>
      </c>
    </row>
    <row r="19" spans="1:29" ht="71.25">
      <c r="A19" s="255"/>
      <c r="B19" s="500" t="s">
        <v>226</v>
      </c>
      <c r="C19" s="2030"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1">
        <v>2</v>
      </c>
      <c r="L19" s="391"/>
      <c r="M19" s="375"/>
      <c r="N19" s="375"/>
      <c r="O19" s="390"/>
      <c r="P19" s="3348"/>
      <c r="Q19" s="383" t="str">
        <f>B19</f>
        <v>商业繁华度</v>
      </c>
      <c r="R19" s="448" t="s">
        <v>932</v>
      </c>
      <c r="S19" s="449">
        <f>F19</f>
        <v>100</v>
      </c>
      <c r="T19" s="448" t="s">
        <v>932</v>
      </c>
      <c r="U19" s="449">
        <f>H19</f>
        <v>100</v>
      </c>
      <c r="V19" s="448" t="s">
        <v>932</v>
      </c>
      <c r="W19" s="449">
        <f>J19</f>
        <v>100</v>
      </c>
      <c r="X19" s="443"/>
      <c r="Y19" s="3348"/>
      <c r="Z19" s="442" t="str">
        <f>Q19</f>
        <v>商业繁华度</v>
      </c>
      <c r="AA19" s="454">
        <f t="shared" si="3"/>
        <v>1</v>
      </c>
      <c r="AB19" s="454">
        <f t="shared" si="4"/>
        <v>1</v>
      </c>
      <c r="AC19" s="454">
        <f t="shared" si="5"/>
        <v>1</v>
      </c>
    </row>
    <row r="20" spans="1:29" ht="20.25">
      <c r="A20" s="255"/>
      <c r="B20" s="267"/>
      <c r="C20" s="571" t="s">
        <v>946</v>
      </c>
      <c r="D20" s="271"/>
      <c r="E20" s="535" t="s">
        <v>946</v>
      </c>
      <c r="F20" s="260"/>
      <c r="G20" s="534" t="s">
        <v>946</v>
      </c>
      <c r="H20" s="258"/>
      <c r="I20" s="535" t="s">
        <v>946</v>
      </c>
      <c r="J20" s="258"/>
      <c r="K20" s="1790"/>
      <c r="L20" s="391"/>
      <c r="M20" s="375"/>
      <c r="N20" s="375"/>
      <c r="O20" s="390"/>
      <c r="P20" s="3348"/>
      <c r="Q20" s="383"/>
      <c r="R20" s="448"/>
      <c r="S20" s="449"/>
      <c r="T20" s="448"/>
      <c r="U20" s="449"/>
      <c r="V20" s="448"/>
      <c r="W20" s="449"/>
      <c r="X20" s="443"/>
      <c r="Y20" s="3348"/>
      <c r="Z20" s="442"/>
      <c r="AA20" s="454">
        <v>1</v>
      </c>
      <c r="AB20" s="454">
        <v>1</v>
      </c>
      <c r="AC20" s="454">
        <v>1</v>
      </c>
    </row>
    <row r="21" spans="1:29" ht="71.25">
      <c r="A21" s="255"/>
      <c r="B21" s="500" t="s">
        <v>227</v>
      </c>
      <c r="C21" s="2030"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1"/>
      <c r="L21" s="391"/>
      <c r="M21" s="375"/>
      <c r="N21" s="375"/>
      <c r="O21" s="390"/>
      <c r="P21" s="3348"/>
      <c r="Q21" s="383" t="str">
        <f>B21</f>
        <v>办公集聚程度</v>
      </c>
      <c r="R21" s="448" t="s">
        <v>932</v>
      </c>
      <c r="S21" s="449">
        <f>F21</f>
        <v>100</v>
      </c>
      <c r="T21" s="448" t="s">
        <v>932</v>
      </c>
      <c r="U21" s="449">
        <f>H21</f>
        <v>100</v>
      </c>
      <c r="V21" s="448" t="s">
        <v>932</v>
      </c>
      <c r="W21" s="449">
        <f>J21</f>
        <v>100</v>
      </c>
      <c r="X21" s="443"/>
      <c r="Y21" s="3348"/>
      <c r="Z21" s="442" t="str">
        <f>Q21</f>
        <v>办公集聚程度</v>
      </c>
      <c r="AA21" s="454">
        <f t="shared" si="3"/>
        <v>1</v>
      </c>
      <c r="AB21" s="454">
        <f t="shared" si="4"/>
        <v>1</v>
      </c>
      <c r="AC21" s="454">
        <f t="shared" si="5"/>
        <v>1</v>
      </c>
    </row>
    <row r="22" spans="1:29" ht="20.25">
      <c r="A22" s="255"/>
      <c r="B22" s="267"/>
      <c r="C22" s="569"/>
      <c r="D22" s="259"/>
      <c r="E22" s="537"/>
      <c r="F22" s="258"/>
      <c r="G22" s="536"/>
      <c r="H22" s="258"/>
      <c r="I22" s="537"/>
      <c r="J22" s="258"/>
      <c r="K22" s="1790"/>
      <c r="L22" s="391"/>
      <c r="M22" s="375"/>
      <c r="N22" s="375"/>
      <c r="O22" s="390"/>
      <c r="P22" s="3348"/>
      <c r="Q22" s="383"/>
      <c r="R22" s="448"/>
      <c r="S22" s="449"/>
      <c r="T22" s="448"/>
      <c r="U22" s="449"/>
      <c r="V22" s="448"/>
      <c r="W22" s="449"/>
      <c r="X22" s="443"/>
      <c r="Y22" s="3348"/>
      <c r="Z22" s="442"/>
      <c r="AA22" s="454">
        <v>1</v>
      </c>
      <c r="AB22" s="454">
        <v>1</v>
      </c>
      <c r="AC22" s="454">
        <v>1</v>
      </c>
    </row>
    <row r="23" spans="1:29" ht="85.5">
      <c r="A23" s="255"/>
      <c r="B23" s="500" t="s">
        <v>229</v>
      </c>
      <c r="C23" s="570" t="str">
        <f>估价对象房地状况!C18</f>
        <v>估价对象周边道路状况、公共交通通达情况、停车便捷程度，综合评价交通便捷度较好</v>
      </c>
      <c r="D23" s="271">
        <v>100</v>
      </c>
      <c r="E23" s="272"/>
      <c r="F23" s="263">
        <f>SUMIF(96:96,E24,97:97)-SUMIF(96:96,C24,97:97)+100</f>
        <v>101</v>
      </c>
      <c r="G23" s="270"/>
      <c r="H23" s="260">
        <f>SUMIF(96:96,G24,97:97)-SUMIF(96:96,C24,97:97)+100</f>
        <v>101</v>
      </c>
      <c r="I23" s="272"/>
      <c r="J23" s="260">
        <f>SUMIF(96:96,I24,97:97)-SUMIF(96:96,C24,97:97)+100</f>
        <v>101</v>
      </c>
      <c r="K23" s="1791">
        <v>1</v>
      </c>
      <c r="L23" s="391"/>
      <c r="M23" s="375"/>
      <c r="N23" s="375"/>
      <c r="O23" s="390"/>
      <c r="P23" s="3348"/>
      <c r="Q23" s="383" t="str">
        <f>B23</f>
        <v>交通便捷度</v>
      </c>
      <c r="R23" s="448" t="s">
        <v>932</v>
      </c>
      <c r="S23" s="449">
        <f>F23</f>
        <v>101</v>
      </c>
      <c r="T23" s="448" t="s">
        <v>932</v>
      </c>
      <c r="U23" s="449">
        <f>H23</f>
        <v>101</v>
      </c>
      <c r="V23" s="448" t="s">
        <v>932</v>
      </c>
      <c r="W23" s="449">
        <f>J23</f>
        <v>101</v>
      </c>
      <c r="X23" s="443"/>
      <c r="Y23" s="3348"/>
      <c r="Z23" s="442" t="str">
        <f>Q23</f>
        <v>交通便捷度</v>
      </c>
      <c r="AA23" s="454">
        <f t="shared" si="3"/>
        <v>0.99009900990098998</v>
      </c>
      <c r="AB23" s="454">
        <f t="shared" si="4"/>
        <v>0.99009900990098998</v>
      </c>
      <c r="AC23" s="454">
        <f t="shared" si="5"/>
        <v>0.99009900990098998</v>
      </c>
    </row>
    <row r="24" spans="1:29" ht="20.25">
      <c r="A24" s="255"/>
      <c r="B24" s="273"/>
      <c r="C24" s="569" t="s">
        <v>945</v>
      </c>
      <c r="D24" s="259"/>
      <c r="E24" s="537" t="s">
        <v>946</v>
      </c>
      <c r="F24" s="258"/>
      <c r="G24" s="536" t="s">
        <v>946</v>
      </c>
      <c r="H24" s="258"/>
      <c r="I24" s="537" t="s">
        <v>946</v>
      </c>
      <c r="J24" s="258"/>
      <c r="K24" s="1790"/>
      <c r="L24" s="391"/>
      <c r="M24" s="375"/>
      <c r="N24" s="375"/>
      <c r="O24" s="390"/>
      <c r="P24" s="3348"/>
      <c r="Q24" s="383"/>
      <c r="R24" s="448"/>
      <c r="S24" s="449"/>
      <c r="T24" s="448"/>
      <c r="U24" s="449"/>
      <c r="V24" s="448"/>
      <c r="W24" s="449"/>
      <c r="X24" s="443"/>
      <c r="Y24" s="3348"/>
      <c r="Z24" s="442"/>
      <c r="AA24" s="454">
        <v>1</v>
      </c>
      <c r="AB24" s="454">
        <v>1</v>
      </c>
      <c r="AC24" s="454">
        <v>1</v>
      </c>
    </row>
    <row r="25" spans="1:29" ht="27">
      <c r="A25" s="216"/>
      <c r="B25" s="2031"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1">
        <v>1</v>
      </c>
      <c r="L25" s="391"/>
      <c r="M25" s="375"/>
      <c r="N25" s="375"/>
      <c r="O25" s="390"/>
      <c r="P25" s="3348"/>
      <c r="Q25" s="383" t="str">
        <f t="shared" ref="Q25:Q40" si="8">B25</f>
        <v>区域土地利用方向</v>
      </c>
      <c r="R25" s="448" t="s">
        <v>932</v>
      </c>
      <c r="S25" s="449">
        <f>F25</f>
        <v>100</v>
      </c>
      <c r="T25" s="448" t="s">
        <v>932</v>
      </c>
      <c r="U25" s="449">
        <f>H25</f>
        <v>100</v>
      </c>
      <c r="V25" s="448" t="s">
        <v>932</v>
      </c>
      <c r="W25" s="449">
        <f>J25</f>
        <v>100</v>
      </c>
      <c r="X25" s="443"/>
      <c r="Y25" s="3348"/>
      <c r="Z25" s="442" t="str">
        <f>Q25</f>
        <v>区域土地利用方向</v>
      </c>
      <c r="AA25" s="454">
        <f t="shared" si="3"/>
        <v>1</v>
      </c>
      <c r="AB25" s="454">
        <f t="shared" si="4"/>
        <v>1</v>
      </c>
      <c r="AC25" s="454">
        <f t="shared" si="5"/>
        <v>1</v>
      </c>
    </row>
    <row r="26" spans="1:29" ht="20.25">
      <c r="A26" s="216"/>
      <c r="B26" s="2032"/>
      <c r="C26" s="569" t="s">
        <v>946</v>
      </c>
      <c r="D26" s="259"/>
      <c r="E26" s="537" t="s">
        <v>946</v>
      </c>
      <c r="F26" s="258"/>
      <c r="G26" s="536" t="s">
        <v>946</v>
      </c>
      <c r="H26" s="258"/>
      <c r="I26" s="537" t="s">
        <v>946</v>
      </c>
      <c r="J26" s="258"/>
      <c r="K26" s="1790"/>
      <c r="L26" s="391"/>
      <c r="M26" s="375"/>
      <c r="N26" s="375"/>
      <c r="O26" s="390"/>
      <c r="P26" s="3348"/>
      <c r="Q26" s="383"/>
      <c r="R26" s="448"/>
      <c r="S26" s="449"/>
      <c r="T26" s="448"/>
      <c r="U26" s="449"/>
      <c r="V26" s="448"/>
      <c r="W26" s="449"/>
      <c r="X26" s="443"/>
      <c r="Y26" s="3348"/>
      <c r="Z26" s="442"/>
      <c r="AA26" s="454"/>
      <c r="AB26" s="454"/>
      <c r="AC26" s="454"/>
    </row>
    <row r="27" spans="1:29" ht="57">
      <c r="A27" s="216"/>
      <c r="B27" s="273" t="s">
        <v>947</v>
      </c>
      <c r="C27" s="2030" t="str">
        <f>估价对象房地状况!C20</f>
        <v>区域自然环境：；人文环境；综合评价环境状况一般</v>
      </c>
      <c r="D27" s="271">
        <v>100</v>
      </c>
      <c r="E27" s="272"/>
      <c r="F27" s="260">
        <f>SUMIF(100:100,E28,101:101)-SUMIF(100:100,C28,101:101)+100</f>
        <v>97</v>
      </c>
      <c r="G27" s="270"/>
      <c r="H27" s="260">
        <f>SUMIF(100:100,G28,101:101)-SUMIF(100:100,C28,101:101)+100</f>
        <v>97</v>
      </c>
      <c r="I27" s="272"/>
      <c r="J27" s="260">
        <f>SUMIF(100:100,I28,101:101)-SUMIF(100:100,C28,101:101)+100</f>
        <v>97</v>
      </c>
      <c r="K27" s="1791">
        <v>3</v>
      </c>
      <c r="L27" s="391"/>
      <c r="M27" s="375"/>
      <c r="N27" s="375"/>
      <c r="O27" s="390"/>
      <c r="P27" s="3348"/>
      <c r="Q27" s="383" t="str">
        <f t="shared" si="8"/>
        <v>自然及人文环境状况</v>
      </c>
      <c r="R27" s="448" t="s">
        <v>932</v>
      </c>
      <c r="S27" s="449">
        <f>F27</f>
        <v>97</v>
      </c>
      <c r="T27" s="448" t="s">
        <v>932</v>
      </c>
      <c r="U27" s="449">
        <f>H27</f>
        <v>97</v>
      </c>
      <c r="V27" s="448" t="s">
        <v>932</v>
      </c>
      <c r="W27" s="449">
        <f>J27</f>
        <v>97</v>
      </c>
      <c r="X27" s="443"/>
      <c r="Y27" s="3348"/>
      <c r="Z27" s="442" t="str">
        <f>Q27</f>
        <v>自然及人文环境状况</v>
      </c>
      <c r="AA27" s="454">
        <f t="shared" si="3"/>
        <v>1.0309278350515501</v>
      </c>
      <c r="AB27" s="454">
        <f t="shared" si="4"/>
        <v>1.0309278350515501</v>
      </c>
      <c r="AC27" s="454">
        <f t="shared" si="5"/>
        <v>1.0309278350515501</v>
      </c>
    </row>
    <row r="28" spans="1:29" ht="20.25">
      <c r="A28" s="216"/>
      <c r="B28" s="267"/>
      <c r="C28" s="569" t="s">
        <v>946</v>
      </c>
      <c r="D28" s="259"/>
      <c r="E28" s="257" t="s">
        <v>945</v>
      </c>
      <c r="F28" s="258"/>
      <c r="G28" s="569" t="s">
        <v>945</v>
      </c>
      <c r="H28" s="258"/>
      <c r="I28" s="257" t="s">
        <v>945</v>
      </c>
      <c r="J28" s="258"/>
      <c r="K28" s="1790"/>
      <c r="L28" s="391"/>
      <c r="M28" s="375"/>
      <c r="N28" s="375"/>
      <c r="O28" s="390"/>
      <c r="P28" s="3348"/>
      <c r="Q28" s="383"/>
      <c r="R28" s="448"/>
      <c r="S28" s="449"/>
      <c r="T28" s="448"/>
      <c r="U28" s="449"/>
      <c r="V28" s="448"/>
      <c r="W28" s="449"/>
      <c r="X28" s="443"/>
      <c r="Y28" s="3348"/>
      <c r="Z28" s="442"/>
      <c r="AA28" s="454">
        <v>1</v>
      </c>
      <c r="AB28" s="454">
        <v>1</v>
      </c>
      <c r="AC28" s="454">
        <v>1</v>
      </c>
    </row>
    <row r="29" spans="1:29" s="190" customFormat="1" ht="42.75">
      <c r="A29" s="502"/>
      <c r="B29" s="269" t="s">
        <v>231</v>
      </c>
      <c r="C29" s="570" t="str">
        <f>估价对象房地状况!C21</f>
        <v>估价对象所在区域公共配套设施齐备情况</v>
      </c>
      <c r="D29" s="271">
        <v>100</v>
      </c>
      <c r="E29" s="272"/>
      <c r="F29" s="260">
        <f>SUMIF(102:102,E30,103:103)-SUMIF(102:102,C30,103:103)+100</f>
        <v>101</v>
      </c>
      <c r="G29" s="270"/>
      <c r="H29" s="260">
        <f>SUMIF(102:102,G30,103:103)-SUMIF(102:102,C30,103:103)+100</f>
        <v>101</v>
      </c>
      <c r="I29" s="272"/>
      <c r="J29" s="260">
        <f>SUMIF(102:102,I30,103:103)-SUMIF(102:102,C30,103:103)+100</f>
        <v>101</v>
      </c>
      <c r="K29" s="1791">
        <v>1</v>
      </c>
      <c r="L29" s="380"/>
      <c r="M29" s="375"/>
      <c r="N29" s="375"/>
      <c r="O29" s="382"/>
      <c r="P29" s="3348"/>
      <c r="Q29" s="447" t="str">
        <f t="shared" si="8"/>
        <v>公共配套设施</v>
      </c>
      <c r="R29" s="444" t="s">
        <v>932</v>
      </c>
      <c r="S29" s="445">
        <f>F29</f>
        <v>101</v>
      </c>
      <c r="T29" s="444" t="s">
        <v>932</v>
      </c>
      <c r="U29" s="445">
        <f>H29</f>
        <v>101</v>
      </c>
      <c r="V29" s="444" t="s">
        <v>932</v>
      </c>
      <c r="W29" s="445">
        <f>J29</f>
        <v>101</v>
      </c>
      <c r="X29" s="446"/>
      <c r="Y29" s="3348"/>
      <c r="Z29" s="464" t="str">
        <f>Q29</f>
        <v>公共配套设施</v>
      </c>
      <c r="AA29" s="454">
        <f>D29/F29</f>
        <v>0.99009900990099009</v>
      </c>
      <c r="AB29" s="454">
        <f>D29/H29</f>
        <v>0.99009900990099009</v>
      </c>
      <c r="AC29" s="454">
        <f>D29/J29</f>
        <v>0.99009900990099009</v>
      </c>
    </row>
    <row r="30" spans="1:29" s="190" customFormat="1" ht="20.25">
      <c r="A30" s="502"/>
      <c r="B30" s="267"/>
      <c r="C30" s="1736" t="s">
        <v>945</v>
      </c>
      <c r="D30" s="259"/>
      <c r="E30" s="257" t="s">
        <v>946</v>
      </c>
      <c r="F30" s="258"/>
      <c r="G30" s="257" t="s">
        <v>946</v>
      </c>
      <c r="H30" s="258"/>
      <c r="I30" s="257" t="s">
        <v>946</v>
      </c>
      <c r="J30" s="258"/>
      <c r="K30" s="1790"/>
      <c r="L30" s="380"/>
      <c r="M30" s="375"/>
      <c r="N30" s="375"/>
      <c r="O30" s="382"/>
      <c r="P30" s="3348"/>
      <c r="Q30" s="447"/>
      <c r="R30" s="444"/>
      <c r="S30" s="445"/>
      <c r="T30" s="444"/>
      <c r="U30" s="445"/>
      <c r="V30" s="444"/>
      <c r="W30" s="445"/>
      <c r="X30" s="446"/>
      <c r="Y30" s="3348"/>
      <c r="Z30" s="464"/>
      <c r="AA30" s="454">
        <v>1</v>
      </c>
      <c r="AB30" s="454">
        <v>1</v>
      </c>
      <c r="AC30" s="454">
        <v>1</v>
      </c>
    </row>
    <row r="31" spans="1:29" s="190" customFormat="1" ht="28.5">
      <c r="A31" s="502"/>
      <c r="B31" s="269" t="s">
        <v>232</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1"/>
      <c r="L31" s="380"/>
      <c r="M31" s="375"/>
      <c r="N31" s="375"/>
      <c r="O31" s="382"/>
      <c r="P31" s="3348"/>
      <c r="Q31" s="447" t="str">
        <f t="shared" ref="Q31" si="9">B31</f>
        <v>基础设施水平</v>
      </c>
      <c r="R31" s="444" t="s">
        <v>932</v>
      </c>
      <c r="S31" s="445">
        <f>F31</f>
        <v>100</v>
      </c>
      <c r="T31" s="444" t="s">
        <v>932</v>
      </c>
      <c r="U31" s="445">
        <f>H31</f>
        <v>100</v>
      </c>
      <c r="V31" s="444" t="s">
        <v>932</v>
      </c>
      <c r="W31" s="445">
        <f>J31</f>
        <v>100</v>
      </c>
      <c r="X31" s="446"/>
      <c r="Y31" s="3348"/>
      <c r="Z31" s="464" t="str">
        <f>Q31</f>
        <v>基础设施水平</v>
      </c>
      <c r="AA31" s="454">
        <f>D31/F31</f>
        <v>1</v>
      </c>
      <c r="AB31" s="454">
        <f>D31/H31</f>
        <v>1</v>
      </c>
      <c r="AC31" s="454">
        <f>D31/J31</f>
        <v>1</v>
      </c>
    </row>
    <row r="32" spans="1:29" s="190" customFormat="1" ht="20.25">
      <c r="A32" s="502"/>
      <c r="B32" s="267"/>
      <c r="C32" s="1736" t="s">
        <v>259</v>
      </c>
      <c r="D32" s="259"/>
      <c r="E32" s="1735" t="s">
        <v>259</v>
      </c>
      <c r="F32" s="258"/>
      <c r="G32" s="1736" t="s">
        <v>259</v>
      </c>
      <c r="H32" s="258"/>
      <c r="I32" s="1736" t="s">
        <v>259</v>
      </c>
      <c r="J32" s="258"/>
      <c r="K32" s="1790"/>
      <c r="L32" s="380"/>
      <c r="M32" s="375"/>
      <c r="N32" s="375"/>
      <c r="O32" s="382"/>
      <c r="P32" s="3348"/>
      <c r="Q32" s="447"/>
      <c r="R32" s="444"/>
      <c r="S32" s="445"/>
      <c r="T32" s="444"/>
      <c r="U32" s="445"/>
      <c r="V32" s="444"/>
      <c r="W32" s="445"/>
      <c r="X32" s="446"/>
      <c r="Y32" s="3348"/>
      <c r="Z32" s="464"/>
      <c r="AA32" s="454">
        <v>1</v>
      </c>
      <c r="AB32" s="454">
        <v>1</v>
      </c>
      <c r="AC32" s="454">
        <v>1</v>
      </c>
    </row>
    <row r="33" spans="1:29" ht="20.25">
      <c r="A33" s="255"/>
      <c r="B33" s="267" t="s">
        <v>234</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1"/>
      <c r="L33" s="391"/>
      <c r="M33" s="375"/>
      <c r="N33" s="375"/>
      <c r="O33" s="390"/>
      <c r="P33" s="3348"/>
      <c r="Q33" s="383" t="str">
        <f t="shared" si="8"/>
        <v>临街状况</v>
      </c>
      <c r="R33" s="448" t="s">
        <v>932</v>
      </c>
      <c r="S33" s="449">
        <f t="shared" ref="S33:S47" si="10">F33</f>
        <v>100</v>
      </c>
      <c r="T33" s="448" t="s">
        <v>932</v>
      </c>
      <c r="U33" s="449">
        <f t="shared" ref="U33:U47" si="11">H33</f>
        <v>100</v>
      </c>
      <c r="V33" s="448" t="s">
        <v>932</v>
      </c>
      <c r="W33" s="449">
        <f t="shared" ref="W33:W47" si="12">J33</f>
        <v>100</v>
      </c>
      <c r="X33" s="443"/>
      <c r="Y33" s="3348"/>
      <c r="Z33" s="442" t="str">
        <f t="shared" ref="Z33:Z47" si="13">Q33</f>
        <v>临街状况</v>
      </c>
      <c r="AA33" s="454">
        <f t="shared" si="3"/>
        <v>1</v>
      </c>
      <c r="AB33" s="454">
        <f t="shared" si="4"/>
        <v>1</v>
      </c>
      <c r="AC33" s="454">
        <f t="shared" si="5"/>
        <v>1</v>
      </c>
    </row>
    <row r="34" spans="1:29" ht="27">
      <c r="A34" s="255"/>
      <c r="B34" s="273" t="s">
        <v>948</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1"/>
      <c r="L34" s="391"/>
      <c r="M34" s="375"/>
      <c r="N34" s="375"/>
      <c r="O34" s="390"/>
      <c r="P34" s="3348"/>
      <c r="Q34" s="383" t="str">
        <f t="shared" si="8"/>
        <v>毗邻道路的类型与等级</v>
      </c>
      <c r="R34" s="448" t="s">
        <v>932</v>
      </c>
      <c r="S34" s="449">
        <f t="shared" si="10"/>
        <v>100</v>
      </c>
      <c r="T34" s="448" t="s">
        <v>932</v>
      </c>
      <c r="U34" s="449">
        <f t="shared" si="11"/>
        <v>100</v>
      </c>
      <c r="V34" s="448" t="s">
        <v>932</v>
      </c>
      <c r="W34" s="449">
        <f t="shared" si="12"/>
        <v>100</v>
      </c>
      <c r="X34" s="443"/>
      <c r="Y34" s="3348"/>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48"/>
      <c r="Q35" s="383"/>
      <c r="R35" s="448"/>
      <c r="S35" s="449"/>
      <c r="T35" s="448"/>
      <c r="U35" s="449"/>
      <c r="V35" s="448"/>
      <c r="W35" s="449"/>
      <c r="X35" s="443"/>
      <c r="Y35" s="3348"/>
      <c r="Z35" s="442"/>
      <c r="AA35" s="454">
        <v>1</v>
      </c>
      <c r="AB35" s="454">
        <v>1</v>
      </c>
      <c r="AC35" s="454">
        <v>1</v>
      </c>
    </row>
    <row r="36" spans="1:29" ht="20.25">
      <c r="A36" s="255"/>
      <c r="B36" s="510" t="s">
        <v>949</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8"/>
      <c r="Q36" s="383" t="str">
        <f t="shared" si="8"/>
        <v>土地级别</v>
      </c>
      <c r="R36" s="448" t="s">
        <v>932</v>
      </c>
      <c r="S36" s="449">
        <f t="shared" si="10"/>
        <v>100</v>
      </c>
      <c r="T36" s="448" t="s">
        <v>932</v>
      </c>
      <c r="U36" s="449">
        <f t="shared" si="11"/>
        <v>100</v>
      </c>
      <c r="V36" s="448" t="s">
        <v>932</v>
      </c>
      <c r="W36" s="449">
        <f t="shared" si="12"/>
        <v>100</v>
      </c>
      <c r="X36" s="443"/>
      <c r="Y36" s="3348"/>
      <c r="Z36" s="442" t="str">
        <f t="shared" si="13"/>
        <v>土地级别</v>
      </c>
      <c r="AA36" s="454">
        <f t="shared" si="3"/>
        <v>1</v>
      </c>
      <c r="AB36" s="454">
        <f t="shared" si="4"/>
        <v>1</v>
      </c>
      <c r="AC36" s="454">
        <f t="shared" si="5"/>
        <v>1</v>
      </c>
    </row>
    <row r="37" spans="1:29" ht="20.25" hidden="1">
      <c r="A37" s="216"/>
      <c r="B37" s="576">
        <v>111</v>
      </c>
      <c r="C37" s="635"/>
      <c r="D37" s="277">
        <v>100</v>
      </c>
      <c r="E37" s="1734"/>
      <c r="F37" s="247">
        <f>SUMIF(112:112,E37,113:113)-SUMIF(112:112,C37,113:113)+100</f>
        <v>100</v>
      </c>
      <c r="G37" s="635"/>
      <c r="H37" s="247">
        <f>SUMIF(112:112,G37,113:113)-SUMIF(112:112,C37,113:113)+100</f>
        <v>100</v>
      </c>
      <c r="I37" s="1734"/>
      <c r="J37" s="247">
        <f>SUMIF(112:112,I37,113:113)-SUMIF(112:112,C37,113:113)+100</f>
        <v>100</v>
      </c>
      <c r="K37" s="388"/>
      <c r="L37" s="391"/>
      <c r="M37" s="375"/>
      <c r="N37" s="375"/>
      <c r="O37" s="390"/>
      <c r="P37" s="3348"/>
      <c r="Q37" s="383">
        <f t="shared" si="8"/>
        <v>111</v>
      </c>
      <c r="R37" s="448" t="s">
        <v>932</v>
      </c>
      <c r="S37" s="449">
        <f t="shared" si="10"/>
        <v>100</v>
      </c>
      <c r="T37" s="448" t="s">
        <v>932</v>
      </c>
      <c r="U37" s="449">
        <f t="shared" si="11"/>
        <v>100</v>
      </c>
      <c r="V37" s="448" t="s">
        <v>932</v>
      </c>
      <c r="W37" s="449">
        <f t="shared" si="12"/>
        <v>100</v>
      </c>
      <c r="X37" s="443"/>
      <c r="Y37" s="3348"/>
      <c r="Z37" s="442">
        <f t="shared" si="13"/>
        <v>111</v>
      </c>
      <c r="AA37" s="454">
        <f t="shared" si="3"/>
        <v>1</v>
      </c>
      <c r="AB37" s="454">
        <f t="shared" si="4"/>
        <v>1</v>
      </c>
      <c r="AC37" s="454">
        <f t="shared" si="5"/>
        <v>1</v>
      </c>
    </row>
    <row r="38" spans="1:29" ht="20.25" hidden="1">
      <c r="A38" s="1739"/>
      <c r="B38" s="2033">
        <v>111</v>
      </c>
      <c r="C38" s="635"/>
      <c r="D38" s="277">
        <v>100</v>
      </c>
      <c r="E38" s="1734"/>
      <c r="F38" s="247">
        <f>SUMIF(114:114,E39,115:115)-SUMIF(114:114,C39,115:115)+100</f>
        <v>100</v>
      </c>
      <c r="G38" s="635"/>
      <c r="H38" s="247">
        <f>SUMIF(114:114,G38,115:115)-SUMIF(114:114,C38,115:115)+100</f>
        <v>100</v>
      </c>
      <c r="I38" s="1734"/>
      <c r="J38" s="247">
        <f>SUMIF(114:114,I38,115:115)-SUMIF(114:114,C38,115:115)+100</f>
        <v>100</v>
      </c>
      <c r="K38" s="388"/>
      <c r="L38" s="391"/>
      <c r="M38" s="375"/>
      <c r="N38" s="375"/>
      <c r="O38" s="390"/>
      <c r="P38" s="3349" t="s">
        <v>950</v>
      </c>
      <c r="Q38" s="383">
        <f t="shared" si="8"/>
        <v>111</v>
      </c>
      <c r="R38" s="448" t="s">
        <v>932</v>
      </c>
      <c r="S38" s="449">
        <f t="shared" si="10"/>
        <v>100</v>
      </c>
      <c r="T38" s="448" t="s">
        <v>932</v>
      </c>
      <c r="U38" s="449">
        <f t="shared" si="11"/>
        <v>100</v>
      </c>
      <c r="V38" s="448" t="s">
        <v>932</v>
      </c>
      <c r="W38" s="449">
        <f t="shared" si="12"/>
        <v>100</v>
      </c>
      <c r="X38" s="443"/>
      <c r="Y38" s="3350" t="s">
        <v>950</v>
      </c>
      <c r="Z38" s="442">
        <f t="shared" si="13"/>
        <v>111</v>
      </c>
      <c r="AA38" s="454">
        <f t="shared" si="3"/>
        <v>1</v>
      </c>
      <c r="AB38" s="454">
        <f t="shared" si="4"/>
        <v>1</v>
      </c>
      <c r="AC38" s="454">
        <f t="shared" si="5"/>
        <v>1</v>
      </c>
    </row>
    <row r="39" spans="1:29" s="192" customFormat="1" ht="20.25" hidden="1">
      <c r="A39" s="1741"/>
      <c r="B39" s="2034">
        <v>111</v>
      </c>
      <c r="C39" s="2035"/>
      <c r="D39" s="2036">
        <v>100</v>
      </c>
      <c r="E39" s="1743"/>
      <c r="F39" s="300">
        <f>SUMIF(116:116,E39,117:117)-SUMIF(116:116,C39,117:117)+100</f>
        <v>100</v>
      </c>
      <c r="G39" s="1745"/>
      <c r="H39" s="300">
        <f>SUMIF(116:116,G39,117:117)-SUMIF(116:116,C39,117:117)+100</f>
        <v>100</v>
      </c>
      <c r="I39" s="1743"/>
      <c r="J39" s="300">
        <f>SUMIF(116:116,I39,117:117)-SUMIF(116:116,C39,117:117)+100</f>
        <v>100</v>
      </c>
      <c r="K39" s="388"/>
      <c r="L39" s="389"/>
      <c r="M39" s="375"/>
      <c r="N39" s="375"/>
      <c r="O39" s="396"/>
      <c r="P39" s="3350"/>
      <c r="Q39" s="383">
        <f t="shared" si="8"/>
        <v>111</v>
      </c>
      <c r="R39" s="451" t="s">
        <v>932</v>
      </c>
      <c r="S39" s="452">
        <f t="shared" si="10"/>
        <v>100</v>
      </c>
      <c r="T39" s="451" t="s">
        <v>932</v>
      </c>
      <c r="U39" s="452">
        <f t="shared" si="11"/>
        <v>100</v>
      </c>
      <c r="V39" s="451" t="s">
        <v>932</v>
      </c>
      <c r="W39" s="452">
        <f t="shared" si="12"/>
        <v>100</v>
      </c>
      <c r="X39" s="453"/>
      <c r="Y39" s="3350"/>
      <c r="Z39" s="465">
        <f t="shared" si="13"/>
        <v>111</v>
      </c>
      <c r="AA39" s="454">
        <f t="shared" si="3"/>
        <v>1</v>
      </c>
      <c r="AB39" s="454">
        <f t="shared" si="4"/>
        <v>1</v>
      </c>
      <c r="AC39" s="454">
        <f t="shared" si="5"/>
        <v>1</v>
      </c>
    </row>
    <row r="40" spans="1:29" ht="20.25">
      <c r="A40" s="283" t="s">
        <v>951</v>
      </c>
      <c r="B40" s="275" t="s">
        <v>952</v>
      </c>
      <c r="C40" s="1746">
        <f>'数据-基础表'!A3</f>
        <v>66881</v>
      </c>
      <c r="D40" s="286">
        <v>100</v>
      </c>
      <c r="E40" s="1746">
        <f>Sheet3!D49</f>
        <v>67531</v>
      </c>
      <c r="F40" s="286">
        <f>LOOKUP(E40,119:119,120:120)-LOOKUP(C40,119:119,120:120)+100</f>
        <v>100</v>
      </c>
      <c r="G40" s="1746">
        <f>Sheet3!D50</f>
        <v>27498</v>
      </c>
      <c r="H40" s="286">
        <f>LOOKUP(G40,119:119,120:120)-LOOKUP(C40,119:119,120:120)+100</f>
        <v>100</v>
      </c>
      <c r="I40" s="351">
        <f>Sheet3!D54</f>
        <v>32578</v>
      </c>
      <c r="J40" s="286">
        <f>LOOKUP(I40,119:119,120:120)-LOOKUP(C40,119:119,120:120)+100</f>
        <v>100</v>
      </c>
      <c r="K40" s="388"/>
      <c r="L40" s="391"/>
      <c r="M40" s="375"/>
      <c r="N40" s="375"/>
      <c r="O40" s="390"/>
      <c r="P40" s="3350"/>
      <c r="Q40" s="383" t="str">
        <f t="shared" si="8"/>
        <v>宗地面积</v>
      </c>
      <c r="R40" s="448" t="s">
        <v>932</v>
      </c>
      <c r="S40" s="449">
        <f t="shared" si="10"/>
        <v>100</v>
      </c>
      <c r="T40" s="448" t="s">
        <v>932</v>
      </c>
      <c r="U40" s="449">
        <f t="shared" si="11"/>
        <v>100</v>
      </c>
      <c r="V40" s="448" t="s">
        <v>932</v>
      </c>
      <c r="W40" s="449">
        <f t="shared" si="12"/>
        <v>100</v>
      </c>
      <c r="X40" s="443"/>
      <c r="Y40" s="3350"/>
      <c r="Z40" s="442" t="str">
        <f t="shared" si="13"/>
        <v>宗地面积</v>
      </c>
      <c r="AA40" s="454">
        <f t="shared" si="3"/>
        <v>1</v>
      </c>
      <c r="AB40" s="454">
        <f t="shared" si="4"/>
        <v>1</v>
      </c>
      <c r="AC40" s="454">
        <f t="shared" si="5"/>
        <v>1</v>
      </c>
    </row>
    <row r="41" spans="1:29" ht="20.25">
      <c r="A41" s="293"/>
      <c r="B41" s="289" t="s">
        <v>953</v>
      </c>
      <c r="C41" s="578"/>
      <c r="D41" s="247">
        <v>100</v>
      </c>
      <c r="E41" s="578"/>
      <c r="F41" s="247">
        <f>SUMIF(121:121,E41,122:122)-SUMIF(121:121,C41,122:122)+100</f>
        <v>100</v>
      </c>
      <c r="G41" s="578"/>
      <c r="H41" s="247">
        <f>SUMIF(121:121,G41,122:122)-SUMIF(121:121,C41,122:122)+100</f>
        <v>100</v>
      </c>
      <c r="I41" s="578"/>
      <c r="J41" s="247">
        <f>SUMIF(121:121,I41,122:122)-SUMIF(121:121,C41,122:122)+100</f>
        <v>100</v>
      </c>
      <c r="K41" s="384"/>
      <c r="L41" s="391"/>
      <c r="M41" s="375"/>
      <c r="N41" s="375"/>
      <c r="O41" s="390"/>
      <c r="P41" s="3350"/>
      <c r="Q41" s="383" t="str">
        <f t="shared" ref="Q41:Q47" si="14">B41</f>
        <v>宗地形状</v>
      </c>
      <c r="R41" s="448" t="s">
        <v>932</v>
      </c>
      <c r="S41" s="449">
        <f t="shared" si="10"/>
        <v>100</v>
      </c>
      <c r="T41" s="448" t="s">
        <v>932</v>
      </c>
      <c r="U41" s="449">
        <f t="shared" si="11"/>
        <v>100</v>
      </c>
      <c r="V41" s="448" t="s">
        <v>932</v>
      </c>
      <c r="W41" s="449">
        <f t="shared" si="12"/>
        <v>100</v>
      </c>
      <c r="X41" s="443"/>
      <c r="Y41" s="3350"/>
      <c r="Z41" s="442" t="str">
        <f t="shared" si="13"/>
        <v>宗地形状</v>
      </c>
      <c r="AA41" s="454">
        <f t="shared" si="3"/>
        <v>1</v>
      </c>
      <c r="AB41" s="454">
        <f t="shared" si="4"/>
        <v>1</v>
      </c>
      <c r="AC41" s="454">
        <f t="shared" si="5"/>
        <v>1</v>
      </c>
    </row>
    <row r="42" spans="1:29" ht="20.25">
      <c r="A42" s="293"/>
      <c r="B42" s="289" t="s">
        <v>954</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50"/>
      <c r="Q42" s="383" t="str">
        <f t="shared" si="14"/>
        <v>临街宽度及深度</v>
      </c>
      <c r="R42" s="448" t="s">
        <v>932</v>
      </c>
      <c r="S42" s="449">
        <f t="shared" si="10"/>
        <v>100</v>
      </c>
      <c r="T42" s="448" t="s">
        <v>932</v>
      </c>
      <c r="U42" s="449">
        <f t="shared" si="11"/>
        <v>100</v>
      </c>
      <c r="V42" s="448" t="s">
        <v>932</v>
      </c>
      <c r="W42" s="449">
        <f t="shared" si="12"/>
        <v>100</v>
      </c>
      <c r="X42" s="443"/>
      <c r="Y42" s="3350"/>
      <c r="Z42" s="442" t="str">
        <f t="shared" si="13"/>
        <v>临街宽度及深度</v>
      </c>
      <c r="AA42" s="454">
        <f t="shared" si="3"/>
        <v>1</v>
      </c>
      <c r="AB42" s="454">
        <f t="shared" si="4"/>
        <v>1</v>
      </c>
      <c r="AC42" s="454">
        <f t="shared" si="5"/>
        <v>1</v>
      </c>
    </row>
    <row r="43" spans="1:29" s="190" customFormat="1" ht="20.25">
      <c r="A43" s="296"/>
      <c r="B43" s="544" t="s">
        <v>955</v>
      </c>
      <c r="C43" s="1747"/>
      <c r="D43" s="237">
        <v>100</v>
      </c>
      <c r="E43" s="1747"/>
      <c r="F43" s="247">
        <f>SUMIF(125:125,E43,126:126)-SUMIF(125:125,C43,126:126)+100</f>
        <v>100</v>
      </c>
      <c r="G43" s="1747"/>
      <c r="H43" s="247">
        <f>SUMIF(125:125,G43,126:126)-SUMIF(125:125,C43,126:126)+100</f>
        <v>100</v>
      </c>
      <c r="I43" s="1747"/>
      <c r="J43" s="247">
        <f>SUMIF(125:125,I43,126:126)-SUMIF(125:125,C43,126:126)+100</f>
        <v>100</v>
      </c>
      <c r="K43" s="384"/>
      <c r="L43" s="380"/>
      <c r="M43" s="375"/>
      <c r="N43" s="375"/>
      <c r="O43" s="382"/>
      <c r="P43" s="3350"/>
      <c r="Q43" s="383" t="str">
        <f t="shared" si="14"/>
        <v>宗地开发程度</v>
      </c>
      <c r="R43" s="444" t="s">
        <v>932</v>
      </c>
      <c r="S43" s="445">
        <f t="shared" si="10"/>
        <v>100</v>
      </c>
      <c r="T43" s="444" t="s">
        <v>932</v>
      </c>
      <c r="U43" s="445">
        <f t="shared" si="11"/>
        <v>100</v>
      </c>
      <c r="V43" s="444" t="s">
        <v>932</v>
      </c>
      <c r="W43" s="445">
        <f t="shared" si="12"/>
        <v>100</v>
      </c>
      <c r="X43" s="446"/>
      <c r="Y43" s="3350"/>
      <c r="Z43" s="464" t="str">
        <f t="shared" si="13"/>
        <v>宗地开发程度</v>
      </c>
      <c r="AA43" s="463">
        <f t="shared" si="3"/>
        <v>1</v>
      </c>
      <c r="AB43" s="463">
        <f t="shared" si="4"/>
        <v>1</v>
      </c>
      <c r="AC43" s="463">
        <f t="shared" si="5"/>
        <v>1</v>
      </c>
    </row>
    <row r="44" spans="1:29" ht="20.25">
      <c r="A44" s="293"/>
      <c r="B44" s="289" t="s">
        <v>956</v>
      </c>
      <c r="C44" s="578"/>
      <c r="D44" s="247">
        <v>100</v>
      </c>
      <c r="E44" s="578"/>
      <c r="F44" s="247">
        <f>SUMIF(127:127,E44,128:128)-SUMIF(127:127,C44,128:128)+100</f>
        <v>100</v>
      </c>
      <c r="G44" s="578"/>
      <c r="H44" s="247">
        <f>SUMIF(127:127,G44,128:128)-SUMIF(127:127,C44,128:128)+100</f>
        <v>100</v>
      </c>
      <c r="I44" s="578"/>
      <c r="J44" s="247">
        <f>SUMIF(127:127,I44,128:128)-SUMIF(127:127,C44,128:128)+100</f>
        <v>100</v>
      </c>
      <c r="K44" s="384"/>
      <c r="L44" s="391"/>
      <c r="M44" s="375"/>
      <c r="N44" s="375"/>
      <c r="O44" s="390"/>
      <c r="P44" s="3350" t="s">
        <v>950</v>
      </c>
      <c r="Q44" s="383" t="str">
        <f t="shared" si="14"/>
        <v>工程地质条件</v>
      </c>
      <c r="R44" s="448" t="s">
        <v>932</v>
      </c>
      <c r="S44" s="449">
        <f t="shared" si="10"/>
        <v>100</v>
      </c>
      <c r="T44" s="448" t="s">
        <v>932</v>
      </c>
      <c r="U44" s="449">
        <f t="shared" si="11"/>
        <v>100</v>
      </c>
      <c r="V44" s="448" t="s">
        <v>932</v>
      </c>
      <c r="W44" s="449">
        <f t="shared" si="12"/>
        <v>100</v>
      </c>
      <c r="X44" s="443"/>
      <c r="Y44" s="3350" t="s">
        <v>950</v>
      </c>
      <c r="Z44" s="442" t="str">
        <f t="shared" si="13"/>
        <v>工程地质条件</v>
      </c>
      <c r="AA44" s="454">
        <f t="shared" si="3"/>
        <v>1</v>
      </c>
      <c r="AB44" s="454">
        <f t="shared" si="4"/>
        <v>1</v>
      </c>
      <c r="AC44" s="454">
        <f t="shared" si="5"/>
        <v>1</v>
      </c>
    </row>
    <row r="45" spans="1:29" ht="20.25" hidden="1">
      <c r="A45" s="293"/>
      <c r="B45" s="1740">
        <v>111</v>
      </c>
      <c r="C45" s="1734"/>
      <c r="D45" s="247">
        <v>100</v>
      </c>
      <c r="E45" s="1734"/>
      <c r="F45" s="247">
        <f>SUMIF(129:129,E45,130:130)-SUMIF(129:129,C45,130:130)+100</f>
        <v>100</v>
      </c>
      <c r="G45" s="1734"/>
      <c r="H45" s="247">
        <f>SUMIF(129:129,G45,130:130)-SUMIF(129:129,C45,130:130)+100</f>
        <v>100</v>
      </c>
      <c r="I45" s="360"/>
      <c r="J45" s="247">
        <f>SUMIF(129:129,I45,130:130)-SUMIF(129:129,C45,130:130)+100</f>
        <v>100</v>
      </c>
      <c r="K45" s="388"/>
      <c r="L45" s="391"/>
      <c r="M45" s="375"/>
      <c r="N45" s="375"/>
      <c r="O45" s="390"/>
      <c r="P45" s="3350"/>
      <c r="Q45" s="383">
        <f t="shared" si="14"/>
        <v>111</v>
      </c>
      <c r="R45" s="448" t="s">
        <v>932</v>
      </c>
      <c r="S45" s="449">
        <f t="shared" si="10"/>
        <v>100</v>
      </c>
      <c r="T45" s="448" t="s">
        <v>932</v>
      </c>
      <c r="U45" s="449">
        <f t="shared" si="11"/>
        <v>100</v>
      </c>
      <c r="V45" s="448" t="s">
        <v>932</v>
      </c>
      <c r="W45" s="449">
        <f t="shared" si="12"/>
        <v>100</v>
      </c>
      <c r="X45" s="443"/>
      <c r="Y45" s="3350"/>
      <c r="Z45" s="442">
        <f t="shared" si="13"/>
        <v>111</v>
      </c>
      <c r="AA45" s="454">
        <f t="shared" si="3"/>
        <v>1</v>
      </c>
      <c r="AB45" s="454">
        <f t="shared" si="4"/>
        <v>1</v>
      </c>
      <c r="AC45" s="454">
        <f t="shared" si="5"/>
        <v>1</v>
      </c>
    </row>
    <row r="46" spans="1:29" ht="20.25" hidden="1">
      <c r="A46" s="293"/>
      <c r="B46" s="1740">
        <v>111</v>
      </c>
      <c r="C46" s="1734"/>
      <c r="D46" s="247">
        <v>100</v>
      </c>
      <c r="E46" s="1734"/>
      <c r="F46" s="247">
        <f>SUMIF(131:131,E46,132:132)-SUMIF(131:131,C46,132:132)+100</f>
        <v>100</v>
      </c>
      <c r="G46" s="1734"/>
      <c r="H46" s="247">
        <f>SUMIF(131:131,G46,132:132)-SUMIF(131:131,C46,132:132)+100</f>
        <v>100</v>
      </c>
      <c r="I46" s="360"/>
      <c r="J46" s="247">
        <f>SUMIF(131:131,I46,132:132)-SUMIF(131:131,C46,132:132)+100</f>
        <v>100</v>
      </c>
      <c r="K46" s="388"/>
      <c r="L46" s="391"/>
      <c r="M46" s="375"/>
      <c r="N46" s="375"/>
      <c r="O46" s="390"/>
      <c r="P46" s="3350"/>
      <c r="Q46" s="383">
        <f t="shared" si="14"/>
        <v>111</v>
      </c>
      <c r="R46" s="448" t="s">
        <v>932</v>
      </c>
      <c r="S46" s="449">
        <f t="shared" si="10"/>
        <v>100</v>
      </c>
      <c r="T46" s="448" t="s">
        <v>932</v>
      </c>
      <c r="U46" s="449">
        <f t="shared" si="11"/>
        <v>100</v>
      </c>
      <c r="V46" s="448" t="s">
        <v>932</v>
      </c>
      <c r="W46" s="449">
        <f t="shared" si="12"/>
        <v>100</v>
      </c>
      <c r="X46" s="443"/>
      <c r="Y46" s="3350"/>
      <c r="Z46" s="442">
        <f t="shared" si="13"/>
        <v>111</v>
      </c>
      <c r="AA46" s="454">
        <f t="shared" si="3"/>
        <v>1</v>
      </c>
      <c r="AB46" s="454">
        <f t="shared" si="4"/>
        <v>1</v>
      </c>
      <c r="AC46" s="454">
        <f t="shared" si="5"/>
        <v>1</v>
      </c>
    </row>
    <row r="47" spans="1:29" s="192" customFormat="1" ht="20.25" hidden="1">
      <c r="A47" s="288"/>
      <c r="B47" s="1740">
        <v>111</v>
      </c>
      <c r="C47" s="1748"/>
      <c r="D47" s="2037">
        <v>100</v>
      </c>
      <c r="E47" s="1734"/>
      <c r="F47" s="300">
        <f>SUMIF(133:133,E47,134:134)-SUMIF(133:133,C47,134:134)+100</f>
        <v>100</v>
      </c>
      <c r="G47" s="1734"/>
      <c r="H47" s="300">
        <f>SUMIF(133:133,G47,134:134)-SUMIF(133:133,C47,134:134)+100</f>
        <v>100</v>
      </c>
      <c r="I47" s="1734"/>
      <c r="J47" s="300">
        <f>SUMIF(133:133,I47,134:134)-SUMIF(133:133,C47,134:134)+100</f>
        <v>100</v>
      </c>
      <c r="K47" s="1794"/>
      <c r="L47" s="389"/>
      <c r="M47" s="375"/>
      <c r="N47" s="375"/>
      <c r="O47" s="396"/>
      <c r="P47" s="3350"/>
      <c r="Q47" s="383">
        <f t="shared" si="14"/>
        <v>111</v>
      </c>
      <c r="R47" s="451" t="s">
        <v>932</v>
      </c>
      <c r="S47" s="452">
        <f t="shared" si="10"/>
        <v>100</v>
      </c>
      <c r="T47" s="451" t="s">
        <v>932</v>
      </c>
      <c r="U47" s="452">
        <f t="shared" si="11"/>
        <v>100</v>
      </c>
      <c r="V47" s="451" t="s">
        <v>932</v>
      </c>
      <c r="W47" s="452">
        <f t="shared" si="12"/>
        <v>100</v>
      </c>
      <c r="X47" s="453"/>
      <c r="Y47" s="3350"/>
      <c r="Z47" s="465">
        <f t="shared" si="13"/>
        <v>111</v>
      </c>
      <c r="AA47" s="454">
        <f t="shared" si="3"/>
        <v>1</v>
      </c>
      <c r="AB47" s="454">
        <f t="shared" si="4"/>
        <v>1</v>
      </c>
      <c r="AC47" s="454">
        <f t="shared" si="5"/>
        <v>1</v>
      </c>
    </row>
    <row r="48" spans="1:29" ht="20.25">
      <c r="A48" s="303" t="s">
        <v>957</v>
      </c>
      <c r="B48" s="1749" t="s">
        <v>958</v>
      </c>
      <c r="C48" s="1750" t="s">
        <v>138</v>
      </c>
      <c r="D48" s="1751"/>
      <c r="E48" s="1752">
        <v>13508</v>
      </c>
      <c r="F48" s="1753"/>
      <c r="G48" s="1754">
        <v>12531</v>
      </c>
      <c r="H48" s="1755"/>
      <c r="I48" s="1752">
        <v>11755</v>
      </c>
      <c r="J48" s="1755"/>
      <c r="K48" s="1795"/>
      <c r="L48" s="398"/>
      <c r="M48" s="375"/>
      <c r="N48" s="375"/>
      <c r="O48" s="319"/>
      <c r="P48" s="3340" t="str">
        <f>A48</f>
        <v>成交单价</v>
      </c>
      <c r="Q48" s="3340"/>
      <c r="R48" s="3341">
        <f>E48</f>
        <v>13508</v>
      </c>
      <c r="S48" s="3341"/>
      <c r="T48" s="3341">
        <f>G48</f>
        <v>12531</v>
      </c>
      <c r="U48" s="3341"/>
      <c r="V48" s="3341">
        <f>I48</f>
        <v>11755</v>
      </c>
      <c r="W48" s="3341"/>
      <c r="X48" s="330"/>
      <c r="Y48" s="466"/>
      <c r="Z48" s="330"/>
      <c r="AA48" s="330"/>
      <c r="AB48" s="330"/>
      <c r="AC48" s="330"/>
    </row>
    <row r="49" spans="1:29" ht="20.25">
      <c r="A49" s="311" t="s">
        <v>959</v>
      </c>
      <c r="B49" s="1756"/>
      <c r="C49" s="1757">
        <f>R50</f>
        <v>12245</v>
      </c>
      <c r="D49" s="1758"/>
      <c r="E49" s="1757">
        <f>R49</f>
        <v>13196</v>
      </c>
      <c r="F49" s="1759"/>
      <c r="G49" s="1760">
        <f>T49</f>
        <v>11997</v>
      </c>
      <c r="H49" s="1758"/>
      <c r="I49" s="1757">
        <f>V49</f>
        <v>11542</v>
      </c>
      <c r="J49" s="1758"/>
      <c r="K49" s="1796"/>
      <c r="L49" s="398"/>
      <c r="M49" s="375"/>
      <c r="N49" s="375"/>
      <c r="O49" s="319"/>
      <c r="P49" s="3340" t="str">
        <f>A49</f>
        <v>比较价格（元/平方米）</v>
      </c>
      <c r="Q49" s="3340"/>
      <c r="R49" s="3342">
        <f>ROUND(PRODUCT(R48,AA9:AA47),0)</f>
        <v>13196</v>
      </c>
      <c r="S49" s="3342"/>
      <c r="T49" s="3342">
        <f>ROUND(PRODUCT(T48,AB9:AB47),0)</f>
        <v>11997</v>
      </c>
      <c r="U49" s="3342"/>
      <c r="V49" s="3342">
        <f>ROUND(PRODUCT(V48,AC9:AC47),0)</f>
        <v>11542</v>
      </c>
      <c r="W49" s="3342"/>
      <c r="X49" s="330"/>
      <c r="Y49" s="330"/>
      <c r="Z49" s="330"/>
      <c r="AA49" s="330"/>
      <c r="AB49" s="330"/>
      <c r="AC49" s="330"/>
    </row>
    <row r="50" spans="1:29" ht="20.25">
      <c r="A50" s="316" t="s">
        <v>960</v>
      </c>
      <c r="B50" s="317"/>
      <c r="C50" s="1761">
        <f>R50</f>
        <v>12245</v>
      </c>
      <c r="D50" s="1761"/>
      <c r="E50" s="1761"/>
      <c r="F50" s="1761"/>
      <c r="G50" s="1761"/>
      <c r="H50" s="1761"/>
      <c r="I50" s="1761"/>
      <c r="J50" s="1761"/>
      <c r="K50" s="1797"/>
      <c r="L50" s="398"/>
      <c r="M50" s="375"/>
      <c r="N50" s="375"/>
      <c r="O50" s="319"/>
      <c r="P50" s="3343" t="str">
        <f>A50</f>
        <v>估价对象XX用房的比较价格（楼面单价，元/平方米）</v>
      </c>
      <c r="Q50" s="3344"/>
      <c r="R50" s="3345">
        <f>ROUND(AVERAGE(R49:V49),0)</f>
        <v>12245</v>
      </c>
      <c r="S50" s="3345"/>
      <c r="T50" s="3345"/>
      <c r="U50" s="3345"/>
      <c r="V50" s="3345"/>
      <c r="W50" s="3345"/>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961</v>
      </c>
      <c r="D53" s="322"/>
      <c r="E53" s="323">
        <f>IF(E48&lt;E49,E49/E48-1,E48/E49-1)</f>
        <v>2.3643528341921849E-2</v>
      </c>
      <c r="F53" s="324" t="str">
        <f>IF(OR(E53&gt;=0.3,E53&lt;=-0.3),"超过30%","")</f>
        <v/>
      </c>
      <c r="G53" s="323">
        <f>IF(G48&lt;G49,G49/G48-1,G48/G49-1)</f>
        <v>4.4511127781945437E-2</v>
      </c>
      <c r="H53" s="324" t="str">
        <f>IF(OR(G53&gt;=0.3,G53&lt;=-0.3),"超过30%","")</f>
        <v/>
      </c>
      <c r="I53" s="323">
        <f>IF(I48&lt;I49,I49/I48-1,I48/I49-1)</f>
        <v>1.8454340668861535E-2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962</v>
      </c>
      <c r="D54" s="325"/>
      <c r="E54" s="323">
        <f>IF(E49&lt;G49,G49/E49-1,E49/G49-1)</f>
        <v>9.9941652079686527E-2</v>
      </c>
      <c r="F54" s="324" t="str">
        <f>IF(OR(E54&gt;=0.2,E54&lt;=-0.2),"超过20%","")</f>
        <v/>
      </c>
      <c r="G54" s="323">
        <f>IF(G49&lt;I49,I49/G49-1,G49/I49-1)</f>
        <v>3.9421244151793378E-2</v>
      </c>
      <c r="H54" s="324" t="str">
        <f>IF(OR(G54&gt;=0.2,G54&lt;=-0.2),"超过20%","")</f>
        <v/>
      </c>
      <c r="I54" s="323">
        <f>IF(I49&lt;E49,E49/I49-1,I49/E49-1)</f>
        <v>0.14330272049904691</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963</v>
      </c>
      <c r="D55" s="325"/>
      <c r="E55" s="323">
        <f>IF(E48&lt;G48,G48/E48-1,E48/G48-1)</f>
        <v>7.7966642726039495E-2</v>
      </c>
      <c r="F55" s="324" t="str">
        <f>IF(OR(E55&gt;=0.3,E55&lt;=-0.3),"超过30%","")</f>
        <v/>
      </c>
      <c r="G55" s="323">
        <f>IF(G48&lt;I48,I48/G48-1,G48/I48-1)</f>
        <v>6.6014461931093199E-2</v>
      </c>
      <c r="H55" s="324" t="str">
        <f>IF(OR(G55&gt;=0.3,G55&lt;=-0.3),"超过30%","")</f>
        <v/>
      </c>
      <c r="I55" s="323">
        <f>IF(I48&lt;E48,E48/I48-1,I48/E48-1)</f>
        <v>0.149128030625266</v>
      </c>
      <c r="J55" s="324" t="str">
        <f>IF(OR(I55&gt;=0.3,I55&lt;=-0.3),"超过30%","")</f>
        <v/>
      </c>
      <c r="K55" s="404"/>
      <c r="L55" s="405"/>
      <c r="M55" s="375"/>
      <c r="N55" s="375"/>
      <c r="O55" s="326"/>
      <c r="P55" s="204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3"/>
      <c r="Q56" s="326"/>
      <c r="R56" s="326"/>
      <c r="S56" s="326"/>
      <c r="T56" s="326"/>
      <c r="U56" s="326"/>
      <c r="V56" s="326"/>
      <c r="W56" s="326"/>
      <c r="X56" s="326"/>
      <c r="Y56" s="326"/>
      <c r="Z56" s="326"/>
      <c r="AA56" s="326"/>
      <c r="AB56" s="326"/>
      <c r="AC56" s="326"/>
    </row>
    <row r="57" spans="1:29" ht="26.25" customHeight="1">
      <c r="A57" s="1762" t="s">
        <v>964</v>
      </c>
      <c r="B57" s="1763" t="s">
        <v>965</v>
      </c>
      <c r="C57" s="1764" t="s">
        <v>966</v>
      </c>
      <c r="D57" s="1765" t="s">
        <v>967</v>
      </c>
      <c r="E57" s="1766" t="s">
        <v>968</v>
      </c>
      <c r="F57" s="2038" t="s">
        <v>969</v>
      </c>
      <c r="G57" s="3354" t="s">
        <v>970</v>
      </c>
      <c r="H57" s="3355"/>
      <c r="I57" s="1799" t="s">
        <v>417</v>
      </c>
      <c r="J57" s="1799">
        <f>项目基本情况!F41</f>
        <v>0</v>
      </c>
      <c r="K57" s="1800" t="s">
        <v>971</v>
      </c>
      <c r="L57" s="403"/>
      <c r="M57" s="319"/>
      <c r="N57" s="319"/>
      <c r="O57" s="319"/>
      <c r="P57" s="319"/>
      <c r="Q57" s="319"/>
      <c r="R57" s="319"/>
      <c r="S57" s="319"/>
      <c r="T57" s="319"/>
      <c r="U57" s="319"/>
      <c r="V57" s="319"/>
      <c r="W57" s="319"/>
      <c r="X57" s="319"/>
      <c r="Y57" s="319"/>
      <c r="Z57" s="319"/>
      <c r="AA57" s="319"/>
      <c r="AB57" s="319"/>
      <c r="AC57" s="319"/>
    </row>
    <row r="58" spans="1:29" s="1727" customFormat="1" ht="12.75">
      <c r="A58" s="1768" t="s">
        <v>972</v>
      </c>
      <c r="B58" s="1769">
        <f>C50</f>
        <v>12245</v>
      </c>
      <c r="C58" s="1770">
        <v>1</v>
      </c>
      <c r="D58" s="1771">
        <v>1</v>
      </c>
      <c r="E58" s="1770">
        <f>'数据-汇总表'!E8+'数据-汇总表'!E9</f>
        <v>76796.87</v>
      </c>
      <c r="F58" s="2039">
        <f t="shared" ref="F58:F67" si="15">ROUND(B58*E58/10000,0)</f>
        <v>94038</v>
      </c>
      <c r="G58" s="3356"/>
      <c r="H58" s="3357"/>
      <c r="I58" s="1802">
        <v>1</v>
      </c>
      <c r="J58" s="1802">
        <v>1</v>
      </c>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2.75">
      <c r="A59" s="1773" t="s">
        <v>973</v>
      </c>
      <c r="B59" s="1774">
        <f>ROUND($C$50*C59*D59,0)</f>
        <v>0</v>
      </c>
      <c r="C59" s="1537">
        <f t="shared" ref="C59:C67" si="16">IF($C$57="北京市系数",I59,J59)</f>
        <v>0</v>
      </c>
      <c r="D59" s="1775">
        <v>0.25</v>
      </c>
      <c r="E59" s="1776">
        <v>0</v>
      </c>
      <c r="F59" s="2039">
        <f t="shared" si="15"/>
        <v>0</v>
      </c>
      <c r="G59" s="3346" t="s">
        <v>974</v>
      </c>
      <c r="H59" s="2041">
        <f>项目基本情况!B43</f>
        <v>0</v>
      </c>
      <c r="I59" s="1802">
        <f>SUMIF(修正!$A$45:$A$56,H59,修正!B45:B56)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2.75">
      <c r="A60" s="1773" t="s">
        <v>975</v>
      </c>
      <c r="B60" s="1774">
        <f t="shared" ref="B60:B67" si="17">ROUND($C$50*C60*D60,0)</f>
        <v>0</v>
      </c>
      <c r="C60" s="1537">
        <f t="shared" si="16"/>
        <v>0</v>
      </c>
      <c r="D60" s="1775">
        <v>0.25</v>
      </c>
      <c r="E60" s="1776">
        <v>0</v>
      </c>
      <c r="F60" s="2039">
        <f t="shared" si="15"/>
        <v>0</v>
      </c>
      <c r="G60" s="3346"/>
      <c r="H60" s="2041">
        <f>项目基本情况!B43</f>
        <v>0</v>
      </c>
      <c r="I60" s="1802">
        <f>SUMIF(修正!$A$45:$A$56,H60,修正!C45:C56)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2.75">
      <c r="A61" s="1773" t="s">
        <v>976</v>
      </c>
      <c r="B61" s="1774">
        <f t="shared" si="17"/>
        <v>0</v>
      </c>
      <c r="C61" s="1537">
        <f t="shared" si="16"/>
        <v>0</v>
      </c>
      <c r="D61" s="1775">
        <v>0.25</v>
      </c>
      <c r="E61" s="1776">
        <v>0</v>
      </c>
      <c r="F61" s="2039">
        <f t="shared" si="15"/>
        <v>0</v>
      </c>
      <c r="G61" s="3346"/>
      <c r="H61" s="2041">
        <f>项目基本情况!B43</f>
        <v>0</v>
      </c>
      <c r="I61" s="1802">
        <f>SUMIF(修正!$A$45:$A$56,H61,修正!D45:D56)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2.75">
      <c r="A62" s="1773" t="s">
        <v>977</v>
      </c>
      <c r="B62" s="1774">
        <f t="shared" si="17"/>
        <v>0</v>
      </c>
      <c r="C62" s="1537">
        <f t="shared" si="16"/>
        <v>0</v>
      </c>
      <c r="D62" s="1775">
        <v>0.25</v>
      </c>
      <c r="E62" s="1776">
        <v>0</v>
      </c>
      <c r="F62" s="2039">
        <f t="shared" si="15"/>
        <v>0</v>
      </c>
      <c r="G62" s="3346"/>
      <c r="H62" s="2041">
        <f>项目基本情况!B43</f>
        <v>0</v>
      </c>
      <c r="I62" s="1802">
        <f>SUMIF(修正!$A$45:$A$56,H62,修正!E45:E56)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2.75">
      <c r="A63" s="1780" t="s">
        <v>532</v>
      </c>
      <c r="B63" s="1774">
        <f t="shared" si="17"/>
        <v>0</v>
      </c>
      <c r="C63" s="1537">
        <f t="shared" si="16"/>
        <v>0</v>
      </c>
      <c r="D63" s="1775">
        <v>0.25</v>
      </c>
      <c r="E63" s="1781">
        <f>'数据-汇总表'!E11</f>
        <v>0</v>
      </c>
      <c r="F63" s="2039">
        <f t="shared" si="15"/>
        <v>0</v>
      </c>
      <c r="G63" s="2040" t="s">
        <v>978</v>
      </c>
      <c r="H63" s="2041">
        <f>项目基本情况!C43</f>
        <v>0</v>
      </c>
      <c r="I63" s="1802">
        <f>SUMIF(修正!$A$45:$A$56,H63,修正!F45:F56)</f>
        <v>0</v>
      </c>
      <c r="J63" s="1804"/>
      <c r="K63" s="1803"/>
      <c r="L63" s="1803"/>
      <c r="M63" s="1803"/>
      <c r="N63" s="1803"/>
      <c r="O63" s="1803"/>
      <c r="P63" s="1803"/>
      <c r="Q63" s="1803"/>
      <c r="R63" s="1803"/>
      <c r="S63" s="1803"/>
      <c r="T63" s="1803"/>
      <c r="U63" s="1803"/>
      <c r="V63" s="1803"/>
      <c r="W63" s="1803"/>
      <c r="X63" s="1803"/>
      <c r="Y63" s="1803"/>
      <c r="Z63" s="1803"/>
      <c r="AA63" s="1803"/>
      <c r="AB63" s="1803"/>
      <c r="AC63" s="1803"/>
    </row>
    <row r="64" spans="1:29" s="1727" customFormat="1" ht="12.75">
      <c r="A64" s="1773" t="s">
        <v>979</v>
      </c>
      <c r="B64" s="1774">
        <f t="shared" si="17"/>
        <v>0</v>
      </c>
      <c r="C64" s="1537">
        <f t="shared" si="16"/>
        <v>0</v>
      </c>
      <c r="D64" s="1775">
        <v>0.25</v>
      </c>
      <c r="E64" s="1781">
        <f>'数据-汇总表'!E12</f>
        <v>0</v>
      </c>
      <c r="F64" s="2039">
        <f t="shared" si="15"/>
        <v>0</v>
      </c>
      <c r="G64" s="1782" t="s">
        <v>371</v>
      </c>
      <c r="H64" s="2042">
        <f>IF(G64="商业",项目基本情况!B43,IF(G64="办公",项目基本情况!C43,IF(G64="住宅",项目基本情况!D43,项目基本情况!E43)))</f>
        <v>0</v>
      </c>
      <c r="I64" s="1802">
        <f>SUMIF(修正!$A$45:$A$56,H64,修正!G45:G56)</f>
        <v>0</v>
      </c>
      <c r="J64" s="1804"/>
      <c r="K64" s="1803"/>
      <c r="L64" s="1803"/>
      <c r="M64" s="1803"/>
      <c r="N64" s="1803"/>
      <c r="O64" s="1803"/>
      <c r="P64" s="1803"/>
      <c r="Q64" s="1803"/>
      <c r="R64" s="1803"/>
      <c r="S64" s="1803"/>
      <c r="T64" s="1803"/>
      <c r="U64" s="1803"/>
      <c r="V64" s="1803"/>
      <c r="W64" s="1803"/>
      <c r="X64" s="1803"/>
      <c r="Y64" s="1803"/>
      <c r="Z64" s="1803"/>
      <c r="AA64" s="1803"/>
      <c r="AB64" s="1803"/>
      <c r="AC64" s="1803"/>
    </row>
    <row r="65" spans="1:29" s="1727" customFormat="1" ht="12.75">
      <c r="A65" s="1773" t="s">
        <v>980</v>
      </c>
      <c r="B65" s="1774">
        <f t="shared" si="17"/>
        <v>0</v>
      </c>
      <c r="C65" s="1537">
        <f t="shared" si="16"/>
        <v>0</v>
      </c>
      <c r="D65" s="1775">
        <v>0.25</v>
      </c>
      <c r="E65" s="1781">
        <f>'数据-汇总表'!E13</f>
        <v>51186.6</v>
      </c>
      <c r="F65" s="2039">
        <f t="shared" si="15"/>
        <v>0</v>
      </c>
      <c r="G65" s="1782" t="s">
        <v>369</v>
      </c>
      <c r="H65" s="2042">
        <f>IF(G65="商业",项目基本情况!B43,IF(G65="办公",项目基本情况!C43,IF(G65="住宅",项目基本情况!D43,项目基本情况!E43)))</f>
        <v>0</v>
      </c>
      <c r="I65" s="1802">
        <f>SUMIF(修正!$A$45:$A$56,H65,修正!H45:H56)</f>
        <v>0</v>
      </c>
      <c r="J65" s="1804"/>
      <c r="K65" s="1803"/>
      <c r="L65" s="1803"/>
      <c r="M65" s="1803"/>
      <c r="N65" s="1803"/>
      <c r="O65" s="1803"/>
      <c r="P65" s="1803"/>
      <c r="Q65" s="1803"/>
      <c r="R65" s="1803"/>
      <c r="S65" s="1803"/>
      <c r="T65" s="1803"/>
      <c r="U65" s="1803"/>
      <c r="V65" s="1803"/>
      <c r="W65" s="1803"/>
      <c r="X65" s="1803"/>
      <c r="Y65" s="1803"/>
      <c r="Z65" s="1803"/>
      <c r="AA65" s="1803"/>
      <c r="AB65" s="1803"/>
      <c r="AC65" s="1803"/>
    </row>
    <row r="66" spans="1:29" s="1727" customFormat="1" ht="12.75">
      <c r="A66" s="1773" t="s">
        <v>981</v>
      </c>
      <c r="B66" s="1774">
        <f t="shared" si="17"/>
        <v>0</v>
      </c>
      <c r="C66" s="1537">
        <f t="shared" si="16"/>
        <v>0</v>
      </c>
      <c r="D66" s="1775">
        <v>0.25</v>
      </c>
      <c r="E66" s="1781">
        <f>'数据-汇总表'!E14</f>
        <v>0</v>
      </c>
      <c r="F66" s="2039">
        <f t="shared" si="15"/>
        <v>0</v>
      </c>
      <c r="G66" s="2040" t="s">
        <v>974</v>
      </c>
      <c r="H66" s="2041">
        <f>项目基本情况!B43</f>
        <v>0</v>
      </c>
      <c r="I66" s="1802">
        <f>SUMIF(修正!$A$45:$A$56,H66,修正!H45:H56)</f>
        <v>0</v>
      </c>
      <c r="J66" s="1804"/>
      <c r="K66" s="1803"/>
      <c r="L66" s="1803"/>
      <c r="M66" s="1803"/>
      <c r="N66" s="1803"/>
      <c r="O66" s="1803"/>
      <c r="P66" s="1803"/>
      <c r="Q66" s="1803"/>
      <c r="R66" s="1803"/>
      <c r="S66" s="1803"/>
      <c r="T66" s="1803"/>
      <c r="U66" s="1803"/>
      <c r="V66" s="1803"/>
      <c r="W66" s="1803"/>
      <c r="X66" s="1803"/>
      <c r="Y66" s="1803"/>
      <c r="Z66" s="1803"/>
      <c r="AA66" s="1803"/>
      <c r="AB66" s="1803"/>
      <c r="AC66" s="1803"/>
    </row>
    <row r="67" spans="1:29" s="1727" customFormat="1" ht="12.75">
      <c r="A67" s="1773" t="s">
        <v>982</v>
      </c>
      <c r="B67" s="1774">
        <f t="shared" si="17"/>
        <v>0</v>
      </c>
      <c r="C67" s="1537">
        <f t="shared" si="16"/>
        <v>0</v>
      </c>
      <c r="D67" s="1775">
        <v>0.25</v>
      </c>
      <c r="E67" s="1781">
        <f>'数据-汇总表'!E15</f>
        <v>0</v>
      </c>
      <c r="F67" s="2039">
        <f t="shared" si="15"/>
        <v>0</v>
      </c>
      <c r="G67" s="2045" t="s">
        <v>978</v>
      </c>
      <c r="H67" s="2046">
        <f>项目基本情况!C43</f>
        <v>0</v>
      </c>
      <c r="I67" s="1802">
        <f>SUMIF(修正!$A$45:$A$56,H67,修正!H45:H56)</f>
        <v>0</v>
      </c>
      <c r="J67" s="1804"/>
      <c r="K67" s="1803"/>
      <c r="L67" s="1803"/>
      <c r="M67" s="1803"/>
      <c r="N67" s="1803"/>
      <c r="O67" s="1803"/>
      <c r="P67" s="1803"/>
      <c r="Q67" s="1803"/>
      <c r="R67" s="1803"/>
      <c r="S67" s="1803"/>
      <c r="T67" s="1803"/>
      <c r="U67" s="1803"/>
      <c r="V67" s="1803"/>
      <c r="W67" s="1803"/>
      <c r="X67" s="1803"/>
      <c r="Y67" s="1803"/>
      <c r="Z67" s="1803"/>
      <c r="AA67" s="1803"/>
      <c r="AB67" s="1803"/>
      <c r="AC67" s="1803"/>
    </row>
    <row r="68" spans="1:29" s="1727" customFormat="1" ht="12.75">
      <c r="A68" s="1785" t="s">
        <v>983</v>
      </c>
      <c r="B68" s="1786" t="s">
        <v>984</v>
      </c>
      <c r="C68" s="1786" t="s">
        <v>984</v>
      </c>
      <c r="D68" s="1786" t="s">
        <v>984</v>
      </c>
      <c r="E68" s="1786">
        <f>IF(B48="楼面地价",SUM(E58:E67),'数据-汇总表'!D3)</f>
        <v>66881</v>
      </c>
      <c r="F68" s="1787">
        <f>IF(B48="楼面地价",SUM(F58:F67),ROUND(C50*E68/10000,0))</f>
        <v>81896</v>
      </c>
      <c r="G68" s="1788"/>
      <c r="H68" s="1788"/>
      <c r="I68" s="1788"/>
      <c r="J68" s="1788"/>
      <c r="K68" s="1788"/>
      <c r="L68" s="1803"/>
      <c r="M68" s="1803"/>
      <c r="N68" s="1803"/>
      <c r="O68" s="1803"/>
      <c r="P68" s="1803"/>
      <c r="Q68" s="1803"/>
      <c r="R68" s="1803"/>
      <c r="S68" s="1803"/>
      <c r="T68" s="1803"/>
      <c r="U68" s="1803"/>
      <c r="V68" s="1803"/>
      <c r="W68" s="1803"/>
      <c r="X68" s="1803"/>
      <c r="Y68" s="1803"/>
      <c r="Z68" s="1803"/>
      <c r="AA68" s="1803"/>
      <c r="AB68" s="1803"/>
      <c r="AC68" s="180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6" t="str">
        <f>YEAR(C9)&amp;"-"&amp;MONTH(C9)&amp;"-1"</f>
        <v>2020-3-1</v>
      </c>
      <c r="D70" s="1806">
        <f>EDATE(C70,-3)</f>
        <v>43800</v>
      </c>
      <c r="E70" s="1806">
        <f t="shared" ref="E70:N70" si="18">EDATE(D70,-3)</f>
        <v>43709</v>
      </c>
      <c r="F70" s="1806">
        <f t="shared" si="18"/>
        <v>43617</v>
      </c>
      <c r="G70" s="1806">
        <f t="shared" si="18"/>
        <v>43525</v>
      </c>
      <c r="H70" s="1806">
        <f t="shared" si="18"/>
        <v>43435</v>
      </c>
      <c r="I70" s="1806">
        <f t="shared" si="18"/>
        <v>43344</v>
      </c>
      <c r="J70" s="1806">
        <f t="shared" si="18"/>
        <v>43252</v>
      </c>
      <c r="K70" s="1806">
        <f t="shared" si="18"/>
        <v>43160</v>
      </c>
      <c r="L70" s="1806">
        <f t="shared" si="18"/>
        <v>43070</v>
      </c>
      <c r="M70" s="1806">
        <f t="shared" si="18"/>
        <v>42979</v>
      </c>
      <c r="N70" s="1806">
        <f t="shared" si="18"/>
        <v>42887</v>
      </c>
      <c r="O70" s="319"/>
      <c r="P70" s="319"/>
      <c r="Q70" s="319"/>
      <c r="R70" s="319"/>
      <c r="S70" s="319"/>
      <c r="T70" s="319"/>
      <c r="U70" s="319"/>
      <c r="V70" s="319"/>
      <c r="W70" s="319"/>
      <c r="X70" s="319"/>
      <c r="Y70" s="319"/>
      <c r="Z70" s="319"/>
      <c r="AA70" s="319"/>
      <c r="AB70" s="319"/>
      <c r="AC70" s="319"/>
    </row>
    <row r="71" spans="1:29" ht="21">
      <c r="A71" s="329" t="s">
        <v>985</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7" t="s">
        <v>986</v>
      </c>
      <c r="B72" s="2047"/>
      <c r="C72" s="1808" t="str">
        <f>YEAR(C70)&amp;"-"&amp;ROUNDUP(MONTH(C70)/3,0)</f>
        <v>2020-1</v>
      </c>
      <c r="D72" s="1808" t="str">
        <f>YEAR(D70)&amp;"-"&amp;ROUNDUP(MONTH(D70)/3,0)</f>
        <v>2019-4</v>
      </c>
      <c r="E72" s="1808" t="str">
        <f t="shared" ref="E72:N72" si="19">YEAR(E70)&amp;"-"&amp;ROUNDUP(MONTH(E70)/3,0)</f>
        <v>2019-3</v>
      </c>
      <c r="F72" s="1808" t="str">
        <f t="shared" si="19"/>
        <v>2019-2</v>
      </c>
      <c r="G72" s="1808" t="str">
        <f t="shared" si="19"/>
        <v>2019-1</v>
      </c>
      <c r="H72" s="1808" t="str">
        <f t="shared" si="19"/>
        <v>2018-4</v>
      </c>
      <c r="I72" s="1808" t="str">
        <f t="shared" si="19"/>
        <v>2018-3</v>
      </c>
      <c r="J72" s="1808" t="str">
        <f t="shared" si="19"/>
        <v>2018-2</v>
      </c>
      <c r="K72" s="1808" t="str">
        <f t="shared" si="19"/>
        <v>2018-1</v>
      </c>
      <c r="L72" s="1808" t="str">
        <f t="shared" si="19"/>
        <v>2017-4</v>
      </c>
      <c r="M72" s="1808" t="str">
        <f t="shared" si="19"/>
        <v>2017-3</v>
      </c>
      <c r="N72" s="1808" t="str">
        <f t="shared" si="19"/>
        <v>2017-2</v>
      </c>
      <c r="O72" s="1816"/>
      <c r="P72" s="409"/>
      <c r="Q72" s="455"/>
      <c r="R72" s="455"/>
      <c r="S72" s="455"/>
      <c r="T72" s="455"/>
      <c r="U72" s="455"/>
      <c r="V72" s="455"/>
      <c r="W72" s="455"/>
      <c r="X72" s="455"/>
      <c r="Y72" s="455"/>
      <c r="Z72" s="455"/>
      <c r="AA72" s="455"/>
      <c r="AB72" s="455"/>
      <c r="AC72" s="455"/>
    </row>
    <row r="73" spans="1:29" s="190" customFormat="1" ht="27" customHeight="1">
      <c r="A73" s="2048" t="s">
        <v>987</v>
      </c>
      <c r="B73" s="1810" t="str">
        <f>"北京市平均增长率"&amp;TEXT(SUMIF(基准地价!N21:N25,A73,基准地价!P21:P25),"0.00%")</f>
        <v>北京市平均增长率1.90%</v>
      </c>
      <c r="C73" s="472">
        <v>100</v>
      </c>
      <c r="D73" s="475">
        <f>C73-0.5</f>
        <v>99.5</v>
      </c>
      <c r="E73" s="475">
        <f t="shared" ref="E73:M73" si="20">D73-0.5</f>
        <v>99</v>
      </c>
      <c r="F73" s="475">
        <f t="shared" si="20"/>
        <v>98.5</v>
      </c>
      <c r="G73" s="475">
        <f t="shared" si="20"/>
        <v>98</v>
      </c>
      <c r="H73" s="475">
        <f t="shared" si="20"/>
        <v>97.5</v>
      </c>
      <c r="I73" s="475">
        <f t="shared" si="20"/>
        <v>97</v>
      </c>
      <c r="J73" s="475">
        <f t="shared" si="20"/>
        <v>96.5</v>
      </c>
      <c r="K73" s="475">
        <f t="shared" si="20"/>
        <v>96</v>
      </c>
      <c r="L73" s="475">
        <f t="shared" si="20"/>
        <v>95.5</v>
      </c>
      <c r="M73" s="475">
        <f t="shared" si="20"/>
        <v>95</v>
      </c>
      <c r="N73" s="1818"/>
      <c r="O73" s="417"/>
      <c r="P73" s="412"/>
      <c r="Q73" s="456"/>
      <c r="R73" s="456"/>
      <c r="S73" s="456"/>
      <c r="T73" s="456"/>
      <c r="U73" s="456"/>
      <c r="V73" s="456"/>
      <c r="W73" s="456"/>
      <c r="X73" s="456"/>
      <c r="Y73" s="456"/>
      <c r="Z73" s="456"/>
      <c r="AA73" s="456"/>
      <c r="AB73" s="456"/>
      <c r="AC73" s="456"/>
    </row>
    <row r="74" spans="1:29" s="190" customFormat="1" ht="15" customHeight="1">
      <c r="A74" s="2049" t="s">
        <v>988</v>
      </c>
      <c r="B74" s="2050"/>
      <c r="C74" s="1811"/>
      <c r="D74" s="1812"/>
      <c r="E74" s="1812"/>
      <c r="F74" s="1812"/>
      <c r="G74" s="1812"/>
      <c r="H74" s="1812"/>
      <c r="I74" s="1812"/>
      <c r="J74" s="1812"/>
      <c r="K74" s="1812"/>
      <c r="L74" s="1812"/>
      <c r="M74" s="1812"/>
      <c r="N74" s="1812"/>
      <c r="O74" s="417"/>
      <c r="P74" s="412"/>
      <c r="Q74" s="412"/>
      <c r="R74" s="456"/>
      <c r="S74" s="456"/>
      <c r="T74" s="456"/>
      <c r="U74" s="456"/>
      <c r="V74" s="456"/>
      <c r="W74" s="456"/>
      <c r="X74" s="456"/>
      <c r="Y74" s="456"/>
      <c r="Z74" s="456"/>
      <c r="AA74" s="456"/>
      <c r="AB74" s="456"/>
      <c r="AC74" s="456"/>
    </row>
    <row r="75" spans="1:29" s="190" customFormat="1" ht="15">
      <c r="A75" s="345" t="s">
        <v>933</v>
      </c>
      <c r="B75" s="338"/>
      <c r="C75" s="346" t="s">
        <v>934</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989</v>
      </c>
      <c r="B77" s="349" t="s">
        <v>990</v>
      </c>
      <c r="C77" s="351"/>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992</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4"/>
      <c r="E84" s="2051"/>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993</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230</v>
      </c>
      <c r="C98" s="368" t="s">
        <v>246</v>
      </c>
      <c r="D98" s="368" t="s">
        <v>258</v>
      </c>
      <c r="E98" s="368" t="s">
        <v>269</v>
      </c>
      <c r="F98" s="368" t="s">
        <v>279</v>
      </c>
      <c r="G98" s="368" t="s">
        <v>287</v>
      </c>
      <c r="H98" s="368"/>
      <c r="I98" s="368"/>
      <c r="J98" s="368"/>
      <c r="K98" s="368"/>
      <c r="L98" s="181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231</v>
      </c>
      <c r="C102" s="366" t="s">
        <v>246</v>
      </c>
      <c r="D102" s="366" t="s">
        <v>258</v>
      </c>
      <c r="E102" s="366" t="s">
        <v>269</v>
      </c>
      <c r="F102" s="366" t="s">
        <v>279</v>
      </c>
      <c r="G102" s="366" t="s">
        <v>287</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232</v>
      </c>
      <c r="C104" s="468" t="s">
        <v>247</v>
      </c>
      <c r="D104" s="468" t="s">
        <v>259</v>
      </c>
      <c r="E104" s="468" t="s">
        <v>270</v>
      </c>
      <c r="F104" s="468" t="s">
        <v>280</v>
      </c>
      <c r="G104" s="468" t="s">
        <v>288</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6"/>
      <c r="I105" s="546"/>
      <c r="J105" s="546"/>
      <c r="K105" s="546"/>
      <c r="L105" s="546"/>
      <c r="M105" s="182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994</v>
      </c>
      <c r="D106" s="356" t="s">
        <v>995</v>
      </c>
      <c r="E106" s="356" t="s">
        <v>996</v>
      </c>
      <c r="F106" s="356" t="s">
        <v>997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c r="A108" s="352"/>
      <c r="B108" s="355" t="s">
        <v>948</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949</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3"/>
      <c r="E117" s="1813"/>
      <c r="F117" s="1813"/>
      <c r="G117" s="1813"/>
      <c r="H117" s="1813"/>
      <c r="I117" s="1813"/>
      <c r="J117" s="1813"/>
      <c r="K117" s="1813"/>
      <c r="L117" s="1813"/>
      <c r="M117" s="1821"/>
      <c r="N117" s="425"/>
      <c r="O117" s="425"/>
      <c r="P117" s="436"/>
      <c r="Q117" s="457"/>
      <c r="R117" s="458"/>
      <c r="S117" s="458"/>
      <c r="T117" s="458"/>
      <c r="U117" s="458"/>
      <c r="V117" s="458"/>
      <c r="W117" s="458"/>
      <c r="X117" s="458"/>
      <c r="Y117" s="458"/>
      <c r="Z117" s="458"/>
      <c r="AA117" s="458"/>
      <c r="AB117" s="458"/>
      <c r="AC117" s="458"/>
    </row>
    <row r="118" spans="1:29">
      <c r="A118" s="348" t="s">
        <v>998</v>
      </c>
      <c r="B118" s="349" t="s">
        <v>952</v>
      </c>
      <c r="C118" s="350" t="str">
        <f t="shared" ref="C118:L118" si="26">C119&amp;"(含)"&amp;"-"&amp;D119</f>
        <v>0(含)-</v>
      </c>
      <c r="D118" s="350" t="str">
        <f t="shared" si="26"/>
        <v>(含)-</v>
      </c>
      <c r="E118" s="350" t="str">
        <f t="shared" si="26"/>
        <v>(含)-</v>
      </c>
      <c r="F118" s="350" t="str">
        <f t="shared" si="26"/>
        <v>(含)-</v>
      </c>
      <c r="G118" s="350" t="str">
        <f t="shared" si="26"/>
        <v>(含)-</v>
      </c>
      <c r="H118" s="350" t="str">
        <f t="shared" si="26"/>
        <v>(含)-</v>
      </c>
      <c r="I118" s="350" t="str">
        <f t="shared" si="26"/>
        <v>(含)-</v>
      </c>
      <c r="J118" s="1822" t="str">
        <f t="shared" si="26"/>
        <v>(含)-</v>
      </c>
      <c r="K118" s="1822" t="str">
        <f t="shared" si="26"/>
        <v>(含)-</v>
      </c>
      <c r="L118" s="1823" t="str">
        <f t="shared" si="26"/>
        <v>(含)-</v>
      </c>
      <c r="M118" s="182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c r="E119" s="475"/>
      <c r="F119" s="475"/>
      <c r="G119" s="475"/>
      <c r="H119" s="475"/>
      <c r="I119" s="475"/>
      <c r="J119" s="2052"/>
      <c r="K119" s="2052"/>
      <c r="L119" s="2053"/>
      <c r="M119" s="2054"/>
      <c r="N119" s="422"/>
      <c r="O119" s="422"/>
      <c r="P119" s="423"/>
      <c r="Q119" s="412"/>
      <c r="R119" s="319"/>
      <c r="S119" s="319"/>
      <c r="T119" s="319"/>
      <c r="U119" s="319"/>
      <c r="V119" s="319"/>
      <c r="W119" s="319"/>
      <c r="X119" s="319"/>
      <c r="Y119" s="319"/>
      <c r="Z119" s="319"/>
      <c r="AA119" s="319"/>
      <c r="AB119" s="319"/>
      <c r="AC119" s="319"/>
    </row>
    <row r="120" spans="1:29" ht="15">
      <c r="A120" s="352"/>
      <c r="B120" s="357"/>
      <c r="C120" s="550"/>
      <c r="D120" s="554"/>
      <c r="E120" s="554"/>
      <c r="F120" s="554"/>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953</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954</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955</v>
      </c>
      <c r="C125" s="1814"/>
      <c r="D125" s="1814"/>
      <c r="E125" s="1814"/>
      <c r="F125" s="1814"/>
      <c r="G125" s="181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956</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3"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2023"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2023"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2023"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2023"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2023"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2023"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2023"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2023"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2023"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2023"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2023"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2023"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2023"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2023"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2023"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2023"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2023"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2023"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2023"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2023"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2023"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2023"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2023"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2023"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2023"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2023"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2023"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2023"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2023"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2023"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2023"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2023"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2023"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2023"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2023"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2023"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2023"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2023"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2023"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2023"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2023"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2023"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2023"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2023"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2023"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2023"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2023"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2023"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2023"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2023"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2023"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2023"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2023"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2023"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2023"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2023"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2023"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2023"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2023"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2023"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2023"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2023"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2023"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2023"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2023"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2023"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2023"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2023"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2023"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2023"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2023"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2023"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2023"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2023"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2023"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2023"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2023"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2023"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2023"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2023"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2023"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2023"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2023"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2023"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2023"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2023"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2023"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2023"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2023"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2023"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2023"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2023"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2023"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2023"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2023"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2023"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2023"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2023"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2023"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2023"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2023"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2023"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2023"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2023"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2023"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2023"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2023"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2023"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2023"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2023"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2023"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2023"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2023"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2023"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2023"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2023"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2023"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2023"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2023"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2023"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2023" customFormat="1">
      <c r="K256" s="2058"/>
      <c r="L256" s="2059"/>
    </row>
    <row r="257" spans="11:12" s="2023" customFormat="1">
      <c r="K257" s="2058"/>
      <c r="L257" s="2059"/>
    </row>
    <row r="258" spans="11:12" s="2023" customFormat="1">
      <c r="K258" s="2058"/>
      <c r="L258" s="2059"/>
    </row>
    <row r="259" spans="11:12" s="2023" customFormat="1">
      <c r="K259" s="2058"/>
      <c r="L259" s="2059"/>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64" t="str">
        <f>项目基本情况!B1</f>
        <v>出让国有建设用地使用权抵押价格预评估</v>
      </c>
      <c r="C37" s="3164"/>
      <c r="D37" s="3164"/>
      <c r="E37" s="3164"/>
      <c r="F37" s="3164"/>
      <c r="G37" s="3164"/>
      <c r="H37" s="3164"/>
      <c r="I37" s="3164"/>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N135"/>
  <sheetViews>
    <sheetView workbookViewId="0">
      <selection activeCell="K26" sqref="K26"/>
    </sheetView>
  </sheetViews>
  <sheetFormatPr defaultColWidth="9" defaultRowHeight="13.5"/>
  <cols>
    <col min="1" max="1" width="25.875" customWidth="1"/>
    <col min="6" max="6" width="26.625" customWidth="1"/>
    <col min="8" max="8" width="20.125" customWidth="1"/>
  </cols>
  <sheetData>
    <row r="35" spans="1:14">
      <c r="A35" s="2021" t="s">
        <v>999</v>
      </c>
      <c r="B35" s="2021" t="s">
        <v>1000</v>
      </c>
      <c r="C35" s="2021" t="s">
        <v>1001</v>
      </c>
      <c r="D35" s="2021" t="s">
        <v>1002</v>
      </c>
      <c r="E35" s="2021" t="s">
        <v>1003</v>
      </c>
      <c r="F35" s="2021" t="s">
        <v>105</v>
      </c>
      <c r="G35" s="2021" t="s">
        <v>1004</v>
      </c>
      <c r="H35" s="2021" t="s">
        <v>1005</v>
      </c>
      <c r="I35" s="2021" t="s">
        <v>1006</v>
      </c>
      <c r="J35" s="2021" t="s">
        <v>1007</v>
      </c>
      <c r="K35" s="2021" t="s">
        <v>1008</v>
      </c>
      <c r="L35" s="2021" t="s">
        <v>1009</v>
      </c>
      <c r="M35" s="2021" t="s">
        <v>1010</v>
      </c>
      <c r="N35" s="2021" t="s">
        <v>1011</v>
      </c>
    </row>
    <row r="36" spans="1:14">
      <c r="A36" s="2021" t="s">
        <v>1012</v>
      </c>
      <c r="B36" s="2021" t="s">
        <v>1013</v>
      </c>
      <c r="C36" s="2021" t="s">
        <v>1014</v>
      </c>
      <c r="D36" s="2021">
        <v>49106</v>
      </c>
      <c r="E36" s="2021">
        <v>93301.4</v>
      </c>
      <c r="F36" s="2021" t="s">
        <v>1015</v>
      </c>
      <c r="G36" s="2021" t="s">
        <v>1016</v>
      </c>
      <c r="H36" s="2021" t="s">
        <v>1017</v>
      </c>
      <c r="I36" s="2021">
        <v>89250</v>
      </c>
      <c r="J36" s="2021">
        <v>100050</v>
      </c>
      <c r="K36" s="2021">
        <v>10723.3</v>
      </c>
      <c r="L36" s="2021">
        <v>12.1</v>
      </c>
      <c r="M36" s="2021" t="s">
        <v>1018</v>
      </c>
      <c r="N36" s="2021" t="s">
        <v>1019</v>
      </c>
    </row>
    <row r="37" spans="1:14">
      <c r="A37" s="2021" t="s">
        <v>1020</v>
      </c>
      <c r="B37" s="2021" t="s">
        <v>1013</v>
      </c>
      <c r="C37" s="2021" t="s">
        <v>1014</v>
      </c>
      <c r="D37" s="2021">
        <v>46724</v>
      </c>
      <c r="E37" s="2021">
        <v>93448</v>
      </c>
      <c r="F37" s="2021" t="s">
        <v>1021</v>
      </c>
      <c r="G37" s="2021" t="s">
        <v>1016</v>
      </c>
      <c r="H37" s="2021" t="s">
        <v>1022</v>
      </c>
      <c r="I37" s="2021">
        <v>84060</v>
      </c>
      <c r="J37" s="2021">
        <v>84060</v>
      </c>
      <c r="K37" s="2021">
        <v>8995.3700000000008</v>
      </c>
      <c r="L37" s="2021">
        <v>0</v>
      </c>
      <c r="M37" s="2021" t="s">
        <v>1023</v>
      </c>
      <c r="N37" s="2021" t="s">
        <v>1024</v>
      </c>
    </row>
    <row r="38" spans="1:14">
      <c r="A38" s="2021" t="s">
        <v>1025</v>
      </c>
      <c r="B38" s="2021" t="s">
        <v>1013</v>
      </c>
      <c r="C38" s="2021" t="s">
        <v>1026</v>
      </c>
      <c r="D38" s="2021">
        <v>34035</v>
      </c>
      <c r="E38" s="2021">
        <v>85087.5</v>
      </c>
      <c r="F38" s="2021" t="s">
        <v>1027</v>
      </c>
      <c r="G38" s="2021" t="s">
        <v>1016</v>
      </c>
      <c r="H38" s="2021" t="s">
        <v>1022</v>
      </c>
      <c r="I38" s="2021">
        <v>70800</v>
      </c>
      <c r="J38" s="2021">
        <v>70800</v>
      </c>
      <c r="K38" s="2021">
        <v>8320.85</v>
      </c>
      <c r="L38" s="2021">
        <v>0</v>
      </c>
      <c r="M38" s="2021" t="s">
        <v>1023</v>
      </c>
      <c r="N38" s="2021" t="s">
        <v>1019</v>
      </c>
    </row>
    <row r="39" spans="1:14">
      <c r="A39" s="2021" t="s">
        <v>1028</v>
      </c>
      <c r="B39" s="2021" t="s">
        <v>1013</v>
      </c>
      <c r="C39" s="2021" t="s">
        <v>1026</v>
      </c>
      <c r="D39" s="2021">
        <v>15341</v>
      </c>
      <c r="E39" s="2021">
        <v>42954.8</v>
      </c>
      <c r="F39" s="2021" t="s">
        <v>1029</v>
      </c>
      <c r="G39" s="2021" t="s">
        <v>1016</v>
      </c>
      <c r="H39" s="2021" t="s">
        <v>1022</v>
      </c>
      <c r="I39" s="2021">
        <v>34810</v>
      </c>
      <c r="J39" s="2021">
        <v>34810</v>
      </c>
      <c r="K39" s="2021">
        <v>8103.86</v>
      </c>
      <c r="L39" s="2021">
        <v>0</v>
      </c>
      <c r="M39" s="2021" t="s">
        <v>1030</v>
      </c>
      <c r="N39" s="2021" t="s">
        <v>1024</v>
      </c>
    </row>
    <row r="40" spans="1:14">
      <c r="A40" s="2021" t="s">
        <v>1031</v>
      </c>
      <c r="B40" s="2021" t="s">
        <v>1013</v>
      </c>
      <c r="C40" s="2021" t="s">
        <v>1014</v>
      </c>
      <c r="D40" s="2021">
        <v>49891</v>
      </c>
      <c r="E40" s="2021">
        <v>89803.8</v>
      </c>
      <c r="F40" s="2021" t="s">
        <v>1032</v>
      </c>
      <c r="G40" s="2021" t="s">
        <v>1016</v>
      </c>
      <c r="H40" s="2021" t="s">
        <v>1033</v>
      </c>
      <c r="I40" s="2021">
        <v>45550</v>
      </c>
      <c r="J40" s="2021">
        <v>50950</v>
      </c>
      <c r="K40" s="2021">
        <v>5673.47</v>
      </c>
      <c r="L40" s="2021">
        <v>11.86</v>
      </c>
      <c r="M40" s="2021" t="s">
        <v>1034</v>
      </c>
      <c r="N40" s="2021" t="s">
        <v>1024</v>
      </c>
    </row>
    <row r="41" spans="1:14">
      <c r="A41" s="2021" t="s">
        <v>1035</v>
      </c>
      <c r="B41" s="2021" t="s">
        <v>1013</v>
      </c>
      <c r="C41" s="2021" t="s">
        <v>1014</v>
      </c>
      <c r="D41" s="2021">
        <v>48963</v>
      </c>
      <c r="E41" s="2021">
        <v>58755.6</v>
      </c>
      <c r="F41" s="2021" t="s">
        <v>1036</v>
      </c>
      <c r="G41" s="2021" t="s">
        <v>1016</v>
      </c>
      <c r="H41" s="2021" t="s">
        <v>1033</v>
      </c>
      <c r="I41" s="2021">
        <v>31760</v>
      </c>
      <c r="J41" s="2021">
        <v>35560</v>
      </c>
      <c r="K41" s="2021">
        <v>6052.18</v>
      </c>
      <c r="L41" s="2021">
        <v>11.96</v>
      </c>
      <c r="M41" s="2021" t="s">
        <v>1037</v>
      </c>
      <c r="N41" s="2021" t="s">
        <v>1024</v>
      </c>
    </row>
    <row r="42" spans="1:14">
      <c r="A42" s="2021" t="s">
        <v>1038</v>
      </c>
      <c r="B42" s="2021" t="s">
        <v>1013</v>
      </c>
      <c r="C42" s="2021" t="s">
        <v>1014</v>
      </c>
      <c r="D42" s="2021">
        <v>8435</v>
      </c>
      <c r="E42" s="2021">
        <v>11809</v>
      </c>
      <c r="F42" s="2021" t="s">
        <v>1039</v>
      </c>
      <c r="G42" s="2021" t="s">
        <v>1016</v>
      </c>
      <c r="H42" s="2021" t="s">
        <v>1040</v>
      </c>
      <c r="I42" s="2021">
        <v>535</v>
      </c>
      <c r="J42" s="2021">
        <v>535</v>
      </c>
      <c r="K42" s="2021">
        <v>453.04</v>
      </c>
      <c r="L42" s="2021">
        <v>0</v>
      </c>
      <c r="M42" s="2021" t="s">
        <v>1041</v>
      </c>
      <c r="N42" s="2021" t="s">
        <v>1042</v>
      </c>
    </row>
    <row r="43" spans="1:14">
      <c r="A43" s="2021" t="s">
        <v>1043</v>
      </c>
      <c r="B43" s="2021" t="s">
        <v>1013</v>
      </c>
      <c r="C43" s="2021" t="s">
        <v>1026</v>
      </c>
      <c r="D43" s="2021">
        <v>53822</v>
      </c>
      <c r="E43" s="2021">
        <v>107644</v>
      </c>
      <c r="F43" s="2021" t="s">
        <v>1044</v>
      </c>
      <c r="G43" s="2021" t="s">
        <v>1016</v>
      </c>
      <c r="H43" s="2021" t="s">
        <v>1045</v>
      </c>
      <c r="I43" s="2021">
        <v>28200</v>
      </c>
      <c r="J43" s="2021">
        <v>28200</v>
      </c>
      <c r="K43" s="2021">
        <v>2619.75</v>
      </c>
      <c r="L43" s="2021">
        <v>0</v>
      </c>
      <c r="M43" s="2021" t="s">
        <v>1046</v>
      </c>
      <c r="N43" s="2021" t="s">
        <v>1042</v>
      </c>
    </row>
    <row r="44" spans="1:14">
      <c r="A44" s="2021" t="s">
        <v>1047</v>
      </c>
      <c r="B44" s="2021" t="s">
        <v>1013</v>
      </c>
      <c r="C44" s="2021" t="s">
        <v>1014</v>
      </c>
      <c r="D44" s="2021">
        <v>37724</v>
      </c>
      <c r="E44" s="2021">
        <v>86765.2</v>
      </c>
      <c r="F44" s="2021" t="s">
        <v>1048</v>
      </c>
      <c r="G44" s="2021" t="s">
        <v>1016</v>
      </c>
      <c r="H44" s="2021" t="s">
        <v>1049</v>
      </c>
      <c r="I44" s="2021">
        <v>11585</v>
      </c>
      <c r="J44" s="2021">
        <v>13237.75</v>
      </c>
      <c r="K44" s="2021">
        <v>1525.7</v>
      </c>
      <c r="L44" s="2021">
        <v>14.27</v>
      </c>
      <c r="M44" s="2021" t="s">
        <v>1050</v>
      </c>
      <c r="N44" s="2021" t="s">
        <v>1042</v>
      </c>
    </row>
    <row r="45" spans="1:14">
      <c r="A45" s="2021" t="s">
        <v>1051</v>
      </c>
      <c r="B45" s="2021" t="s">
        <v>1013</v>
      </c>
      <c r="C45" s="2021" t="s">
        <v>1026</v>
      </c>
      <c r="D45" s="2021">
        <v>69922</v>
      </c>
      <c r="E45" s="2021">
        <v>74804.05</v>
      </c>
      <c r="F45" s="2021" t="s">
        <v>1052</v>
      </c>
      <c r="G45" s="2021" t="s">
        <v>1016</v>
      </c>
      <c r="H45" s="2021" t="s">
        <v>1053</v>
      </c>
      <c r="I45" s="2021">
        <v>28140</v>
      </c>
      <c r="J45" s="2021">
        <v>28140</v>
      </c>
      <c r="K45" s="2021">
        <v>3761.82</v>
      </c>
      <c r="L45" s="2021">
        <v>0</v>
      </c>
      <c r="M45" s="2021" t="s">
        <v>1054</v>
      </c>
      <c r="N45" s="2021" t="s">
        <v>1042</v>
      </c>
    </row>
    <row r="46" spans="1:14">
      <c r="A46" s="2021" t="s">
        <v>1055</v>
      </c>
      <c r="B46" s="2021" t="s">
        <v>1013</v>
      </c>
      <c r="C46" s="2021" t="s">
        <v>1014</v>
      </c>
      <c r="D46" s="2021">
        <v>46131</v>
      </c>
      <c r="E46" s="2021">
        <v>47976.24</v>
      </c>
      <c r="F46" s="2021" t="s">
        <v>1056</v>
      </c>
      <c r="G46" s="2021" t="s">
        <v>1016</v>
      </c>
      <c r="H46" s="2021" t="s">
        <v>1053</v>
      </c>
      <c r="I46" s="2021">
        <v>18230</v>
      </c>
      <c r="J46" s="2021">
        <v>18230</v>
      </c>
      <c r="K46" s="2021">
        <v>3799.8</v>
      </c>
      <c r="L46" s="2021">
        <v>0</v>
      </c>
      <c r="M46" s="2021" t="s">
        <v>1054</v>
      </c>
      <c r="N46" s="2021" t="s">
        <v>1042</v>
      </c>
    </row>
    <row r="47" spans="1:14">
      <c r="A47" s="2021" t="s">
        <v>1057</v>
      </c>
      <c r="B47" s="2021" t="s">
        <v>1013</v>
      </c>
      <c r="C47" s="2021" t="s">
        <v>1014</v>
      </c>
      <c r="D47" s="2021">
        <v>29288</v>
      </c>
      <c r="E47" s="2021">
        <v>70291.199999999997</v>
      </c>
      <c r="F47" s="2021" t="s">
        <v>1058</v>
      </c>
      <c r="G47" s="2021" t="s">
        <v>1016</v>
      </c>
      <c r="H47" s="2021" t="s">
        <v>1059</v>
      </c>
      <c r="I47" s="2021">
        <v>4318</v>
      </c>
      <c r="J47" s="2021">
        <v>4318</v>
      </c>
      <c r="K47" s="2021">
        <v>614.29</v>
      </c>
      <c r="L47" s="2021">
        <v>0</v>
      </c>
      <c r="M47" s="2021" t="s">
        <v>1060</v>
      </c>
      <c r="N47" s="2021" t="s">
        <v>1024</v>
      </c>
    </row>
    <row r="48" spans="1:14">
      <c r="A48" s="2021" t="s">
        <v>1061</v>
      </c>
      <c r="B48" s="2021" t="s">
        <v>1013</v>
      </c>
      <c r="C48" s="2021" t="s">
        <v>1026</v>
      </c>
      <c r="D48" s="2021">
        <v>19075</v>
      </c>
      <c r="E48" s="2021">
        <v>20982.5</v>
      </c>
      <c r="F48" s="2021" t="s">
        <v>1062</v>
      </c>
      <c r="G48" s="2021" t="s">
        <v>1016</v>
      </c>
      <c r="H48" s="2021" t="s">
        <v>1059</v>
      </c>
      <c r="I48" s="2021">
        <v>6385</v>
      </c>
      <c r="J48" s="2021">
        <v>6385</v>
      </c>
      <c r="K48" s="2021">
        <v>3043.01</v>
      </c>
      <c r="L48" s="2021">
        <v>0</v>
      </c>
      <c r="M48" s="2021" t="s">
        <v>1060</v>
      </c>
      <c r="N48" s="2021" t="s">
        <v>1019</v>
      </c>
    </row>
    <row r="49" spans="1:14" s="2020" customFormat="1">
      <c r="A49" s="2022" t="s">
        <v>1063</v>
      </c>
      <c r="B49" s="2022" t="s">
        <v>1013</v>
      </c>
      <c r="C49" s="2022" t="s">
        <v>1014</v>
      </c>
      <c r="D49" s="2022">
        <v>67531</v>
      </c>
      <c r="E49" s="2022">
        <v>135062</v>
      </c>
      <c r="F49" s="2022" t="s">
        <v>1021</v>
      </c>
      <c r="G49" s="2022" t="s">
        <v>1016</v>
      </c>
      <c r="H49" s="2022" t="s">
        <v>1059</v>
      </c>
      <c r="I49" s="2022">
        <v>182450</v>
      </c>
      <c r="J49" s="2022">
        <v>182450</v>
      </c>
      <c r="K49" s="2022">
        <v>13508.61</v>
      </c>
      <c r="L49" s="2022">
        <v>0</v>
      </c>
      <c r="M49" s="2022" t="s">
        <v>1064</v>
      </c>
      <c r="N49" s="2022" t="s">
        <v>1024</v>
      </c>
    </row>
    <row r="50" spans="1:14" s="2020" customFormat="1">
      <c r="A50" s="2022" t="s">
        <v>1065</v>
      </c>
      <c r="B50" s="2022" t="s">
        <v>1013</v>
      </c>
      <c r="C50" s="2022" t="s">
        <v>1014</v>
      </c>
      <c r="D50" s="2022">
        <v>27498</v>
      </c>
      <c r="E50" s="2022">
        <v>32997.599999999999</v>
      </c>
      <c r="F50" s="2022" t="s">
        <v>1036</v>
      </c>
      <c r="G50" s="2022" t="s">
        <v>1016</v>
      </c>
      <c r="H50" s="2022" t="s">
        <v>1066</v>
      </c>
      <c r="I50" s="2022">
        <v>39850</v>
      </c>
      <c r="J50" s="2022">
        <v>41350</v>
      </c>
      <c r="K50" s="2022">
        <v>12531.2</v>
      </c>
      <c r="L50" s="2022">
        <v>3.76</v>
      </c>
      <c r="M50" s="2022" t="s">
        <v>1067</v>
      </c>
      <c r="N50" s="2022" t="s">
        <v>1019</v>
      </c>
    </row>
    <row r="51" spans="1:14">
      <c r="A51" s="2021" t="s">
        <v>1068</v>
      </c>
      <c r="B51" s="2021" t="s">
        <v>1013</v>
      </c>
      <c r="C51" s="2021" t="s">
        <v>1026</v>
      </c>
      <c r="D51" s="2021">
        <v>74518</v>
      </c>
      <c r="E51" s="2021">
        <v>163939.6</v>
      </c>
      <c r="F51" s="2021" t="s">
        <v>1069</v>
      </c>
      <c r="G51" s="2021" t="s">
        <v>1016</v>
      </c>
      <c r="H51" s="2021" t="s">
        <v>1070</v>
      </c>
      <c r="I51" s="2021">
        <v>145750</v>
      </c>
      <c r="J51" s="2021">
        <v>145750</v>
      </c>
      <c r="K51" s="2021">
        <v>8890.4599999999991</v>
      </c>
      <c r="L51" s="2021">
        <v>0</v>
      </c>
      <c r="M51" s="2021" t="s">
        <v>1071</v>
      </c>
      <c r="N51" s="2021" t="s">
        <v>1024</v>
      </c>
    </row>
    <row r="52" spans="1:14">
      <c r="A52" s="2021" t="s">
        <v>1072</v>
      </c>
      <c r="B52" s="2021" t="s">
        <v>1013</v>
      </c>
      <c r="C52" s="2021" t="s">
        <v>1014</v>
      </c>
      <c r="D52" s="2021">
        <v>62585</v>
      </c>
      <c r="E52" s="2021">
        <v>131428.5</v>
      </c>
      <c r="F52" s="2021" t="s">
        <v>1073</v>
      </c>
      <c r="G52" s="2021" t="s">
        <v>1016</v>
      </c>
      <c r="H52" s="2021" t="s">
        <v>1074</v>
      </c>
      <c r="I52" s="2021">
        <v>132685</v>
      </c>
      <c r="J52" s="2021">
        <v>142185</v>
      </c>
      <c r="K52" s="2021">
        <v>10818.43</v>
      </c>
      <c r="L52" s="2021">
        <v>7.16</v>
      </c>
      <c r="M52" s="2021" t="s">
        <v>1075</v>
      </c>
      <c r="N52" s="2021" t="s">
        <v>1024</v>
      </c>
    </row>
    <row r="53" spans="1:14">
      <c r="A53" s="2021" t="s">
        <v>1076</v>
      </c>
      <c r="B53" s="2021" t="s">
        <v>1013</v>
      </c>
      <c r="C53" s="2021" t="s">
        <v>1014</v>
      </c>
      <c r="D53" s="2021">
        <v>67835</v>
      </c>
      <c r="E53" s="2021">
        <v>142453.5</v>
      </c>
      <c r="F53" s="2021" t="s">
        <v>1073</v>
      </c>
      <c r="G53" s="2021" t="s">
        <v>1016</v>
      </c>
      <c r="H53" s="2021" t="s">
        <v>1077</v>
      </c>
      <c r="I53" s="2021">
        <v>8945</v>
      </c>
      <c r="J53" s="2021">
        <v>8945</v>
      </c>
      <c r="K53" s="2021">
        <v>627.91</v>
      </c>
      <c r="L53" s="2021">
        <v>0</v>
      </c>
      <c r="M53" s="2021" t="s">
        <v>1078</v>
      </c>
      <c r="N53" s="2021" t="s">
        <v>1024</v>
      </c>
    </row>
    <row r="54" spans="1:14" s="2020" customFormat="1">
      <c r="A54" s="2022" t="s">
        <v>1079</v>
      </c>
      <c r="B54" s="2022" t="s">
        <v>1013</v>
      </c>
      <c r="C54" s="2022" t="s">
        <v>1014</v>
      </c>
      <c r="D54" s="2022">
        <v>32578</v>
      </c>
      <c r="E54" s="2022">
        <v>81445</v>
      </c>
      <c r="F54" s="2022" t="s">
        <v>1027</v>
      </c>
      <c r="G54" s="2022" t="s">
        <v>1016</v>
      </c>
      <c r="H54" s="2022" t="s">
        <v>1077</v>
      </c>
      <c r="I54" s="2022">
        <v>75040</v>
      </c>
      <c r="J54" s="2022">
        <v>95740</v>
      </c>
      <c r="K54" s="2022">
        <v>11755.17</v>
      </c>
      <c r="L54" s="2022">
        <v>27.59</v>
      </c>
      <c r="M54" s="2022" t="s">
        <v>1080</v>
      </c>
      <c r="N54" s="2022" t="s">
        <v>1019</v>
      </c>
    </row>
    <row r="55" spans="1:14">
      <c r="A55" s="2021" t="s">
        <v>1081</v>
      </c>
      <c r="B55" s="2021" t="s">
        <v>1013</v>
      </c>
      <c r="C55" s="2021" t="s">
        <v>1014</v>
      </c>
      <c r="D55" s="2021">
        <v>14050</v>
      </c>
      <c r="E55" s="2021">
        <v>16861.2</v>
      </c>
      <c r="F55" s="2021" t="s">
        <v>1036</v>
      </c>
      <c r="G55" s="2021" t="s">
        <v>1016</v>
      </c>
      <c r="H55" s="2021" t="s">
        <v>1082</v>
      </c>
      <c r="I55" s="2021">
        <v>21650</v>
      </c>
      <c r="J55" s="2021">
        <v>27136.63</v>
      </c>
      <c r="K55" s="2021">
        <v>16094.12</v>
      </c>
      <c r="L55" s="2021">
        <v>25.34</v>
      </c>
      <c r="M55" s="2021" t="s">
        <v>1083</v>
      </c>
      <c r="N55" s="2021" t="s">
        <v>1024</v>
      </c>
    </row>
    <row r="56" spans="1:14">
      <c r="A56" s="2021" t="s">
        <v>1084</v>
      </c>
      <c r="B56" s="2021" t="s">
        <v>1013</v>
      </c>
      <c r="C56" s="2021" t="s">
        <v>1014</v>
      </c>
      <c r="D56" s="2021">
        <v>65019</v>
      </c>
      <c r="E56" s="2021">
        <v>130038</v>
      </c>
      <c r="F56" s="2021" t="s">
        <v>1044</v>
      </c>
      <c r="G56" s="2021" t="s">
        <v>1016</v>
      </c>
      <c r="H56" s="2021" t="s">
        <v>1085</v>
      </c>
      <c r="I56" s="2021">
        <v>121700</v>
      </c>
      <c r="J56" s="2021">
        <v>154728.89000000001</v>
      </c>
      <c r="K56" s="2021">
        <v>11898.73</v>
      </c>
      <c r="L56" s="2021">
        <v>27.14</v>
      </c>
      <c r="M56" s="2021" t="s">
        <v>1086</v>
      </c>
      <c r="N56" s="2021" t="s">
        <v>1019</v>
      </c>
    </row>
    <row r="57" spans="1:14">
      <c r="A57" s="2021" t="s">
        <v>1087</v>
      </c>
      <c r="B57" s="2021" t="s">
        <v>1013</v>
      </c>
      <c r="C57" s="2021" t="s">
        <v>1014</v>
      </c>
      <c r="D57" s="2021">
        <v>59822</v>
      </c>
      <c r="E57" s="2021">
        <v>77768.600000000006</v>
      </c>
      <c r="F57" s="2021" t="s">
        <v>1088</v>
      </c>
      <c r="G57" s="2021" t="s">
        <v>1016</v>
      </c>
      <c r="H57" s="2021" t="s">
        <v>1089</v>
      </c>
      <c r="I57" s="2021">
        <v>104880</v>
      </c>
      <c r="J57" s="2021">
        <v>104880</v>
      </c>
      <c r="K57" s="2021">
        <v>13486.15</v>
      </c>
      <c r="L57" s="2021">
        <v>0</v>
      </c>
      <c r="M57" s="2021" t="s">
        <v>1090</v>
      </c>
      <c r="N57" s="2021" t="s">
        <v>1024</v>
      </c>
    </row>
    <row r="58" spans="1:14">
      <c r="A58" s="2021" t="s">
        <v>1091</v>
      </c>
      <c r="B58" s="2021" t="s">
        <v>1013</v>
      </c>
      <c r="C58" s="2021" t="s">
        <v>1014</v>
      </c>
      <c r="D58" s="2021">
        <v>45742</v>
      </c>
      <c r="E58" s="2021">
        <v>91484</v>
      </c>
      <c r="F58" s="2021" t="s">
        <v>1044</v>
      </c>
      <c r="G58" s="2021" t="s">
        <v>1016</v>
      </c>
      <c r="H58" s="2021" t="s">
        <v>1092</v>
      </c>
      <c r="I58" s="2021">
        <v>83550</v>
      </c>
      <c r="J58" s="2021">
        <v>108550</v>
      </c>
      <c r="K58" s="2021">
        <v>11865.45</v>
      </c>
      <c r="L58" s="2021">
        <v>29.92</v>
      </c>
      <c r="M58" s="2021" t="s">
        <v>1093</v>
      </c>
      <c r="N58" s="2021" t="s">
        <v>1019</v>
      </c>
    </row>
    <row r="59" spans="1:14">
      <c r="A59" s="2021" t="s">
        <v>1094</v>
      </c>
      <c r="B59" s="2021" t="s">
        <v>1013</v>
      </c>
      <c r="C59" s="2021" t="s">
        <v>1014</v>
      </c>
      <c r="D59" s="2021">
        <v>44671</v>
      </c>
      <c r="E59" s="2021">
        <v>89342</v>
      </c>
      <c r="F59" s="2021" t="s">
        <v>1095</v>
      </c>
      <c r="G59" s="2021" t="s">
        <v>1016</v>
      </c>
      <c r="H59" s="2021" t="s">
        <v>1096</v>
      </c>
      <c r="I59" s="2021">
        <v>116100</v>
      </c>
      <c r="J59" s="2021">
        <v>144600</v>
      </c>
      <c r="K59" s="2021">
        <v>16185</v>
      </c>
      <c r="L59" s="2021">
        <v>24.55</v>
      </c>
      <c r="M59" s="2021" t="s">
        <v>1097</v>
      </c>
      <c r="N59" s="2021" t="s">
        <v>1019</v>
      </c>
    </row>
    <row r="60" spans="1:14">
      <c r="A60" s="2021" t="s">
        <v>1098</v>
      </c>
      <c r="B60" s="2021" t="s">
        <v>1013</v>
      </c>
      <c r="C60" s="2021" t="s">
        <v>1026</v>
      </c>
      <c r="D60" s="2021">
        <v>71674</v>
      </c>
      <c r="E60" s="2021">
        <v>179185</v>
      </c>
      <c r="F60" s="2021" t="s">
        <v>1099</v>
      </c>
      <c r="G60" s="2021" t="s">
        <v>1016</v>
      </c>
      <c r="H60" s="2021" t="s">
        <v>1100</v>
      </c>
      <c r="I60" s="2021">
        <v>54800</v>
      </c>
      <c r="J60" s="2021">
        <v>54800</v>
      </c>
      <c r="K60" s="2021">
        <v>3058.28</v>
      </c>
      <c r="L60" s="2021">
        <v>0</v>
      </c>
      <c r="M60" s="2021" t="s">
        <v>1101</v>
      </c>
      <c r="N60" s="2021" t="s">
        <v>1024</v>
      </c>
    </row>
    <row r="61" spans="1:14">
      <c r="A61" s="2021" t="s">
        <v>1102</v>
      </c>
      <c r="B61" s="2021" t="s">
        <v>1013</v>
      </c>
      <c r="C61" s="2021" t="s">
        <v>1026</v>
      </c>
      <c r="D61" s="2021">
        <v>69008</v>
      </c>
      <c r="E61" s="2021">
        <v>151817.60000000001</v>
      </c>
      <c r="F61" s="2021" t="s">
        <v>1103</v>
      </c>
      <c r="G61" s="2021" t="s">
        <v>1016</v>
      </c>
      <c r="H61" s="2021" t="s">
        <v>1100</v>
      </c>
      <c r="I61" s="2021">
        <v>116500</v>
      </c>
      <c r="J61" s="2021">
        <v>174900</v>
      </c>
      <c r="K61" s="2021">
        <v>11520.39</v>
      </c>
      <c r="L61" s="2021">
        <v>50.13</v>
      </c>
      <c r="M61" s="2021" t="s">
        <v>1104</v>
      </c>
      <c r="N61" s="2021" t="s">
        <v>1024</v>
      </c>
    </row>
    <row r="62" spans="1:14">
      <c r="A62" s="2021" t="s">
        <v>1105</v>
      </c>
      <c r="B62" s="2021" t="s">
        <v>1013</v>
      </c>
      <c r="C62" s="2021" t="s">
        <v>1014</v>
      </c>
      <c r="D62" s="2021">
        <v>31376</v>
      </c>
      <c r="E62" s="2021">
        <v>69027.199999999997</v>
      </c>
      <c r="F62" s="2021" t="s">
        <v>1103</v>
      </c>
      <c r="G62" s="2021" t="s">
        <v>1016</v>
      </c>
      <c r="H62" s="2021" t="s">
        <v>1100</v>
      </c>
      <c r="I62" s="2021">
        <v>55800</v>
      </c>
      <c r="J62" s="2021">
        <v>82000</v>
      </c>
      <c r="K62" s="2021">
        <v>11879.37</v>
      </c>
      <c r="L62" s="2021">
        <v>46.95</v>
      </c>
      <c r="M62" s="2021" t="s">
        <v>1104</v>
      </c>
      <c r="N62" s="2021" t="s">
        <v>1024</v>
      </c>
    </row>
    <row r="63" spans="1:14">
      <c r="A63" s="2021" t="s">
        <v>1106</v>
      </c>
      <c r="B63" s="2021" t="s">
        <v>1013</v>
      </c>
      <c r="C63" s="2021" t="s">
        <v>1014</v>
      </c>
      <c r="D63" s="2021">
        <v>12862</v>
      </c>
      <c r="E63" s="2021">
        <v>24437.8</v>
      </c>
      <c r="F63" s="2021" t="s">
        <v>1107</v>
      </c>
      <c r="G63" s="2021" t="s">
        <v>1016</v>
      </c>
      <c r="H63" s="2021" t="s">
        <v>1108</v>
      </c>
      <c r="I63" s="2021">
        <v>2900</v>
      </c>
      <c r="J63" s="2021">
        <v>5000</v>
      </c>
      <c r="K63" s="2021">
        <v>2046</v>
      </c>
      <c r="L63" s="2021">
        <v>72.41</v>
      </c>
      <c r="M63" s="2021" t="s">
        <v>1109</v>
      </c>
      <c r="N63" s="2021" t="s">
        <v>1024</v>
      </c>
    </row>
    <row r="64" spans="1:14">
      <c r="A64" s="2021" t="s">
        <v>1110</v>
      </c>
      <c r="B64" s="2021" t="s">
        <v>1013</v>
      </c>
      <c r="C64" s="2021" t="s">
        <v>1014</v>
      </c>
      <c r="D64" s="2021">
        <v>12468</v>
      </c>
      <c r="E64" s="2021">
        <v>17455.2</v>
      </c>
      <c r="F64" s="2021" t="s">
        <v>1111</v>
      </c>
      <c r="G64" s="2021" t="s">
        <v>1016</v>
      </c>
      <c r="H64" s="2021" t="s">
        <v>1108</v>
      </c>
      <c r="I64" s="2021">
        <v>790</v>
      </c>
      <c r="J64" s="2021">
        <v>790</v>
      </c>
      <c r="K64" s="2021">
        <v>452.58</v>
      </c>
      <c r="L64" s="2021">
        <v>0</v>
      </c>
      <c r="M64" s="2021" t="s">
        <v>1112</v>
      </c>
      <c r="N64" s="2021" t="s">
        <v>1042</v>
      </c>
    </row>
    <row r="65" spans="1:14">
      <c r="A65" s="2021" t="s">
        <v>1113</v>
      </c>
      <c r="B65" s="2021" t="s">
        <v>1013</v>
      </c>
      <c r="C65" s="2021" t="s">
        <v>1026</v>
      </c>
      <c r="D65" s="2021">
        <v>51039</v>
      </c>
      <c r="E65" s="2021">
        <v>132701.4</v>
      </c>
      <c r="F65" s="2021" t="s">
        <v>1114</v>
      </c>
      <c r="G65" s="2021" t="s">
        <v>1016</v>
      </c>
      <c r="H65" s="2021" t="s">
        <v>1115</v>
      </c>
      <c r="I65" s="2021">
        <v>97585</v>
      </c>
      <c r="J65" s="2021">
        <v>97585</v>
      </c>
      <c r="K65" s="2021">
        <v>7353.72</v>
      </c>
      <c r="L65" s="2021">
        <v>0</v>
      </c>
      <c r="M65" s="2021" t="s">
        <v>1116</v>
      </c>
      <c r="N65" s="2021" t="s">
        <v>1024</v>
      </c>
    </row>
    <row r="66" spans="1:14">
      <c r="A66" s="2021" t="s">
        <v>1117</v>
      </c>
      <c r="B66" s="2021" t="s">
        <v>1013</v>
      </c>
      <c r="C66" s="2021" t="s">
        <v>1014</v>
      </c>
      <c r="D66" s="2021">
        <v>57647</v>
      </c>
      <c r="E66" s="2021">
        <v>121058.7</v>
      </c>
      <c r="F66" s="2021" t="s">
        <v>1118</v>
      </c>
      <c r="G66" s="2021" t="s">
        <v>1016</v>
      </c>
      <c r="H66" s="2021" t="s">
        <v>1119</v>
      </c>
      <c r="I66" s="2021">
        <v>87125</v>
      </c>
      <c r="J66" s="2021">
        <v>87125</v>
      </c>
      <c r="K66" s="2021">
        <v>7196.92</v>
      </c>
      <c r="L66" s="2021">
        <v>0</v>
      </c>
      <c r="M66" s="2021" t="s">
        <v>1120</v>
      </c>
      <c r="N66" s="2021" t="s">
        <v>1042</v>
      </c>
    </row>
    <row r="67" spans="1:14">
      <c r="A67" s="2021" t="s">
        <v>1121</v>
      </c>
      <c r="B67" s="2021" t="s">
        <v>1013</v>
      </c>
      <c r="C67" s="2021" t="s">
        <v>1026</v>
      </c>
      <c r="D67" s="2021">
        <v>41261</v>
      </c>
      <c r="E67" s="2021">
        <v>74269.8</v>
      </c>
      <c r="F67" s="2021" t="s">
        <v>1032</v>
      </c>
      <c r="G67" s="2021" t="s">
        <v>1016</v>
      </c>
      <c r="H67" s="2021" t="s">
        <v>1122</v>
      </c>
      <c r="I67" s="2021">
        <v>16865</v>
      </c>
      <c r="J67" s="2021">
        <v>16865</v>
      </c>
      <c r="K67" s="2021">
        <v>2270.7600000000002</v>
      </c>
      <c r="L67" s="2021">
        <v>0</v>
      </c>
      <c r="M67" s="2021" t="s">
        <v>1060</v>
      </c>
      <c r="N67" s="2021" t="s">
        <v>1024</v>
      </c>
    </row>
    <row r="68" spans="1:14">
      <c r="A68" s="2021" t="s">
        <v>1123</v>
      </c>
      <c r="B68" s="2021" t="s">
        <v>1013</v>
      </c>
      <c r="C68" s="2021" t="s">
        <v>1014</v>
      </c>
      <c r="D68" s="2021">
        <v>58364</v>
      </c>
      <c r="E68" s="2021">
        <v>105055.2</v>
      </c>
      <c r="F68" s="2021" t="s">
        <v>1032</v>
      </c>
      <c r="G68" s="2021" t="s">
        <v>1016</v>
      </c>
      <c r="H68" s="2021" t="s">
        <v>1124</v>
      </c>
      <c r="I68" s="2021">
        <v>137000</v>
      </c>
      <c r="J68" s="2021">
        <v>137000</v>
      </c>
      <c r="K68" s="2021">
        <v>13040.76</v>
      </c>
      <c r="L68" s="2021">
        <v>0</v>
      </c>
      <c r="M68" s="2021" t="s">
        <v>1125</v>
      </c>
      <c r="N68" s="2021" t="s">
        <v>1019</v>
      </c>
    </row>
    <row r="69" spans="1:14">
      <c r="A69" s="2021" t="s">
        <v>1126</v>
      </c>
      <c r="B69" s="2021" t="s">
        <v>1013</v>
      </c>
      <c r="C69" s="2021" t="s">
        <v>1026</v>
      </c>
      <c r="D69" s="2021">
        <v>48059</v>
      </c>
      <c r="E69" s="2021">
        <v>57670.8</v>
      </c>
      <c r="F69" s="2021" t="s">
        <v>1036</v>
      </c>
      <c r="G69" s="2021" t="s">
        <v>1016</v>
      </c>
      <c r="H69" s="2021" t="s">
        <v>1127</v>
      </c>
      <c r="I69" s="2021">
        <v>2165</v>
      </c>
      <c r="J69" s="2021">
        <v>2165</v>
      </c>
      <c r="K69" s="2021">
        <v>375.41</v>
      </c>
      <c r="L69" s="2021">
        <v>0</v>
      </c>
      <c r="M69" s="2021" t="s">
        <v>1060</v>
      </c>
      <c r="N69" s="2021" t="s">
        <v>1019</v>
      </c>
    </row>
    <row r="70" spans="1:14">
      <c r="A70" s="2021" t="s">
        <v>1128</v>
      </c>
      <c r="B70" s="2021" t="s">
        <v>1013</v>
      </c>
      <c r="C70" s="2021" t="s">
        <v>1026</v>
      </c>
      <c r="D70" s="2021">
        <v>65255</v>
      </c>
      <c r="E70" s="2021">
        <v>156612</v>
      </c>
      <c r="F70" s="2021" t="s">
        <v>1058</v>
      </c>
      <c r="G70" s="2021" t="s">
        <v>1016</v>
      </c>
      <c r="H70" s="2021" t="s">
        <v>1127</v>
      </c>
      <c r="I70" s="2021">
        <v>32060</v>
      </c>
      <c r="J70" s="2021">
        <v>32060</v>
      </c>
      <c r="K70" s="2021">
        <v>2047.09</v>
      </c>
      <c r="L70" s="2021">
        <v>0</v>
      </c>
      <c r="M70" s="2021" t="s">
        <v>1060</v>
      </c>
      <c r="N70" s="2021" t="s">
        <v>1019</v>
      </c>
    </row>
    <row r="71" spans="1:14">
      <c r="A71" s="2021" t="s">
        <v>1129</v>
      </c>
      <c r="B71" s="2021" t="s">
        <v>1013</v>
      </c>
      <c r="C71" s="2021" t="s">
        <v>1026</v>
      </c>
      <c r="D71" s="2021">
        <v>28469</v>
      </c>
      <c r="E71" s="2021">
        <v>51244.2</v>
      </c>
      <c r="F71" s="2021" t="s">
        <v>1032</v>
      </c>
      <c r="G71" s="2021" t="s">
        <v>1016</v>
      </c>
      <c r="H71" s="2021" t="s">
        <v>1127</v>
      </c>
      <c r="I71" s="2021">
        <v>5385</v>
      </c>
      <c r="J71" s="2021">
        <v>5385</v>
      </c>
      <c r="K71" s="2021">
        <v>1050.8399999999999</v>
      </c>
      <c r="L71" s="2021">
        <v>0</v>
      </c>
      <c r="M71" s="2021" t="s">
        <v>1060</v>
      </c>
      <c r="N71" s="2021" t="s">
        <v>1024</v>
      </c>
    </row>
    <row r="72" spans="1:14">
      <c r="A72" s="2021" t="s">
        <v>1130</v>
      </c>
      <c r="B72" s="2021" t="s">
        <v>1013</v>
      </c>
      <c r="C72" s="2021" t="s">
        <v>1014</v>
      </c>
      <c r="D72" s="2021">
        <v>65378</v>
      </c>
      <c r="E72" s="2021">
        <v>130756</v>
      </c>
      <c r="F72" s="2021" t="s">
        <v>1131</v>
      </c>
      <c r="G72" s="2021" t="s">
        <v>1016</v>
      </c>
      <c r="H72" s="2021" t="s">
        <v>1132</v>
      </c>
      <c r="I72" s="2021">
        <v>124500</v>
      </c>
      <c r="J72" s="2021">
        <v>124500</v>
      </c>
      <c r="K72" s="2021">
        <v>9521.5400000000009</v>
      </c>
      <c r="L72" s="2021">
        <v>0</v>
      </c>
      <c r="M72" s="2021" t="s">
        <v>1133</v>
      </c>
      <c r="N72" s="2021" t="s">
        <v>1019</v>
      </c>
    </row>
    <row r="73" spans="1:14">
      <c r="A73" s="2021" t="s">
        <v>1134</v>
      </c>
      <c r="B73" s="2021" t="s">
        <v>1013</v>
      </c>
      <c r="C73" s="2021" t="s">
        <v>1014</v>
      </c>
      <c r="D73" s="2021">
        <v>66613</v>
      </c>
      <c r="E73" s="2021">
        <v>133226</v>
      </c>
      <c r="F73" s="2021" t="s">
        <v>1135</v>
      </c>
      <c r="G73" s="2021" t="s">
        <v>1016</v>
      </c>
      <c r="H73" s="2021" t="s">
        <v>1136</v>
      </c>
      <c r="I73" s="2021">
        <v>73650</v>
      </c>
      <c r="J73" s="2021">
        <v>73650</v>
      </c>
      <c r="K73" s="2021">
        <v>5528.19</v>
      </c>
      <c r="L73" s="2021">
        <v>0</v>
      </c>
      <c r="M73" s="2021" t="s">
        <v>1137</v>
      </c>
      <c r="N73" s="2021" t="s">
        <v>1024</v>
      </c>
    </row>
    <row r="74" spans="1:14">
      <c r="A74" s="2021" t="s">
        <v>1138</v>
      </c>
      <c r="B74" s="2021" t="s">
        <v>1013</v>
      </c>
      <c r="C74" s="2021" t="s">
        <v>1014</v>
      </c>
      <c r="D74" s="2021">
        <v>29962</v>
      </c>
      <c r="E74" s="2021">
        <v>62920.2</v>
      </c>
      <c r="F74" s="2021" t="s">
        <v>1139</v>
      </c>
      <c r="G74" s="2021" t="s">
        <v>1016</v>
      </c>
      <c r="H74" s="2021" t="s">
        <v>1136</v>
      </c>
      <c r="I74" s="2021">
        <v>25480</v>
      </c>
      <c r="J74" s="2021">
        <v>25480</v>
      </c>
      <c r="K74" s="2021">
        <v>4049.57</v>
      </c>
      <c r="L74" s="2021">
        <v>0</v>
      </c>
      <c r="M74" s="2021" t="s">
        <v>1140</v>
      </c>
      <c r="N74" s="2021" t="s">
        <v>1024</v>
      </c>
    </row>
    <row r="75" spans="1:14">
      <c r="A75" s="2021" t="s">
        <v>1141</v>
      </c>
      <c r="B75" s="2021" t="s">
        <v>1013</v>
      </c>
      <c r="C75" s="2021" t="s">
        <v>1014</v>
      </c>
      <c r="D75" s="2021">
        <v>12151</v>
      </c>
      <c r="E75" s="2021">
        <v>14581.2</v>
      </c>
      <c r="F75" s="2021" t="s">
        <v>1142</v>
      </c>
      <c r="G75" s="2021" t="s">
        <v>1016</v>
      </c>
      <c r="H75" s="2021" t="s">
        <v>1136</v>
      </c>
      <c r="I75" s="2021">
        <v>8800</v>
      </c>
      <c r="J75" s="2021">
        <v>8800</v>
      </c>
      <c r="K75" s="2021">
        <v>6035.17</v>
      </c>
      <c r="L75" s="2021">
        <v>0</v>
      </c>
      <c r="M75" s="2021" t="s">
        <v>1143</v>
      </c>
      <c r="N75" s="2021" t="s">
        <v>1042</v>
      </c>
    </row>
    <row r="76" spans="1:14">
      <c r="A76" s="2021" t="s">
        <v>1144</v>
      </c>
      <c r="B76" s="2021" t="s">
        <v>1013</v>
      </c>
      <c r="C76" s="2021" t="s">
        <v>1014</v>
      </c>
      <c r="D76" s="2021">
        <v>28313</v>
      </c>
      <c r="E76" s="2021">
        <v>50963.4</v>
      </c>
      <c r="F76" s="2021" t="s">
        <v>1032</v>
      </c>
      <c r="G76" s="2021" t="s">
        <v>1016</v>
      </c>
      <c r="H76" s="2021" t="s">
        <v>1145</v>
      </c>
      <c r="I76" s="2021">
        <v>30800</v>
      </c>
      <c r="J76" s="2021">
        <v>35900</v>
      </c>
      <c r="K76" s="2021">
        <v>7044.27</v>
      </c>
      <c r="L76" s="2021">
        <v>16.559999999999999</v>
      </c>
      <c r="M76" s="2021" t="s">
        <v>1146</v>
      </c>
      <c r="N76" s="2021" t="s">
        <v>1019</v>
      </c>
    </row>
    <row r="77" spans="1:14">
      <c r="A77" s="2021" t="s">
        <v>1147</v>
      </c>
      <c r="B77" s="2021" t="s">
        <v>1013</v>
      </c>
      <c r="C77" s="2021" t="s">
        <v>1014</v>
      </c>
      <c r="D77" s="2021">
        <v>15376</v>
      </c>
      <c r="E77" s="2021">
        <v>30752</v>
      </c>
      <c r="F77" s="2021" t="s">
        <v>1131</v>
      </c>
      <c r="G77" s="2021" t="s">
        <v>1016</v>
      </c>
      <c r="H77" s="2021" t="s">
        <v>1145</v>
      </c>
      <c r="I77" s="2021">
        <v>18730</v>
      </c>
      <c r="J77" s="2021">
        <v>19130</v>
      </c>
      <c r="K77" s="2021">
        <v>6220.72</v>
      </c>
      <c r="L77" s="2021">
        <v>2.14</v>
      </c>
      <c r="M77" s="2021" t="s">
        <v>1148</v>
      </c>
      <c r="N77" s="2021" t="s">
        <v>1042</v>
      </c>
    </row>
    <row r="78" spans="1:14">
      <c r="A78" s="2021" t="s">
        <v>1149</v>
      </c>
      <c r="B78" s="2021" t="s">
        <v>1013</v>
      </c>
      <c r="C78" s="2021" t="s">
        <v>1014</v>
      </c>
      <c r="D78" s="2021">
        <v>56936</v>
      </c>
      <c r="E78" s="2021">
        <v>113872</v>
      </c>
      <c r="F78" s="2021" t="s">
        <v>1131</v>
      </c>
      <c r="G78" s="2021" t="s">
        <v>1016</v>
      </c>
      <c r="H78" s="2021" t="s">
        <v>1145</v>
      </c>
      <c r="I78" s="2021">
        <v>107500</v>
      </c>
      <c r="J78" s="2021">
        <v>108500</v>
      </c>
      <c r="K78" s="2021">
        <v>9528.23</v>
      </c>
      <c r="L78" s="2021">
        <v>0.93</v>
      </c>
      <c r="M78" s="2021" t="s">
        <v>1148</v>
      </c>
      <c r="N78" s="2021" t="s">
        <v>1019</v>
      </c>
    </row>
    <row r="79" spans="1:14">
      <c r="A79" s="2021" t="s">
        <v>1150</v>
      </c>
      <c r="B79" s="2021" t="s">
        <v>1013</v>
      </c>
      <c r="C79" s="2021" t="s">
        <v>1014</v>
      </c>
      <c r="D79" s="2021">
        <v>69147</v>
      </c>
      <c r="E79" s="2021">
        <v>138294</v>
      </c>
      <c r="F79" s="2021" t="s">
        <v>1131</v>
      </c>
      <c r="G79" s="2021" t="s">
        <v>1016</v>
      </c>
      <c r="H79" s="2021" t="s">
        <v>1145</v>
      </c>
      <c r="I79" s="2021">
        <v>77230</v>
      </c>
      <c r="J79" s="2021">
        <v>77230</v>
      </c>
      <c r="K79" s="2021">
        <v>5584.47</v>
      </c>
      <c r="L79" s="2021">
        <v>0</v>
      </c>
      <c r="M79" s="2021" t="s">
        <v>1148</v>
      </c>
      <c r="N79" s="2021" t="s">
        <v>1042</v>
      </c>
    </row>
    <row r="80" spans="1:14">
      <c r="A80" s="2021" t="s">
        <v>1151</v>
      </c>
      <c r="B80" s="2021" t="s">
        <v>1013</v>
      </c>
      <c r="C80" s="2021" t="s">
        <v>1014</v>
      </c>
      <c r="D80" s="2021">
        <v>39410</v>
      </c>
      <c r="E80" s="2021">
        <v>66997</v>
      </c>
      <c r="F80" s="2021" t="s">
        <v>1152</v>
      </c>
      <c r="G80" s="2021" t="s">
        <v>1016</v>
      </c>
      <c r="H80" s="2021" t="s">
        <v>1153</v>
      </c>
      <c r="I80" s="2021">
        <v>26050</v>
      </c>
      <c r="J80" s="2021">
        <v>27250</v>
      </c>
      <c r="K80" s="2021">
        <v>4067.34</v>
      </c>
      <c r="L80" s="2021">
        <v>4.6100000000000003</v>
      </c>
      <c r="M80" s="2021" t="s">
        <v>1097</v>
      </c>
      <c r="N80" s="2021" t="s">
        <v>1042</v>
      </c>
    </row>
    <row r="81" spans="1:14">
      <c r="A81" s="2021" t="s">
        <v>1154</v>
      </c>
      <c r="B81" s="2021" t="s">
        <v>1013</v>
      </c>
      <c r="C81" s="2021" t="s">
        <v>1014</v>
      </c>
      <c r="D81" s="2021">
        <v>17361</v>
      </c>
      <c r="E81" s="2021">
        <v>34722</v>
      </c>
      <c r="F81" s="2021" t="s">
        <v>1131</v>
      </c>
      <c r="G81" s="2021" t="s">
        <v>1016</v>
      </c>
      <c r="H81" s="2021" t="s">
        <v>1153</v>
      </c>
      <c r="I81" s="2021">
        <v>11480</v>
      </c>
      <c r="J81" s="2021">
        <v>11580</v>
      </c>
      <c r="K81" s="2021">
        <v>3335.05</v>
      </c>
      <c r="L81" s="2021">
        <v>0.87</v>
      </c>
      <c r="M81" s="2021" t="s">
        <v>1093</v>
      </c>
      <c r="N81" s="2021" t="s">
        <v>1042</v>
      </c>
    </row>
    <row r="82" spans="1:14">
      <c r="A82" s="2021" t="s">
        <v>1155</v>
      </c>
      <c r="B82" s="2021" t="s">
        <v>1013</v>
      </c>
      <c r="C82" s="2021" t="s">
        <v>1014</v>
      </c>
      <c r="D82" s="2021">
        <v>64192</v>
      </c>
      <c r="E82" s="2021">
        <v>128384</v>
      </c>
      <c r="F82" s="2021" t="s">
        <v>1156</v>
      </c>
      <c r="G82" s="2021" t="s">
        <v>1016</v>
      </c>
      <c r="H82" s="2021" t="s">
        <v>1153</v>
      </c>
      <c r="I82" s="2021">
        <v>85410</v>
      </c>
      <c r="J82" s="2021">
        <v>85410</v>
      </c>
      <c r="K82" s="2021">
        <v>6652.69</v>
      </c>
      <c r="L82" s="2021">
        <v>0</v>
      </c>
      <c r="M82" s="2021" t="s">
        <v>1157</v>
      </c>
      <c r="N82" s="2021" t="s">
        <v>1024</v>
      </c>
    </row>
    <row r="83" spans="1:14">
      <c r="A83" s="2021" t="s">
        <v>1158</v>
      </c>
      <c r="B83" s="2021" t="s">
        <v>1013</v>
      </c>
      <c r="C83" s="2021" t="s">
        <v>1014</v>
      </c>
      <c r="D83" s="2021">
        <v>60373</v>
      </c>
      <c r="E83" s="2021">
        <v>132820.6</v>
      </c>
      <c r="F83" s="2021" t="s">
        <v>1156</v>
      </c>
      <c r="G83" s="2021" t="s">
        <v>1016</v>
      </c>
      <c r="H83" s="2021" t="s">
        <v>1153</v>
      </c>
      <c r="I83" s="2021">
        <v>80330</v>
      </c>
      <c r="J83" s="2021">
        <v>80330</v>
      </c>
      <c r="K83" s="2021">
        <v>6048.01</v>
      </c>
      <c r="L83" s="2021">
        <v>0</v>
      </c>
      <c r="M83" s="2021" t="s">
        <v>1157</v>
      </c>
      <c r="N83" s="2021" t="s">
        <v>1024</v>
      </c>
    </row>
    <row r="84" spans="1:14">
      <c r="A84" s="2021" t="s">
        <v>1159</v>
      </c>
      <c r="B84" s="2021" t="s">
        <v>1013</v>
      </c>
      <c r="C84" s="2021" t="s">
        <v>1026</v>
      </c>
      <c r="D84" s="2021">
        <v>44347</v>
      </c>
      <c r="E84" s="2021">
        <v>93128.7</v>
      </c>
      <c r="F84" s="2021" t="s">
        <v>1073</v>
      </c>
      <c r="G84" s="2021" t="s">
        <v>1016</v>
      </c>
      <c r="H84" s="2021" t="s">
        <v>1153</v>
      </c>
      <c r="I84" s="2021">
        <v>5380</v>
      </c>
      <c r="J84" s="2021">
        <v>5380</v>
      </c>
      <c r="K84" s="2021">
        <v>577.70000000000005</v>
      </c>
      <c r="L84" s="2021">
        <v>0</v>
      </c>
      <c r="M84" s="2021" t="s">
        <v>1160</v>
      </c>
      <c r="N84" s="2021" t="s">
        <v>1042</v>
      </c>
    </row>
    <row r="85" spans="1:14">
      <c r="A85" s="2021" t="s">
        <v>1161</v>
      </c>
      <c r="B85" s="2021" t="s">
        <v>1013</v>
      </c>
      <c r="C85" s="2021" t="s">
        <v>1026</v>
      </c>
      <c r="D85" s="2021">
        <v>54052</v>
      </c>
      <c r="E85" s="2021">
        <v>64862.400000000001</v>
      </c>
      <c r="F85" s="2021" t="s">
        <v>1162</v>
      </c>
      <c r="G85" s="2021" t="s">
        <v>1016</v>
      </c>
      <c r="H85" s="2021" t="s">
        <v>1163</v>
      </c>
      <c r="I85" s="2021">
        <v>64800</v>
      </c>
      <c r="J85" s="2021">
        <v>65300</v>
      </c>
      <c r="K85" s="2021">
        <v>10067.459999999999</v>
      </c>
      <c r="L85" s="2021">
        <v>0.77</v>
      </c>
      <c r="M85" s="2021" t="s">
        <v>1164</v>
      </c>
      <c r="N85" s="2021" t="s">
        <v>1024</v>
      </c>
    </row>
    <row r="86" spans="1:14">
      <c r="A86" s="2021" t="s">
        <v>1165</v>
      </c>
      <c r="B86" s="2021" t="s">
        <v>1013</v>
      </c>
      <c r="C86" s="2021" t="s">
        <v>1026</v>
      </c>
      <c r="D86" s="2021">
        <v>36113</v>
      </c>
      <c r="E86" s="2021">
        <v>43335.6</v>
      </c>
      <c r="F86" s="2021" t="s">
        <v>1162</v>
      </c>
      <c r="G86" s="2021" t="s">
        <v>1016</v>
      </c>
      <c r="H86" s="2021" t="s">
        <v>1163</v>
      </c>
      <c r="I86" s="2021">
        <v>43300</v>
      </c>
      <c r="J86" s="2021">
        <v>49300</v>
      </c>
      <c r="K86" s="2021">
        <v>11376.32</v>
      </c>
      <c r="L86" s="2021">
        <v>13.86</v>
      </c>
      <c r="M86" s="2021" t="s">
        <v>1083</v>
      </c>
      <c r="N86" s="2021" t="s">
        <v>1024</v>
      </c>
    </row>
    <row r="87" spans="1:14">
      <c r="A87" s="2021" t="s">
        <v>1166</v>
      </c>
      <c r="B87" s="2021" t="s">
        <v>1013</v>
      </c>
      <c r="C87" s="2021" t="s">
        <v>1026</v>
      </c>
      <c r="D87" s="2021">
        <v>69346</v>
      </c>
      <c r="E87" s="2021">
        <v>90149.8</v>
      </c>
      <c r="F87" s="2021" t="s">
        <v>1167</v>
      </c>
      <c r="G87" s="2021" t="s">
        <v>1016</v>
      </c>
      <c r="H87" s="2021" t="s">
        <v>1168</v>
      </c>
      <c r="I87" s="2021">
        <v>116500</v>
      </c>
      <c r="J87" s="2021">
        <v>141500</v>
      </c>
      <c r="K87" s="2021">
        <v>15696.1</v>
      </c>
      <c r="L87" s="2021">
        <v>21.46</v>
      </c>
      <c r="M87" s="2021" t="s">
        <v>1169</v>
      </c>
      <c r="N87" s="2021" t="s">
        <v>1024</v>
      </c>
    </row>
    <row r="88" spans="1:14">
      <c r="A88" s="2021" t="s">
        <v>1170</v>
      </c>
      <c r="B88" s="2021" t="s">
        <v>1013</v>
      </c>
      <c r="C88" s="2021" t="s">
        <v>1026</v>
      </c>
      <c r="D88" s="2021">
        <v>69591</v>
      </c>
      <c r="E88" s="2021">
        <v>139182</v>
      </c>
      <c r="F88" s="2021" t="s">
        <v>1131</v>
      </c>
      <c r="G88" s="2021" t="s">
        <v>1016</v>
      </c>
      <c r="H88" s="2021" t="s">
        <v>1168</v>
      </c>
      <c r="I88" s="2021">
        <v>125700</v>
      </c>
      <c r="J88" s="2021">
        <v>162200</v>
      </c>
      <c r="K88" s="2021">
        <v>11653.8</v>
      </c>
      <c r="L88" s="2021">
        <v>29.04</v>
      </c>
      <c r="M88" s="2021" t="s">
        <v>1171</v>
      </c>
      <c r="N88" s="2021" t="s">
        <v>1019</v>
      </c>
    </row>
    <row r="89" spans="1:14">
      <c r="A89" s="2021" t="s">
        <v>1172</v>
      </c>
      <c r="B89" s="2021" t="s">
        <v>1013</v>
      </c>
      <c r="C89" s="2021" t="s">
        <v>1014</v>
      </c>
      <c r="D89" s="2021">
        <v>58556</v>
      </c>
      <c r="E89" s="2021">
        <v>117112</v>
      </c>
      <c r="F89" s="2021" t="s">
        <v>1131</v>
      </c>
      <c r="G89" s="2021" t="s">
        <v>1016</v>
      </c>
      <c r="H89" s="2021" t="s">
        <v>1173</v>
      </c>
      <c r="I89" s="2021">
        <v>105800</v>
      </c>
      <c r="J89" s="2021">
        <v>133300</v>
      </c>
      <c r="K89" s="2021">
        <v>11382.27</v>
      </c>
      <c r="L89" s="2021">
        <v>25.99</v>
      </c>
      <c r="M89" s="2021" t="s">
        <v>1174</v>
      </c>
      <c r="N89" s="2021" t="s">
        <v>1024</v>
      </c>
    </row>
    <row r="90" spans="1:14">
      <c r="A90" s="2021" t="s">
        <v>1175</v>
      </c>
      <c r="B90" s="2021" t="s">
        <v>1013</v>
      </c>
      <c r="C90" s="2021" t="s">
        <v>1014</v>
      </c>
      <c r="D90" s="2021">
        <v>60155</v>
      </c>
      <c r="E90" s="2021">
        <v>96248</v>
      </c>
      <c r="F90" s="2021" t="s">
        <v>1176</v>
      </c>
      <c r="G90" s="2021" t="s">
        <v>1016</v>
      </c>
      <c r="H90" s="2021" t="s">
        <v>1177</v>
      </c>
      <c r="I90" s="2021">
        <v>51900</v>
      </c>
      <c r="J90" s="2021">
        <v>61500</v>
      </c>
      <c r="K90" s="2021">
        <v>6389.73</v>
      </c>
      <c r="L90" s="2021">
        <v>18.5</v>
      </c>
      <c r="M90" s="2021" t="s">
        <v>1178</v>
      </c>
      <c r="N90" s="2021" t="s">
        <v>1042</v>
      </c>
    </row>
    <row r="91" spans="1:14">
      <c r="A91" s="2021" t="s">
        <v>1179</v>
      </c>
      <c r="B91" s="2021" t="s">
        <v>1013</v>
      </c>
      <c r="C91" s="2021" t="s">
        <v>1014</v>
      </c>
      <c r="D91" s="2021">
        <v>13183</v>
      </c>
      <c r="E91" s="2021">
        <v>15819.6</v>
      </c>
      <c r="F91" s="2021" t="s">
        <v>1162</v>
      </c>
      <c r="G91" s="2021" t="s">
        <v>1016</v>
      </c>
      <c r="H91" s="2021" t="s">
        <v>1177</v>
      </c>
      <c r="I91" s="2021">
        <v>9200</v>
      </c>
      <c r="J91" s="2021">
        <v>9700</v>
      </c>
      <c r="K91" s="2021">
        <v>6131.63</v>
      </c>
      <c r="L91" s="2021">
        <v>5.43</v>
      </c>
      <c r="M91" s="2021" t="s">
        <v>1180</v>
      </c>
      <c r="N91" s="2021" t="s">
        <v>1024</v>
      </c>
    </row>
    <row r="92" spans="1:14">
      <c r="A92" s="2021" t="s">
        <v>1181</v>
      </c>
      <c r="B92" s="2021" t="s">
        <v>1013</v>
      </c>
      <c r="C92" s="2021" t="s">
        <v>1014</v>
      </c>
      <c r="D92" s="2021">
        <v>52606</v>
      </c>
      <c r="E92" s="2021">
        <v>89430.2</v>
      </c>
      <c r="F92" s="2021" t="s">
        <v>1152</v>
      </c>
      <c r="G92" s="2021" t="s">
        <v>1016</v>
      </c>
      <c r="H92" s="2021" t="s">
        <v>1177</v>
      </c>
      <c r="I92" s="2021">
        <v>65900</v>
      </c>
      <c r="J92" s="2021">
        <v>65900</v>
      </c>
      <c r="K92" s="2021">
        <v>7368.88</v>
      </c>
      <c r="L92" s="2021">
        <v>0</v>
      </c>
      <c r="M92" s="2021" t="s">
        <v>1178</v>
      </c>
      <c r="N92" s="2021" t="s">
        <v>1024</v>
      </c>
    </row>
    <row r="93" spans="1:14">
      <c r="A93" s="2021" t="s">
        <v>1182</v>
      </c>
      <c r="B93" s="2021" t="s">
        <v>1013</v>
      </c>
      <c r="C93" s="2021" t="s">
        <v>1014</v>
      </c>
      <c r="D93" s="2021">
        <v>92575</v>
      </c>
      <c r="E93" s="2021">
        <v>185150</v>
      </c>
      <c r="F93" s="2021" t="s">
        <v>1131</v>
      </c>
      <c r="G93" s="2021" t="s">
        <v>1016</v>
      </c>
      <c r="H93" s="2021" t="s">
        <v>1177</v>
      </c>
      <c r="I93" s="2021">
        <v>99400</v>
      </c>
      <c r="J93" s="2021">
        <v>99400</v>
      </c>
      <c r="K93" s="2021">
        <v>5368.61</v>
      </c>
      <c r="L93" s="2021">
        <v>0</v>
      </c>
      <c r="M93" s="2021" t="s">
        <v>1178</v>
      </c>
      <c r="N93" s="2021" t="s">
        <v>1024</v>
      </c>
    </row>
    <row r="94" spans="1:14">
      <c r="A94" s="2021" t="s">
        <v>1183</v>
      </c>
      <c r="B94" s="2021" t="s">
        <v>1013</v>
      </c>
      <c r="C94" s="2021" t="s">
        <v>1014</v>
      </c>
      <c r="D94" s="2021">
        <v>27767</v>
      </c>
      <c r="E94" s="2021">
        <v>38873.800000000003</v>
      </c>
      <c r="F94" s="2021" t="s">
        <v>1039</v>
      </c>
      <c r="G94" s="2021" t="s">
        <v>1016</v>
      </c>
      <c r="H94" s="2021" t="s">
        <v>1177</v>
      </c>
      <c r="I94" s="2021">
        <v>10910</v>
      </c>
      <c r="J94" s="2021">
        <v>11210</v>
      </c>
      <c r="K94" s="2021">
        <v>2883.69</v>
      </c>
      <c r="L94" s="2021">
        <v>2.75</v>
      </c>
      <c r="M94" s="2021" t="s">
        <v>1178</v>
      </c>
      <c r="N94" s="2021" t="s">
        <v>1042</v>
      </c>
    </row>
    <row r="95" spans="1:14">
      <c r="A95" s="2021" t="s">
        <v>1184</v>
      </c>
      <c r="B95" s="2021" t="s">
        <v>1013</v>
      </c>
      <c r="C95" s="2021" t="s">
        <v>1014</v>
      </c>
      <c r="D95" s="2021">
        <v>58264</v>
      </c>
      <c r="E95" s="2021">
        <v>87396</v>
      </c>
      <c r="F95" s="2021" t="s">
        <v>1185</v>
      </c>
      <c r="G95" s="2021" t="s">
        <v>1016</v>
      </c>
      <c r="H95" s="2021" t="s">
        <v>1186</v>
      </c>
      <c r="I95" s="2021">
        <v>82250</v>
      </c>
      <c r="J95" s="2021">
        <v>82750</v>
      </c>
      <c r="K95" s="2021">
        <v>9468.39</v>
      </c>
      <c r="L95" s="2021">
        <v>0.61</v>
      </c>
      <c r="M95" s="2021" t="s">
        <v>1187</v>
      </c>
      <c r="N95" s="2021" t="s">
        <v>1024</v>
      </c>
    </row>
    <row r="96" spans="1:14">
      <c r="A96" s="2021" t="s">
        <v>1188</v>
      </c>
      <c r="B96" s="2021" t="s">
        <v>1013</v>
      </c>
      <c r="C96" s="2021" t="s">
        <v>1014</v>
      </c>
      <c r="D96" s="2021">
        <v>45808</v>
      </c>
      <c r="E96" s="2021">
        <v>54969.599999999999</v>
      </c>
      <c r="F96" s="2021" t="s">
        <v>1162</v>
      </c>
      <c r="G96" s="2021" t="s">
        <v>1016</v>
      </c>
      <c r="H96" s="2021" t="s">
        <v>1186</v>
      </c>
      <c r="I96" s="2021">
        <v>54950</v>
      </c>
      <c r="J96" s="2021">
        <v>55450</v>
      </c>
      <c r="K96" s="2021">
        <v>10087.379999999999</v>
      </c>
      <c r="L96" s="2021">
        <v>0.91</v>
      </c>
      <c r="M96" s="2021" t="s">
        <v>1064</v>
      </c>
      <c r="N96" s="2021" t="s">
        <v>1024</v>
      </c>
    </row>
    <row r="97" spans="1:14">
      <c r="A97" s="2021" t="s">
        <v>1189</v>
      </c>
      <c r="B97" s="2021" t="s">
        <v>1013</v>
      </c>
      <c r="C97" s="2021" t="s">
        <v>1014</v>
      </c>
      <c r="D97" s="2021">
        <v>61941</v>
      </c>
      <c r="E97" s="2021">
        <v>92911.5</v>
      </c>
      <c r="F97" s="2021" t="s">
        <v>1185</v>
      </c>
      <c r="G97" s="2021" t="s">
        <v>1016</v>
      </c>
      <c r="H97" s="2021" t="s">
        <v>1186</v>
      </c>
      <c r="I97" s="2021">
        <v>85550</v>
      </c>
      <c r="J97" s="2021">
        <v>86050</v>
      </c>
      <c r="K97" s="2021">
        <v>9261.5</v>
      </c>
      <c r="L97" s="2021">
        <v>0.57999999999999996</v>
      </c>
      <c r="M97" s="2021" t="s">
        <v>1190</v>
      </c>
      <c r="N97" s="2021" t="s">
        <v>1024</v>
      </c>
    </row>
    <row r="98" spans="1:14">
      <c r="A98" s="2021" t="s">
        <v>1191</v>
      </c>
      <c r="B98" s="2021" t="s">
        <v>1013</v>
      </c>
      <c r="C98" s="2021" t="s">
        <v>1014</v>
      </c>
      <c r="D98" s="2021">
        <v>85028</v>
      </c>
      <c r="E98" s="2021">
        <v>161553.20000000001</v>
      </c>
      <c r="F98" s="2021" t="s">
        <v>1015</v>
      </c>
      <c r="G98" s="2021" t="s">
        <v>1016</v>
      </c>
      <c r="H98" s="2021" t="s">
        <v>1186</v>
      </c>
      <c r="I98" s="2021">
        <v>115560</v>
      </c>
      <c r="J98" s="2021">
        <v>115560</v>
      </c>
      <c r="K98" s="2021">
        <v>7153.06</v>
      </c>
      <c r="L98" s="2021">
        <v>0</v>
      </c>
      <c r="M98" s="2021" t="s">
        <v>1192</v>
      </c>
      <c r="N98" s="2021" t="s">
        <v>1024</v>
      </c>
    </row>
    <row r="99" spans="1:14">
      <c r="A99" s="2021" t="s">
        <v>1193</v>
      </c>
      <c r="B99" s="2021" t="s">
        <v>1013</v>
      </c>
      <c r="C99" s="2021" t="s">
        <v>1014</v>
      </c>
      <c r="D99" s="2021">
        <v>53530</v>
      </c>
      <c r="E99" s="2021">
        <v>69589</v>
      </c>
      <c r="F99" s="2021" t="s">
        <v>1167</v>
      </c>
      <c r="G99" s="2021" t="s">
        <v>1016</v>
      </c>
      <c r="H99" s="2021" t="s">
        <v>1186</v>
      </c>
      <c r="I99" s="2021">
        <v>82650</v>
      </c>
      <c r="J99" s="2021">
        <v>83650</v>
      </c>
      <c r="K99" s="2021">
        <v>12020.57</v>
      </c>
      <c r="L99" s="2021">
        <v>1.21</v>
      </c>
      <c r="M99" s="2021" t="s">
        <v>1194</v>
      </c>
      <c r="N99" s="2021" t="s">
        <v>1024</v>
      </c>
    </row>
    <row r="100" spans="1:14">
      <c r="A100" s="2021" t="s">
        <v>1195</v>
      </c>
      <c r="B100" s="2021" t="s">
        <v>1013</v>
      </c>
      <c r="C100" s="2021" t="s">
        <v>1014</v>
      </c>
      <c r="D100" s="2021">
        <v>69897</v>
      </c>
      <c r="E100" s="2021">
        <v>139794</v>
      </c>
      <c r="F100" s="2021" t="s">
        <v>1131</v>
      </c>
      <c r="G100" s="2021" t="s">
        <v>1016</v>
      </c>
      <c r="H100" s="2021" t="s">
        <v>1196</v>
      </c>
      <c r="I100" s="2021">
        <v>122000</v>
      </c>
      <c r="J100" s="2021">
        <v>154500</v>
      </c>
      <c r="K100" s="2021">
        <v>11051.97</v>
      </c>
      <c r="L100" s="2021">
        <v>26.64</v>
      </c>
      <c r="M100" s="2021" t="s">
        <v>1178</v>
      </c>
      <c r="N100" s="2021" t="s">
        <v>1019</v>
      </c>
    </row>
    <row r="101" spans="1:14">
      <c r="A101" s="2021" t="s">
        <v>1197</v>
      </c>
      <c r="B101" s="2021" t="s">
        <v>1013</v>
      </c>
      <c r="C101" s="2021" t="s">
        <v>1014</v>
      </c>
      <c r="D101" s="2021">
        <v>59747</v>
      </c>
      <c r="E101" s="2021">
        <v>131443.4</v>
      </c>
      <c r="F101" s="2021" t="s">
        <v>1069</v>
      </c>
      <c r="G101" s="2021" t="s">
        <v>1016</v>
      </c>
      <c r="H101" s="2021" t="s">
        <v>1196</v>
      </c>
      <c r="I101" s="2021">
        <v>111550</v>
      </c>
      <c r="J101" s="2021">
        <v>130550</v>
      </c>
      <c r="K101" s="2021">
        <v>9932.0300000000007</v>
      </c>
      <c r="L101" s="2021">
        <v>17.03</v>
      </c>
      <c r="M101" s="2021" t="s">
        <v>1178</v>
      </c>
      <c r="N101" s="2021" t="s">
        <v>1024</v>
      </c>
    </row>
    <row r="102" spans="1:14">
      <c r="A102" s="2021" t="s">
        <v>1198</v>
      </c>
      <c r="B102" s="2021" t="s">
        <v>1013</v>
      </c>
      <c r="C102" s="2021" t="s">
        <v>1014</v>
      </c>
      <c r="D102" s="2021">
        <v>18368</v>
      </c>
      <c r="E102" s="2021">
        <v>27552</v>
      </c>
      <c r="F102" s="2021" t="s">
        <v>1185</v>
      </c>
      <c r="G102" s="2021" t="s">
        <v>1016</v>
      </c>
      <c r="H102" s="2021" t="s">
        <v>1199</v>
      </c>
      <c r="I102" s="2021">
        <v>25960</v>
      </c>
      <c r="J102" s="2021">
        <v>32760</v>
      </c>
      <c r="K102" s="2021">
        <v>11890.23</v>
      </c>
      <c r="L102" s="2021">
        <v>26.19</v>
      </c>
      <c r="M102" s="2021" t="s">
        <v>1178</v>
      </c>
      <c r="N102" s="2021" t="s">
        <v>1024</v>
      </c>
    </row>
    <row r="103" spans="1:14">
      <c r="A103" s="2021" t="s">
        <v>1200</v>
      </c>
      <c r="B103" s="2021" t="s">
        <v>1013</v>
      </c>
      <c r="C103" s="2021" t="s">
        <v>1014</v>
      </c>
      <c r="D103" s="2021">
        <v>46822</v>
      </c>
      <c r="E103" s="2021">
        <v>93644</v>
      </c>
      <c r="F103" s="2021" t="s">
        <v>1131</v>
      </c>
      <c r="G103" s="2021" t="s">
        <v>1016</v>
      </c>
      <c r="H103" s="2021" t="s">
        <v>1201</v>
      </c>
      <c r="I103" s="2021">
        <v>22720</v>
      </c>
      <c r="J103" s="2021">
        <v>22720</v>
      </c>
      <c r="K103" s="2021">
        <v>2426.21</v>
      </c>
      <c r="L103" s="2021">
        <v>0</v>
      </c>
      <c r="M103" s="2021" t="s">
        <v>1078</v>
      </c>
      <c r="N103" s="2021" t="s">
        <v>1024</v>
      </c>
    </row>
    <row r="104" spans="1:14">
      <c r="A104" s="2021" t="s">
        <v>1202</v>
      </c>
      <c r="B104" s="2021" t="s">
        <v>1013</v>
      </c>
      <c r="C104" s="2021" t="s">
        <v>1014</v>
      </c>
      <c r="D104" s="2021">
        <v>16211</v>
      </c>
      <c r="E104" s="2021">
        <v>38906.400000000001</v>
      </c>
      <c r="F104" s="2021" t="s">
        <v>1058</v>
      </c>
      <c r="G104" s="2021" t="s">
        <v>1016</v>
      </c>
      <c r="H104" s="2021" t="s">
        <v>1201</v>
      </c>
      <c r="I104" s="2021">
        <v>4220</v>
      </c>
      <c r="J104" s="2021">
        <v>4220</v>
      </c>
      <c r="K104" s="2021">
        <v>1084.6500000000001</v>
      </c>
      <c r="L104" s="2021">
        <v>0</v>
      </c>
      <c r="M104" s="2021" t="s">
        <v>1078</v>
      </c>
      <c r="N104" s="2021" t="s">
        <v>1024</v>
      </c>
    </row>
    <row r="105" spans="1:14">
      <c r="A105" s="2021" t="s">
        <v>1203</v>
      </c>
      <c r="B105" s="2021" t="s">
        <v>1013</v>
      </c>
      <c r="C105" s="2021" t="s">
        <v>1014</v>
      </c>
      <c r="D105" s="2021">
        <v>42691</v>
      </c>
      <c r="E105" s="2021">
        <v>85382</v>
      </c>
      <c r="F105" s="2021" t="s">
        <v>1131</v>
      </c>
      <c r="G105" s="2021" t="s">
        <v>1016</v>
      </c>
      <c r="H105" s="2021" t="s">
        <v>1204</v>
      </c>
      <c r="I105" s="2021">
        <v>47680</v>
      </c>
      <c r="J105" s="2021">
        <v>53000</v>
      </c>
      <c r="K105" s="2021">
        <v>6207.39</v>
      </c>
      <c r="L105" s="2021">
        <v>11.16</v>
      </c>
      <c r="M105" s="2021" t="s">
        <v>1205</v>
      </c>
      <c r="N105" s="2021" t="s">
        <v>1024</v>
      </c>
    </row>
    <row r="106" spans="1:14">
      <c r="A106" s="2021" t="s">
        <v>1206</v>
      </c>
      <c r="B106" s="2021" t="s">
        <v>1013</v>
      </c>
      <c r="C106" s="2021" t="s">
        <v>1014</v>
      </c>
      <c r="D106" s="2021">
        <v>45420</v>
      </c>
      <c r="E106" s="2021">
        <v>59046</v>
      </c>
      <c r="F106" s="2021" t="s">
        <v>1167</v>
      </c>
      <c r="G106" s="2021" t="s">
        <v>1016</v>
      </c>
      <c r="H106" s="2021" t="s">
        <v>1207</v>
      </c>
      <c r="I106" s="2021">
        <v>78060</v>
      </c>
      <c r="J106" s="2021">
        <v>87860</v>
      </c>
      <c r="K106" s="2021">
        <v>14879.92</v>
      </c>
      <c r="L106" s="2021">
        <v>12.55</v>
      </c>
      <c r="M106" s="2021" t="s">
        <v>1208</v>
      </c>
      <c r="N106" s="2021" t="s">
        <v>1024</v>
      </c>
    </row>
    <row r="107" spans="1:14">
      <c r="A107" s="2021" t="s">
        <v>1209</v>
      </c>
      <c r="B107" s="2021" t="s">
        <v>1013</v>
      </c>
      <c r="C107" s="2021" t="s">
        <v>1014</v>
      </c>
      <c r="D107" s="2021">
        <v>59235</v>
      </c>
      <c r="E107" s="2021">
        <v>118470</v>
      </c>
      <c r="F107" s="2021" t="s">
        <v>1131</v>
      </c>
      <c r="G107" s="2021" t="s">
        <v>1016</v>
      </c>
      <c r="H107" s="2021" t="s">
        <v>1207</v>
      </c>
      <c r="I107" s="2021">
        <v>33220</v>
      </c>
      <c r="J107" s="2021">
        <v>36600</v>
      </c>
      <c r="K107" s="2021">
        <v>3089.38</v>
      </c>
      <c r="L107" s="2021">
        <v>10.17</v>
      </c>
      <c r="M107" s="2021" t="s">
        <v>1210</v>
      </c>
      <c r="N107" s="2021" t="s">
        <v>1042</v>
      </c>
    </row>
    <row r="108" spans="1:14">
      <c r="A108" s="2021" t="s">
        <v>1211</v>
      </c>
      <c r="B108" s="2021" t="s">
        <v>1013</v>
      </c>
      <c r="C108" s="2021" t="s">
        <v>1014</v>
      </c>
      <c r="D108" s="2021">
        <v>28054</v>
      </c>
      <c r="E108" s="2021">
        <v>33664.800000000003</v>
      </c>
      <c r="F108" s="2021" t="s">
        <v>1162</v>
      </c>
      <c r="G108" s="2021" t="s">
        <v>1016</v>
      </c>
      <c r="H108" s="2021" t="s">
        <v>1207</v>
      </c>
      <c r="I108" s="2021">
        <v>39560</v>
      </c>
      <c r="J108" s="2021">
        <v>48000</v>
      </c>
      <c r="K108" s="2021">
        <v>14258.21</v>
      </c>
      <c r="L108" s="2021">
        <v>21.33</v>
      </c>
      <c r="M108" s="2021" t="s">
        <v>1205</v>
      </c>
      <c r="N108" s="2021" t="s">
        <v>1024</v>
      </c>
    </row>
    <row r="109" spans="1:14">
      <c r="A109" s="2021" t="s">
        <v>1212</v>
      </c>
      <c r="B109" s="2021" t="s">
        <v>1013</v>
      </c>
      <c r="C109" s="2021" t="s">
        <v>1014</v>
      </c>
      <c r="D109" s="2021">
        <v>40612</v>
      </c>
      <c r="E109" s="2021">
        <v>85285.2</v>
      </c>
      <c r="F109" s="2021" t="s">
        <v>1073</v>
      </c>
      <c r="G109" s="2021" t="s">
        <v>1016</v>
      </c>
      <c r="H109" s="2021" t="s">
        <v>1213</v>
      </c>
      <c r="I109" s="2021">
        <v>29895</v>
      </c>
      <c r="J109" s="2021">
        <v>45395</v>
      </c>
      <c r="K109" s="2021">
        <v>5322.72</v>
      </c>
      <c r="L109" s="2021">
        <v>51.85</v>
      </c>
      <c r="M109" s="2021" t="s">
        <v>1214</v>
      </c>
      <c r="N109" s="2021" t="s">
        <v>1042</v>
      </c>
    </row>
    <row r="110" spans="1:14">
      <c r="A110" s="2021" t="s">
        <v>1215</v>
      </c>
      <c r="B110" s="2021" t="s">
        <v>1013</v>
      </c>
      <c r="C110" s="2021" t="s">
        <v>1014</v>
      </c>
      <c r="D110" s="2021">
        <v>22648</v>
      </c>
      <c r="E110" s="2021">
        <v>33972</v>
      </c>
      <c r="F110" s="2021" t="s">
        <v>1185</v>
      </c>
      <c r="G110" s="2021" t="s">
        <v>1016</v>
      </c>
      <c r="H110" s="2021" t="s">
        <v>1216</v>
      </c>
      <c r="I110" s="2021">
        <v>16615</v>
      </c>
      <c r="J110" s="2021">
        <v>19715</v>
      </c>
      <c r="K110" s="2021">
        <v>5803.31</v>
      </c>
      <c r="L110" s="2021">
        <v>18.66</v>
      </c>
      <c r="M110" s="2021" t="s">
        <v>1180</v>
      </c>
      <c r="N110" s="2021" t="s">
        <v>1024</v>
      </c>
    </row>
    <row r="111" spans="1:14">
      <c r="A111" s="2021" t="s">
        <v>1217</v>
      </c>
      <c r="B111" s="2021" t="s">
        <v>1013</v>
      </c>
      <c r="C111" s="2021" t="s">
        <v>1014</v>
      </c>
      <c r="D111" s="2021">
        <v>9188</v>
      </c>
      <c r="E111" s="2021">
        <v>13782</v>
      </c>
      <c r="F111" s="2021" t="s">
        <v>1185</v>
      </c>
      <c r="G111" s="2021" t="s">
        <v>1016</v>
      </c>
      <c r="H111" s="2021" t="s">
        <v>1216</v>
      </c>
      <c r="I111" s="2021">
        <v>5278</v>
      </c>
      <c r="J111" s="2021">
        <v>7928</v>
      </c>
      <c r="K111" s="2021">
        <v>5752.43</v>
      </c>
      <c r="L111" s="2021">
        <v>50.21</v>
      </c>
      <c r="M111" s="2021" t="s">
        <v>1218</v>
      </c>
      <c r="N111" s="2021" t="s">
        <v>1042</v>
      </c>
    </row>
    <row r="112" spans="1:14">
      <c r="A112" s="2021" t="s">
        <v>1219</v>
      </c>
      <c r="B112" s="2021" t="s">
        <v>1013</v>
      </c>
      <c r="C112" s="2021" t="s">
        <v>1014</v>
      </c>
      <c r="D112" s="2021">
        <v>19510</v>
      </c>
      <c r="E112" s="2021">
        <v>27314</v>
      </c>
      <c r="F112" s="2021" t="s">
        <v>1039</v>
      </c>
      <c r="G112" s="2021" t="s">
        <v>1016</v>
      </c>
      <c r="H112" s="2021" t="s">
        <v>1216</v>
      </c>
      <c r="I112" s="2021">
        <v>13636</v>
      </c>
      <c r="J112" s="2021">
        <v>15036</v>
      </c>
      <c r="K112" s="2021">
        <v>5504.86</v>
      </c>
      <c r="L112" s="2021">
        <v>10.27</v>
      </c>
      <c r="M112" s="2021" t="s">
        <v>1220</v>
      </c>
      <c r="N112" s="2021" t="s">
        <v>1042</v>
      </c>
    </row>
    <row r="113" spans="1:14">
      <c r="A113" s="2021" t="s">
        <v>1221</v>
      </c>
      <c r="B113" s="2021" t="s">
        <v>1013</v>
      </c>
      <c r="C113" s="2021" t="s">
        <v>1014</v>
      </c>
      <c r="D113" s="2021">
        <v>21817</v>
      </c>
      <c r="E113" s="2021">
        <v>32725.5</v>
      </c>
      <c r="F113" s="2021" t="s">
        <v>1185</v>
      </c>
      <c r="G113" s="2021" t="s">
        <v>1016</v>
      </c>
      <c r="H113" s="2021" t="s">
        <v>1216</v>
      </c>
      <c r="I113" s="2021">
        <v>15283</v>
      </c>
      <c r="J113" s="2021">
        <v>20683</v>
      </c>
      <c r="K113" s="2021">
        <v>6320.14</v>
      </c>
      <c r="L113" s="2021">
        <v>35.33</v>
      </c>
      <c r="M113" s="2021" t="s">
        <v>1220</v>
      </c>
      <c r="N113" s="2021" t="s">
        <v>1042</v>
      </c>
    </row>
    <row r="114" spans="1:14">
      <c r="A114" s="2021" t="s">
        <v>1222</v>
      </c>
      <c r="B114" s="2021" t="s">
        <v>1013</v>
      </c>
      <c r="C114" s="2021" t="s">
        <v>1014</v>
      </c>
      <c r="D114" s="2021">
        <v>56479</v>
      </c>
      <c r="E114" s="2021">
        <v>90366.399999999994</v>
      </c>
      <c r="F114" s="2021" t="s">
        <v>1176</v>
      </c>
      <c r="G114" s="2021" t="s">
        <v>1016</v>
      </c>
      <c r="H114" s="2021" t="s">
        <v>1223</v>
      </c>
      <c r="I114" s="2021">
        <v>22869</v>
      </c>
      <c r="J114" s="2021">
        <v>36000</v>
      </c>
      <c r="K114" s="2021">
        <v>3983.78</v>
      </c>
      <c r="L114" s="2021">
        <v>57.42</v>
      </c>
      <c r="M114" s="2021" t="s">
        <v>1224</v>
      </c>
      <c r="N114" s="2021" t="s">
        <v>1225</v>
      </c>
    </row>
    <row r="115" spans="1:14">
      <c r="A115" s="2021" t="s">
        <v>1226</v>
      </c>
      <c r="B115" s="2021" t="s">
        <v>1013</v>
      </c>
      <c r="C115" s="2021" t="s">
        <v>1014</v>
      </c>
      <c r="D115" s="2021">
        <v>46109</v>
      </c>
      <c r="E115" s="2021">
        <v>96828.9</v>
      </c>
      <c r="F115" s="2021" t="s">
        <v>1073</v>
      </c>
      <c r="G115" s="2021" t="s">
        <v>1016</v>
      </c>
      <c r="H115" s="2021" t="s">
        <v>1227</v>
      </c>
      <c r="I115" s="2021">
        <v>4086</v>
      </c>
      <c r="J115" s="2021">
        <v>4086</v>
      </c>
      <c r="K115" s="2021">
        <v>421.98</v>
      </c>
      <c r="L115" s="2021">
        <v>0</v>
      </c>
      <c r="M115" s="2021" t="s">
        <v>1228</v>
      </c>
      <c r="N115" s="2021" t="s">
        <v>1042</v>
      </c>
    </row>
    <row r="116" spans="1:14">
      <c r="A116" s="2021" t="s">
        <v>1229</v>
      </c>
      <c r="B116" s="2021" t="s">
        <v>1013</v>
      </c>
      <c r="C116" s="2021" t="s">
        <v>1014</v>
      </c>
      <c r="D116" s="2021">
        <v>16217</v>
      </c>
      <c r="E116" s="2021">
        <v>22703.8</v>
      </c>
      <c r="F116" s="2021" t="s">
        <v>1039</v>
      </c>
      <c r="G116" s="2021" t="s">
        <v>1016</v>
      </c>
      <c r="H116" s="2021" t="s">
        <v>1227</v>
      </c>
      <c r="I116" s="2021">
        <v>1619</v>
      </c>
      <c r="J116" s="2021">
        <v>1619</v>
      </c>
      <c r="K116" s="2021">
        <v>713.1</v>
      </c>
      <c r="L116" s="2021">
        <v>0</v>
      </c>
      <c r="M116" s="2021" t="s">
        <v>1230</v>
      </c>
      <c r="N116" s="2021" t="s">
        <v>1042</v>
      </c>
    </row>
    <row r="117" spans="1:14">
      <c r="A117" s="2021" t="s">
        <v>1231</v>
      </c>
      <c r="B117" s="2021" t="s">
        <v>1013</v>
      </c>
      <c r="C117" s="2021" t="s">
        <v>1014</v>
      </c>
      <c r="D117" s="2021">
        <v>7656</v>
      </c>
      <c r="E117" s="2021">
        <v>10718.4</v>
      </c>
      <c r="F117" s="2021" t="s">
        <v>1039</v>
      </c>
      <c r="G117" s="2021" t="s">
        <v>1016</v>
      </c>
      <c r="H117" s="2021" t="s">
        <v>1227</v>
      </c>
      <c r="I117" s="2021">
        <v>789</v>
      </c>
      <c r="J117" s="2021">
        <v>789</v>
      </c>
      <c r="K117" s="2021">
        <v>736.12</v>
      </c>
      <c r="L117" s="2021">
        <v>0</v>
      </c>
      <c r="M117" s="2021" t="s">
        <v>1228</v>
      </c>
      <c r="N117" s="2021" t="s">
        <v>1042</v>
      </c>
    </row>
    <row r="118" spans="1:14">
      <c r="A118" s="2021" t="s">
        <v>1232</v>
      </c>
      <c r="B118" s="2021" t="s">
        <v>1013</v>
      </c>
      <c r="C118" s="2021" t="s">
        <v>1014</v>
      </c>
      <c r="D118" s="2021">
        <v>42967</v>
      </c>
      <c r="E118" s="2021">
        <v>85934</v>
      </c>
      <c r="F118" s="2021" t="s">
        <v>1131</v>
      </c>
      <c r="G118" s="2021" t="s">
        <v>1016</v>
      </c>
      <c r="H118" s="2021" t="s">
        <v>1233</v>
      </c>
      <c r="I118" s="2021">
        <v>34572</v>
      </c>
      <c r="J118" s="2021">
        <v>85022</v>
      </c>
      <c r="K118" s="2021">
        <v>9893.8700000000008</v>
      </c>
      <c r="L118" s="2021">
        <v>145.93</v>
      </c>
      <c r="M118" s="2021" t="s">
        <v>1234</v>
      </c>
      <c r="N118" s="2021" t="s">
        <v>1024</v>
      </c>
    </row>
    <row r="119" spans="1:14">
      <c r="A119" s="2021" t="s">
        <v>1235</v>
      </c>
      <c r="B119" s="2021" t="s">
        <v>1013</v>
      </c>
      <c r="C119" s="2021" t="s">
        <v>1014</v>
      </c>
      <c r="D119" s="2021">
        <v>47719</v>
      </c>
      <c r="E119" s="2021">
        <v>104981.8</v>
      </c>
      <c r="F119" s="2021" t="s">
        <v>1069</v>
      </c>
      <c r="G119" s="2021" t="s">
        <v>1016</v>
      </c>
      <c r="H119" s="2021" t="s">
        <v>1233</v>
      </c>
      <c r="I119" s="2021">
        <v>75816</v>
      </c>
      <c r="J119" s="2021">
        <v>159666</v>
      </c>
      <c r="K119" s="2021">
        <v>15208.92</v>
      </c>
      <c r="L119" s="2021">
        <v>110.6</v>
      </c>
      <c r="M119" s="2021" t="s">
        <v>1236</v>
      </c>
      <c r="N119" s="2021" t="s">
        <v>1024</v>
      </c>
    </row>
    <row r="120" spans="1:14">
      <c r="A120" s="2021" t="s">
        <v>1237</v>
      </c>
      <c r="B120" s="2021" t="s">
        <v>1013</v>
      </c>
      <c r="C120" s="2021" t="s">
        <v>1014</v>
      </c>
      <c r="D120" s="2021">
        <v>51156</v>
      </c>
      <c r="E120" s="2021">
        <v>112543.2</v>
      </c>
      <c r="F120" s="2021" t="s">
        <v>1069</v>
      </c>
      <c r="G120" s="2021" t="s">
        <v>1016</v>
      </c>
      <c r="H120" s="2021" t="s">
        <v>1233</v>
      </c>
      <c r="I120" s="2021">
        <v>81339</v>
      </c>
      <c r="J120" s="2021">
        <v>180039</v>
      </c>
      <c r="K120" s="2021">
        <v>15997.31</v>
      </c>
      <c r="L120" s="2021">
        <v>121.34</v>
      </c>
      <c r="M120" s="2021" t="s">
        <v>1236</v>
      </c>
      <c r="N120" s="2021" t="s">
        <v>1019</v>
      </c>
    </row>
    <row r="121" spans="1:14">
      <c r="A121" s="2021" t="s">
        <v>1238</v>
      </c>
      <c r="B121" s="2021" t="s">
        <v>1013</v>
      </c>
      <c r="C121" s="2021" t="s">
        <v>1014</v>
      </c>
      <c r="D121" s="2021">
        <v>36771</v>
      </c>
      <c r="E121" s="2021">
        <v>66187.8</v>
      </c>
      <c r="F121" s="2021" t="s">
        <v>1032</v>
      </c>
      <c r="G121" s="2021" t="s">
        <v>1016</v>
      </c>
      <c r="H121" s="2021" t="s">
        <v>1239</v>
      </c>
      <c r="I121" s="2021">
        <v>9668</v>
      </c>
      <c r="J121" s="2021">
        <v>39868</v>
      </c>
      <c r="K121" s="2021">
        <v>6023.47</v>
      </c>
      <c r="L121" s="2021">
        <v>312.37</v>
      </c>
      <c r="M121" s="2021" t="s">
        <v>1240</v>
      </c>
      <c r="N121" s="2021" t="s">
        <v>1024</v>
      </c>
    </row>
    <row r="122" spans="1:14">
      <c r="A122" s="2021" t="s">
        <v>1241</v>
      </c>
      <c r="B122" s="2021" t="s">
        <v>1013</v>
      </c>
      <c r="C122" s="2021" t="s">
        <v>1014</v>
      </c>
      <c r="D122" s="2021">
        <v>55841</v>
      </c>
      <c r="E122" s="2021">
        <v>111682</v>
      </c>
      <c r="F122" s="2021" t="s">
        <v>1131</v>
      </c>
      <c r="G122" s="2021" t="s">
        <v>1016</v>
      </c>
      <c r="H122" s="2021" t="s">
        <v>1239</v>
      </c>
      <c r="I122" s="2021">
        <v>12174</v>
      </c>
      <c r="J122" s="2021">
        <v>48974</v>
      </c>
      <c r="K122" s="2021">
        <v>4385.13</v>
      </c>
      <c r="L122" s="2021">
        <v>302.27999999999997</v>
      </c>
      <c r="M122" s="2021" t="s">
        <v>1242</v>
      </c>
      <c r="N122" s="2021" t="s">
        <v>1024</v>
      </c>
    </row>
    <row r="123" spans="1:14">
      <c r="A123" s="2021" t="s">
        <v>1243</v>
      </c>
      <c r="B123" s="2021" t="s">
        <v>1013</v>
      </c>
      <c r="C123" s="2021" t="s">
        <v>1014</v>
      </c>
      <c r="D123" s="2021">
        <v>69598</v>
      </c>
      <c r="E123" s="2021">
        <v>187914.6</v>
      </c>
      <c r="F123" s="2021" t="s">
        <v>1244</v>
      </c>
      <c r="G123" s="2021" t="s">
        <v>1016</v>
      </c>
      <c r="H123" s="2021" t="s">
        <v>1239</v>
      </c>
      <c r="I123" s="2021">
        <v>32009</v>
      </c>
      <c r="J123" s="2021">
        <v>119359</v>
      </c>
      <c r="K123" s="2021">
        <v>6351.77</v>
      </c>
      <c r="L123" s="2021">
        <v>272.89</v>
      </c>
      <c r="M123" s="2021" t="s">
        <v>1245</v>
      </c>
      <c r="N123" s="2021" t="s">
        <v>1024</v>
      </c>
    </row>
    <row r="124" spans="1:14">
      <c r="A124" s="2021" t="s">
        <v>1246</v>
      </c>
      <c r="B124" s="2021" t="s">
        <v>1013</v>
      </c>
      <c r="C124" s="2021" t="s">
        <v>1014</v>
      </c>
      <c r="D124" s="2021">
        <v>34805</v>
      </c>
      <c r="E124" s="2021">
        <v>62649</v>
      </c>
      <c r="F124" s="2021" t="s">
        <v>1032</v>
      </c>
      <c r="G124" s="2021" t="s">
        <v>1016</v>
      </c>
      <c r="H124" s="2021" t="s">
        <v>1239</v>
      </c>
      <c r="I124" s="2021">
        <v>11521</v>
      </c>
      <c r="J124" s="2021">
        <v>36371</v>
      </c>
      <c r="K124" s="2021">
        <v>5805.52</v>
      </c>
      <c r="L124" s="2021">
        <v>215.69</v>
      </c>
      <c r="M124" s="2021" t="s">
        <v>1220</v>
      </c>
      <c r="N124" s="2021" t="s">
        <v>1024</v>
      </c>
    </row>
    <row r="125" spans="1:14">
      <c r="A125" s="2021" t="s">
        <v>1247</v>
      </c>
      <c r="B125" s="2021" t="s">
        <v>1013</v>
      </c>
      <c r="C125" s="2021" t="s">
        <v>1014</v>
      </c>
      <c r="D125" s="2021">
        <v>59361</v>
      </c>
      <c r="E125" s="2021">
        <v>136530.29999999999</v>
      </c>
      <c r="F125" s="2021" t="s">
        <v>1248</v>
      </c>
      <c r="G125" s="2021" t="s">
        <v>1016</v>
      </c>
      <c r="H125" s="2021" t="s">
        <v>1249</v>
      </c>
      <c r="I125" s="2021">
        <v>13029.73</v>
      </c>
      <c r="J125" s="2021">
        <v>13029.73</v>
      </c>
      <c r="K125" s="2021">
        <v>954.35</v>
      </c>
      <c r="L125" s="2021">
        <v>0</v>
      </c>
      <c r="M125" s="2021" t="s">
        <v>1250</v>
      </c>
      <c r="N125" s="2021" t="s">
        <v>1024</v>
      </c>
    </row>
    <row r="126" spans="1:14">
      <c r="A126" s="2021" t="s">
        <v>1251</v>
      </c>
      <c r="B126" s="2021" t="s">
        <v>1013</v>
      </c>
      <c r="C126" s="2021" t="s">
        <v>1014</v>
      </c>
      <c r="D126" s="2021">
        <v>67635</v>
      </c>
      <c r="E126" s="2021">
        <v>133033</v>
      </c>
      <c r="F126" s="2021" t="s">
        <v>1252</v>
      </c>
      <c r="G126" s="2021" t="s">
        <v>1016</v>
      </c>
      <c r="H126" s="2021" t="s">
        <v>1249</v>
      </c>
      <c r="I126" s="2021">
        <v>6797.31</v>
      </c>
      <c r="J126" s="2021">
        <v>6797.31</v>
      </c>
      <c r="K126" s="2021">
        <v>510.94</v>
      </c>
      <c r="L126" s="2021">
        <v>0</v>
      </c>
      <c r="M126" s="2021" t="s">
        <v>1253</v>
      </c>
      <c r="N126" s="2021" t="s">
        <v>1042</v>
      </c>
    </row>
    <row r="127" spans="1:14">
      <c r="A127" s="2021" t="s">
        <v>1254</v>
      </c>
      <c r="B127" s="2021" t="s">
        <v>1013</v>
      </c>
      <c r="C127" s="2021" t="s">
        <v>1014</v>
      </c>
      <c r="D127" s="2021">
        <v>43906</v>
      </c>
      <c r="E127" s="2021">
        <v>92202.6</v>
      </c>
      <c r="F127" s="2021" t="s">
        <v>1255</v>
      </c>
      <c r="G127" s="2021" t="s">
        <v>1016</v>
      </c>
      <c r="H127" s="2021" t="s">
        <v>1249</v>
      </c>
      <c r="I127" s="2021">
        <v>2766.07</v>
      </c>
      <c r="J127" s="2021">
        <v>2766.07</v>
      </c>
      <c r="K127" s="2021">
        <v>300</v>
      </c>
      <c r="L127" s="2021">
        <v>0</v>
      </c>
      <c r="M127" s="2021" t="s">
        <v>1256</v>
      </c>
      <c r="N127" s="2021" t="s">
        <v>1024</v>
      </c>
    </row>
    <row r="128" spans="1:14">
      <c r="A128" s="2021" t="s">
        <v>1247</v>
      </c>
      <c r="B128" s="2021" t="s">
        <v>1013</v>
      </c>
      <c r="C128" s="2021" t="s">
        <v>1014</v>
      </c>
      <c r="D128" s="2021">
        <v>44952</v>
      </c>
      <c r="E128" s="2021">
        <v>107884.8</v>
      </c>
      <c r="F128" s="2021" t="s">
        <v>1257</v>
      </c>
      <c r="G128" s="2021" t="s">
        <v>1016</v>
      </c>
      <c r="H128" s="2021" t="s">
        <v>1249</v>
      </c>
      <c r="I128" s="2021">
        <v>10608.67</v>
      </c>
      <c r="J128" s="2021">
        <v>10608.67</v>
      </c>
      <c r="K128" s="2021">
        <v>983.33</v>
      </c>
      <c r="L128" s="2021">
        <v>0</v>
      </c>
      <c r="M128" s="2021" t="s">
        <v>1250</v>
      </c>
      <c r="N128" s="2021" t="s">
        <v>1024</v>
      </c>
    </row>
    <row r="129" spans="1:14">
      <c r="A129" s="2021" t="s">
        <v>1258</v>
      </c>
      <c r="B129" s="2021" t="s">
        <v>1013</v>
      </c>
      <c r="C129" s="2021" t="s">
        <v>1014</v>
      </c>
      <c r="D129" s="2021">
        <v>27880</v>
      </c>
      <c r="E129" s="2021">
        <v>64124</v>
      </c>
      <c r="F129" s="2021" t="s">
        <v>1259</v>
      </c>
      <c r="G129" s="2021" t="s">
        <v>1016</v>
      </c>
      <c r="H129" s="2021" t="s">
        <v>1249</v>
      </c>
      <c r="I129" s="2021">
        <v>4182</v>
      </c>
      <c r="J129" s="2021">
        <v>4182</v>
      </c>
      <c r="K129" s="2021">
        <v>652.16</v>
      </c>
      <c r="L129" s="2021">
        <v>0</v>
      </c>
      <c r="M129" s="2021" t="s">
        <v>1260</v>
      </c>
      <c r="N129" s="2021" t="s">
        <v>1042</v>
      </c>
    </row>
    <row r="130" spans="1:14">
      <c r="A130" s="2021" t="s">
        <v>1261</v>
      </c>
      <c r="B130" s="2021" t="s">
        <v>1013</v>
      </c>
      <c r="C130" s="2021" t="s">
        <v>1014</v>
      </c>
      <c r="D130" s="2021">
        <v>15900</v>
      </c>
      <c r="E130" s="2021">
        <v>25440</v>
      </c>
      <c r="F130" s="2021" t="s">
        <v>1262</v>
      </c>
      <c r="G130" s="2021" t="s">
        <v>1016</v>
      </c>
      <c r="H130" s="2021" t="s">
        <v>1249</v>
      </c>
      <c r="I130" s="2021">
        <v>3267.44</v>
      </c>
      <c r="J130" s="2021">
        <v>3267.44</v>
      </c>
      <c r="K130" s="2021">
        <v>1284.3800000000001</v>
      </c>
      <c r="L130" s="2021">
        <v>0</v>
      </c>
      <c r="M130" s="2021" t="s">
        <v>1250</v>
      </c>
      <c r="N130" s="2021" t="s">
        <v>1024</v>
      </c>
    </row>
    <row r="131" spans="1:14">
      <c r="A131" s="2021" t="s">
        <v>1247</v>
      </c>
      <c r="B131" s="2021" t="s">
        <v>1013</v>
      </c>
      <c r="C131" s="2021" t="s">
        <v>1014</v>
      </c>
      <c r="D131" s="2021">
        <v>60082</v>
      </c>
      <c r="E131" s="2021">
        <v>126172.2</v>
      </c>
      <c r="F131" s="2021" t="s">
        <v>1263</v>
      </c>
      <c r="G131" s="2021" t="s">
        <v>1016</v>
      </c>
      <c r="H131" s="2021" t="s">
        <v>1249</v>
      </c>
      <c r="I131" s="2021">
        <v>11385.54</v>
      </c>
      <c r="J131" s="2021">
        <v>11385.54</v>
      </c>
      <c r="K131" s="2021">
        <v>902.37</v>
      </c>
      <c r="L131" s="2021">
        <v>0</v>
      </c>
      <c r="M131" s="2021" t="s">
        <v>1250</v>
      </c>
      <c r="N131" s="2021" t="s">
        <v>1024</v>
      </c>
    </row>
    <row r="132" spans="1:14">
      <c r="A132" s="2021" t="s">
        <v>1264</v>
      </c>
      <c r="B132" s="2021" t="s">
        <v>1013</v>
      </c>
      <c r="C132" s="2021" t="s">
        <v>1014</v>
      </c>
      <c r="D132" s="2021">
        <v>9182</v>
      </c>
      <c r="E132" s="2021">
        <v>19282.2</v>
      </c>
      <c r="F132" s="2021" t="s">
        <v>1255</v>
      </c>
      <c r="G132" s="2021" t="s">
        <v>1016</v>
      </c>
      <c r="H132" s="2021" t="s">
        <v>1265</v>
      </c>
      <c r="I132" s="2021">
        <v>870</v>
      </c>
      <c r="J132" s="2021">
        <v>870</v>
      </c>
      <c r="K132" s="2021">
        <v>451.18</v>
      </c>
      <c r="L132" s="2021">
        <v>0</v>
      </c>
      <c r="M132" s="2021" t="s">
        <v>1266</v>
      </c>
      <c r="N132" s="2021" t="s">
        <v>1042</v>
      </c>
    </row>
    <row r="133" spans="1:14">
      <c r="A133" s="2021" t="s">
        <v>1267</v>
      </c>
      <c r="B133" s="2021" t="s">
        <v>1013</v>
      </c>
      <c r="C133" s="2021" t="s">
        <v>1026</v>
      </c>
      <c r="D133" s="2021">
        <v>51956</v>
      </c>
      <c r="E133" s="2021">
        <v>106010.5</v>
      </c>
      <c r="F133" s="2021" t="s">
        <v>1255</v>
      </c>
      <c r="G133" s="2021" t="s">
        <v>1016</v>
      </c>
      <c r="H133" s="2021" t="s">
        <v>1265</v>
      </c>
      <c r="I133" s="2021">
        <v>12600</v>
      </c>
      <c r="J133" s="2021">
        <v>12600</v>
      </c>
      <c r="K133" s="2021">
        <v>1188.55</v>
      </c>
      <c r="L133" s="2021">
        <v>0</v>
      </c>
      <c r="M133" s="2021" t="s">
        <v>1078</v>
      </c>
      <c r="N133" s="2021" t="s">
        <v>1019</v>
      </c>
    </row>
    <row r="134" spans="1:14">
      <c r="A134" s="2021" t="s">
        <v>1268</v>
      </c>
      <c r="B134" s="2021" t="s">
        <v>1013</v>
      </c>
      <c r="C134" s="2021" t="s">
        <v>1014</v>
      </c>
      <c r="D134" s="2021">
        <v>17879</v>
      </c>
      <c r="E134" s="2021">
        <v>25030.6</v>
      </c>
      <c r="F134" s="2021" t="s">
        <v>1269</v>
      </c>
      <c r="G134" s="2021" t="s">
        <v>1016</v>
      </c>
      <c r="H134" s="2021" t="s">
        <v>1270</v>
      </c>
      <c r="I134" s="2021">
        <v>2615</v>
      </c>
      <c r="J134" s="2021">
        <v>2615</v>
      </c>
      <c r="K134" s="2021">
        <v>1044.72</v>
      </c>
      <c r="L134" s="2021">
        <v>0</v>
      </c>
      <c r="M134" s="2021" t="s">
        <v>1060</v>
      </c>
      <c r="N134" s="2021" t="s">
        <v>1024</v>
      </c>
    </row>
    <row r="135" spans="1:14">
      <c r="A135" s="2021" t="s">
        <v>1271</v>
      </c>
      <c r="B135" s="2021" t="s">
        <v>1013</v>
      </c>
      <c r="C135" s="2021" t="s">
        <v>1026</v>
      </c>
      <c r="D135" s="2021">
        <v>47693</v>
      </c>
      <c r="E135" s="2021">
        <v>124001.8</v>
      </c>
      <c r="F135" s="2021" t="s">
        <v>1272</v>
      </c>
      <c r="G135" s="2021" t="s">
        <v>1016</v>
      </c>
      <c r="H135" s="2021" t="s">
        <v>1270</v>
      </c>
      <c r="I135" s="2021">
        <v>15050</v>
      </c>
      <c r="J135" s="2021">
        <v>15050</v>
      </c>
      <c r="K135" s="2021">
        <v>1213.69</v>
      </c>
      <c r="L135" s="2021">
        <v>0</v>
      </c>
      <c r="M135" s="2021" t="s">
        <v>1060</v>
      </c>
      <c r="N135" s="2021" t="s">
        <v>1019</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18" sqref="E18"/>
    </sheetView>
  </sheetViews>
  <sheetFormatPr defaultColWidth="6.625" defaultRowHeight="12.75"/>
  <cols>
    <col min="1" max="1" width="9.75" style="1834" customWidth="1"/>
    <col min="2" max="2" width="25.75" style="1835" customWidth="1"/>
    <col min="3" max="3" width="10.375" style="1836" customWidth="1"/>
    <col min="4" max="4" width="12" style="1835" customWidth="1"/>
    <col min="5" max="5" width="14.125" style="1834" customWidth="1"/>
    <col min="6" max="6" width="10.125" style="1835" customWidth="1"/>
    <col min="7" max="7" width="11.625" style="1835" customWidth="1"/>
    <col min="8" max="8" width="10" style="1835" customWidth="1"/>
    <col min="9" max="11" width="9.5" style="1835" customWidth="1"/>
    <col min="12" max="12" width="9" style="1835" customWidth="1"/>
    <col min="13" max="13" width="10.5" style="1835" customWidth="1"/>
    <col min="14" max="254" width="9" style="1835" customWidth="1"/>
    <col min="255" max="16384" width="6.625" style="1835"/>
  </cols>
  <sheetData>
    <row r="1" spans="1:31" s="153" customFormat="1" ht="20.25">
      <c r="A1" s="1938" t="s">
        <v>1273</v>
      </c>
      <c r="B1" s="1837"/>
      <c r="C1" s="1838"/>
      <c r="D1" s="1838"/>
      <c r="E1" s="1838"/>
      <c r="F1" s="1838"/>
      <c r="G1" s="1838"/>
      <c r="H1" s="1838"/>
      <c r="I1" s="1838"/>
      <c r="J1" s="1838"/>
      <c r="K1" s="1922">
        <f>MATCH(B1,'数据-取费表'!A6:A16,0)+5</f>
        <v>9</v>
      </c>
    </row>
    <row r="2" spans="1:31" s="153" customFormat="1" ht="18" customHeight="1">
      <c r="A2" s="1939" t="s">
        <v>916</v>
      </c>
      <c r="B2" s="1940">
        <f ca="1">C36</f>
        <v>82141</v>
      </c>
      <c r="C2" s="1838"/>
      <c r="D2" s="1838"/>
      <c r="E2" s="1838"/>
      <c r="F2" s="1838"/>
      <c r="G2" s="1838"/>
      <c r="H2" s="1838"/>
      <c r="I2" s="1838"/>
      <c r="J2" s="1838"/>
      <c r="K2" s="1838"/>
    </row>
    <row r="3" spans="1:31" s="153" customFormat="1" ht="18" customHeight="1">
      <c r="A3" s="1941" t="s">
        <v>917</v>
      </c>
      <c r="B3" s="1942">
        <f ca="1">ROUND(B2*10000/IF(B1="",'数据-汇总表'!E3,INDIRECT("'数据-取费表'!K"&amp;$K$1)),0)</f>
        <v>6391</v>
      </c>
      <c r="C3" s="1838"/>
      <c r="D3" s="1838"/>
      <c r="E3" s="1838"/>
      <c r="F3" s="1838"/>
      <c r="G3" s="1838"/>
      <c r="H3" s="1838"/>
      <c r="I3" s="1838"/>
      <c r="J3" s="1838"/>
      <c r="K3" s="1838"/>
    </row>
    <row r="4" spans="1:31" s="153" customFormat="1" ht="18" customHeight="1">
      <c r="A4" s="709" t="s">
        <v>1274</v>
      </c>
      <c r="B4" s="710">
        <f ca="1">ROUND(B2*10000/IF(B1="",'数据-汇总表'!D3,INDIRECT("'数据-取费表'!R"&amp;$K$1)),0)</f>
        <v>12282</v>
      </c>
      <c r="C4" s="462"/>
      <c r="D4" s="1922"/>
      <c r="E4" s="1922"/>
      <c r="F4" s="1922"/>
      <c r="G4" s="1922"/>
      <c r="H4" s="1922"/>
      <c r="I4" s="1922"/>
      <c r="J4" s="1922"/>
      <c r="K4" s="1922"/>
    </row>
    <row r="5" spans="1:31" s="153" customFormat="1" ht="18" customHeight="1">
      <c r="A5" s="711"/>
      <c r="B5" s="712">
        <f ca="1">ROUND(B2/(IF(B1="",'数据-汇总表'!D3,INDIRECT("'数据-取费表'!R"&amp;$K$1))/666.67),0)</f>
        <v>819</v>
      </c>
      <c r="C5" s="713" t="s">
        <v>919</v>
      </c>
      <c r="D5" s="1922"/>
      <c r="E5" s="1922"/>
      <c r="F5" s="1922"/>
      <c r="G5" s="1922"/>
      <c r="H5" s="1922"/>
      <c r="I5" s="1922"/>
      <c r="J5" s="1922"/>
      <c r="K5" s="1922"/>
    </row>
    <row r="6" spans="1:31" s="1825" customFormat="1" ht="16.5" customHeight="1">
      <c r="A6" s="1943" t="s">
        <v>1275</v>
      </c>
      <c r="B6" s="1944"/>
      <c r="C6" s="1945">
        <f ca="1">SUM(C10:K10)</f>
        <v>151968.36800000002</v>
      </c>
      <c r="D6" s="1944"/>
      <c r="E6" s="1944"/>
      <c r="F6" s="1944"/>
      <c r="G6" s="1944"/>
      <c r="H6" s="1944"/>
      <c r="I6" s="1944"/>
      <c r="J6" s="1944"/>
      <c r="K6" s="2009"/>
    </row>
    <row r="7" spans="1:31" s="1826" customFormat="1" ht="15">
      <c r="A7" s="1946" t="s">
        <v>1276</v>
      </c>
      <c r="B7" s="1947" t="s">
        <v>1277</v>
      </c>
      <c r="C7" s="1846" t="s">
        <v>476</v>
      </c>
      <c r="D7" s="1846" t="s">
        <v>477</v>
      </c>
      <c r="E7" s="1846" t="s">
        <v>372</v>
      </c>
      <c r="F7" s="1846"/>
      <c r="G7" s="1846"/>
      <c r="H7" s="1846"/>
      <c r="I7" s="1846"/>
      <c r="J7" s="1846"/>
      <c r="K7" s="1924"/>
      <c r="L7" s="1925"/>
      <c r="M7" s="2010" t="s">
        <v>476</v>
      </c>
      <c r="N7" s="2010" t="s">
        <v>1278</v>
      </c>
      <c r="O7" s="1925"/>
      <c r="P7" s="1925"/>
      <c r="Q7" s="1925"/>
      <c r="R7" s="1925"/>
      <c r="S7" s="1925"/>
      <c r="T7" s="1925"/>
      <c r="U7" s="1925"/>
      <c r="V7" s="1925"/>
      <c r="W7" s="1925"/>
      <c r="X7" s="1925"/>
      <c r="Y7" s="1925"/>
      <c r="Z7" s="1925"/>
      <c r="AA7" s="1925"/>
      <c r="AB7" s="1925"/>
      <c r="AC7" s="1925"/>
      <c r="AD7" s="1925"/>
      <c r="AE7" s="1925"/>
    </row>
    <row r="8" spans="1:31" s="1827" customFormat="1" ht="13.5" customHeight="1">
      <c r="A8" s="1063" t="s">
        <v>852</v>
      </c>
      <c r="B8" s="866" t="s">
        <v>1279</v>
      </c>
      <c r="C8" s="1948">
        <v>18000</v>
      </c>
      <c r="D8" s="1948">
        <v>20000</v>
      </c>
      <c r="E8" s="1949">
        <f ca="1">不动产收益法!B3</f>
        <v>556</v>
      </c>
      <c r="F8" s="1949"/>
      <c r="G8" s="1949"/>
      <c r="H8" s="1949"/>
      <c r="I8" s="1949"/>
      <c r="J8" s="1949"/>
      <c r="K8" s="2011"/>
      <c r="L8" s="1835"/>
      <c r="M8" s="1835"/>
      <c r="N8" s="1835"/>
      <c r="O8" s="1835"/>
      <c r="P8" s="1835"/>
      <c r="Q8" s="1835"/>
      <c r="R8" s="1835"/>
      <c r="S8" s="1835"/>
      <c r="T8" s="1835"/>
      <c r="U8" s="1835"/>
      <c r="V8" s="1835"/>
      <c r="W8" s="1835"/>
      <c r="X8" s="1835"/>
      <c r="Y8" s="1835"/>
      <c r="Z8" s="1835"/>
      <c r="AA8" s="1835"/>
      <c r="AB8" s="1835"/>
      <c r="AC8" s="1835"/>
      <c r="AD8" s="1835"/>
      <c r="AE8" s="1835"/>
    </row>
    <row r="9" spans="1:31" s="1827" customFormat="1" ht="13.5" customHeight="1">
      <c r="A9" s="1063" t="s">
        <v>854</v>
      </c>
      <c r="B9" s="866" t="s">
        <v>442</v>
      </c>
      <c r="C9" s="1850">
        <f>SUMIF('数据-汇总表'!$C19:$C33,'剩余法-待开发'!C7,'数据-汇总表'!$E19:$E33)</f>
        <v>22356.86</v>
      </c>
      <c r="D9" s="1850">
        <f>SUMIF('数据-汇总表'!$C19:$C33,'剩余法-待开发'!D7,'数据-汇总表'!$E19:$E33)</f>
        <v>54440.01</v>
      </c>
      <c r="E9" s="1850">
        <f>SUMIF('数据-汇总表'!$C19:$C33,'剩余法-待开发'!E7,'数据-汇总表'!$E19:$E33)</f>
        <v>51186.6</v>
      </c>
      <c r="F9" s="1850">
        <f>SUMIF('数据-汇总表'!$C19:$C33,'剩余法-待开发'!F7,'数据-汇总表'!$E19:$E33)</f>
        <v>0</v>
      </c>
      <c r="G9" s="1850">
        <f>SUMIF('数据-汇总表'!$C19:$C33,'剩余法-待开发'!G7,'数据-汇总表'!$E19:$E33)</f>
        <v>0</v>
      </c>
      <c r="H9" s="1850">
        <f>SUMIF('数据-汇总表'!$C19:$C33,'剩余法-待开发'!H7,'数据-汇总表'!$E19:$E33)</f>
        <v>0</v>
      </c>
      <c r="I9" s="1850">
        <f>SUMIF('数据-汇总表'!$C19:$C33,'剩余法-待开发'!I7,'数据-汇总表'!$E19:$E33)</f>
        <v>0</v>
      </c>
      <c r="J9" s="1850">
        <f>SUMIF('数据-汇总表'!$C19:$C33,'剩余法-待开发'!J7,'数据-汇总表'!$E19:$E33)</f>
        <v>0</v>
      </c>
      <c r="K9" s="1927">
        <f>SUMIF('数据-汇总表'!$C19:$C33,'剩余法-待开发'!K7,'数据-汇总表'!$E19:$E33)</f>
        <v>0</v>
      </c>
      <c r="L9" s="1835"/>
      <c r="M9" s="1835">
        <f>C9/(C9+D9)</f>
        <v>0.29111681244300713</v>
      </c>
      <c r="N9" s="1835">
        <f>D9/(C9+D9)</f>
        <v>0.70888318755699298</v>
      </c>
      <c r="O9" s="1835"/>
      <c r="P9" s="1835"/>
      <c r="Q9" s="1835"/>
      <c r="R9" s="1835"/>
      <c r="S9" s="1835"/>
      <c r="T9" s="1835"/>
      <c r="U9" s="1835"/>
      <c r="V9" s="1835"/>
      <c r="W9" s="1835"/>
      <c r="X9" s="1835"/>
      <c r="Y9" s="1835"/>
      <c r="Z9" s="1835"/>
      <c r="AA9" s="1835"/>
      <c r="AB9" s="1835"/>
      <c r="AC9" s="1835"/>
      <c r="AD9" s="1835"/>
      <c r="AE9" s="1835"/>
    </row>
    <row r="10" spans="1:31" s="1827" customFormat="1" ht="13.5" customHeight="1">
      <c r="A10" s="1950" t="s">
        <v>1280</v>
      </c>
      <c r="B10" s="1951" t="s">
        <v>1281</v>
      </c>
      <c r="C10" s="1952">
        <f>C8*C9/10000</f>
        <v>40242.347999999998</v>
      </c>
      <c r="D10" s="1952">
        <f>D8*D9/10000</f>
        <v>108880.02</v>
      </c>
      <c r="E10" s="1952">
        <f ca="1">不动产收益法!B2</f>
        <v>2846</v>
      </c>
      <c r="F10" s="1953"/>
      <c r="G10" s="1953"/>
      <c r="H10" s="1953"/>
      <c r="I10" s="1953"/>
      <c r="J10" s="1953"/>
      <c r="K10" s="2012"/>
      <c r="L10" s="1835"/>
      <c r="M10" s="1835"/>
      <c r="N10" s="1835"/>
      <c r="O10" s="1835"/>
      <c r="P10" s="1835"/>
      <c r="Q10" s="1835"/>
      <c r="R10" s="1835"/>
      <c r="S10" s="1835"/>
      <c r="T10" s="1835"/>
      <c r="U10" s="1835"/>
      <c r="V10" s="1835"/>
      <c r="W10" s="1835"/>
      <c r="X10" s="1835"/>
      <c r="Y10" s="1835"/>
      <c r="Z10" s="1835"/>
      <c r="AA10" s="1835"/>
      <c r="AB10" s="1835"/>
      <c r="AC10" s="1835"/>
      <c r="AD10" s="1835"/>
      <c r="AE10" s="1835"/>
    </row>
    <row r="11" spans="1:31" s="1825" customFormat="1" ht="16.5" customHeight="1">
      <c r="A11" s="1954" t="s">
        <v>1282</v>
      </c>
      <c r="B11" s="1944"/>
      <c r="C11" s="1944"/>
      <c r="D11" s="1944"/>
      <c r="E11" s="1944"/>
      <c r="F11" s="1944"/>
      <c r="G11" s="1944"/>
      <c r="H11" s="1944"/>
      <c r="I11" s="1944"/>
      <c r="J11" s="1944"/>
      <c r="K11" s="2009"/>
    </row>
    <row r="12" spans="1:31" s="917" customFormat="1" ht="13.5" customHeight="1">
      <c r="A12" s="1955" t="s">
        <v>1276</v>
      </c>
      <c r="B12" s="1956" t="s">
        <v>1277</v>
      </c>
      <c r="C12" s="1957" t="s">
        <v>1283</v>
      </c>
      <c r="D12" s="1958" t="s">
        <v>1284</v>
      </c>
      <c r="E12" s="1958" t="s">
        <v>1285</v>
      </c>
      <c r="F12" s="1958" t="s">
        <v>1286</v>
      </c>
      <c r="G12" s="1956"/>
      <c r="H12" s="1959"/>
      <c r="I12" s="1959"/>
      <c r="J12" s="1959"/>
      <c r="K12" s="2013"/>
    </row>
    <row r="13" spans="1:31" s="1828" customFormat="1" ht="13.5" customHeight="1">
      <c r="A13" s="1960" t="s">
        <v>876</v>
      </c>
      <c r="B13" s="1961" t="s">
        <v>1287</v>
      </c>
      <c r="C13" s="1863">
        <f ca="1">IF(B1="",'数据-取费表'!P16,INDIRECT("'数据-取费表'!p"&amp;$K$1)+INDIRECT("'数据-取费表'!t"&amp;$K$1))</f>
        <v>30580</v>
      </c>
      <c r="D13" s="1962"/>
      <c r="E13" s="1963"/>
      <c r="F13" s="1964"/>
      <c r="G13" s="1956"/>
      <c r="H13" s="1959"/>
      <c r="I13" s="1959"/>
      <c r="J13" s="1959"/>
      <c r="K13" s="2013"/>
    </row>
    <row r="14" spans="1:31" s="1828" customFormat="1" ht="13.5" customHeight="1">
      <c r="A14" s="1960" t="s">
        <v>1288</v>
      </c>
      <c r="B14" s="1961" t="s">
        <v>1289</v>
      </c>
      <c r="C14" s="121">
        <f ca="1">ROUND(C13*F14,0)</f>
        <v>1529</v>
      </c>
      <c r="D14" s="1962"/>
      <c r="E14" s="1963"/>
      <c r="F14" s="1965">
        <f>'数据-取费表'!B33</f>
        <v>0.05</v>
      </c>
      <c r="G14" s="1956" t="s">
        <v>1290</v>
      </c>
      <c r="H14" s="1959"/>
      <c r="I14" s="1959"/>
      <c r="J14" s="1959"/>
      <c r="K14" s="2013"/>
    </row>
    <row r="15" spans="1:31" s="1828" customFormat="1" ht="13.5" customHeight="1">
      <c r="A15" s="1960" t="s">
        <v>1291</v>
      </c>
      <c r="B15" s="1961" t="s">
        <v>1292</v>
      </c>
      <c r="C15" s="121">
        <f ca="1">ROUND(IF(B1="",SUMIF('数据-取费表'!C:C,"住宅",'数据-取费表'!P:P)*F15,IF(INDIRECT("'数据-取费表'!c"&amp;$K$1)="住宅",INDIRECT("'数据-取费表'!P"&amp;$K$1)*F15,0)),0)</f>
        <v>960</v>
      </c>
      <c r="D15" s="1962"/>
      <c r="E15" s="1963"/>
      <c r="F15" s="1965">
        <f>'数据-取费表'!B34</f>
        <v>0.05</v>
      </c>
      <c r="G15" s="1956" t="s">
        <v>1293</v>
      </c>
      <c r="H15" s="1959"/>
      <c r="I15" s="1959"/>
      <c r="J15" s="1959"/>
      <c r="K15" s="2013"/>
    </row>
    <row r="16" spans="1:31" s="1829" customFormat="1" ht="13.5" customHeight="1">
      <c r="A16" s="1960" t="s">
        <v>1294</v>
      </c>
      <c r="B16" s="1961" t="s">
        <v>1295</v>
      </c>
      <c r="C16" s="121">
        <f ca="1">ROUND(D16*E16/10000,0)</f>
        <v>2571</v>
      </c>
      <c r="D16" s="1962">
        <f ca="1">IF(B1="",'数据-汇总表'!E3,INDIRECT("'数据-取费表'!K"&amp;$K$1)+INDIRECT("'数据-取费表'!S"&amp;$K$1))</f>
        <v>128526.97</v>
      </c>
      <c r="E16" s="121">
        <f>'数据-取费表'!B35</f>
        <v>200</v>
      </c>
      <c r="F16" s="1965"/>
      <c r="G16" s="1956"/>
      <c r="H16" s="1959"/>
      <c r="I16" s="1959"/>
      <c r="J16" s="1959"/>
      <c r="K16" s="2013"/>
      <c r="L16" s="1828"/>
      <c r="M16" s="1828"/>
      <c r="N16" s="1828"/>
      <c r="O16" s="1828"/>
      <c r="P16" s="1828"/>
      <c r="Q16" s="1828"/>
      <c r="R16" s="1828"/>
      <c r="S16" s="1828"/>
      <c r="T16" s="1828"/>
      <c r="U16" s="1828"/>
      <c r="V16" s="1828"/>
      <c r="W16" s="1828"/>
      <c r="X16" s="1828"/>
      <c r="Y16" s="1828"/>
      <c r="Z16" s="1828"/>
      <c r="AA16" s="1828"/>
      <c r="AB16" s="1828"/>
      <c r="AC16" s="1828"/>
      <c r="AD16" s="1828"/>
      <c r="AE16" s="1828"/>
    </row>
    <row r="17" spans="1:14" s="1828" customFormat="1" ht="13.5" customHeight="1">
      <c r="A17" s="1960" t="s">
        <v>1296</v>
      </c>
      <c r="B17" s="1961" t="s">
        <v>1297</v>
      </c>
      <c r="C17" s="1966">
        <f ca="1">ROUND(C13*F17,0)</f>
        <v>459</v>
      </c>
      <c r="D17" s="1967"/>
      <c r="E17" s="1966"/>
      <c r="F17" s="1968">
        <f>'数据-取费表'!B36</f>
        <v>1.4999999999999999E-2</v>
      </c>
      <c r="G17" s="866" t="s">
        <v>1298</v>
      </c>
      <c r="H17" s="1969"/>
      <c r="I17" s="1969"/>
      <c r="J17" s="1969"/>
      <c r="K17" s="2014"/>
    </row>
    <row r="18" spans="1:14" s="1828" customFormat="1" ht="13.5" customHeight="1">
      <c r="A18" s="1970" t="s">
        <v>1299</v>
      </c>
      <c r="B18" s="1971" t="s">
        <v>1300</v>
      </c>
      <c r="C18" s="1972">
        <f ca="1">SUM(C13:C17)</f>
        <v>36099</v>
      </c>
      <c r="D18" s="1973"/>
      <c r="E18" s="1974"/>
      <c r="F18" s="1974"/>
      <c r="G18" s="1975" t="s">
        <v>1301</v>
      </c>
      <c r="H18" s="1976"/>
      <c r="I18" s="1976"/>
      <c r="J18" s="1976"/>
      <c r="K18" s="2015"/>
    </row>
    <row r="19" spans="1:14" s="1828" customFormat="1" ht="13.5" customHeight="1">
      <c r="A19" s="1970" t="s">
        <v>1302</v>
      </c>
      <c r="B19" s="1971" t="s">
        <v>1303</v>
      </c>
      <c r="C19" s="1958">
        <f ca="1">ROUND(D19*E19/10000,0)</f>
        <v>0</v>
      </c>
      <c r="D19" s="1977">
        <f ca="1">D16</f>
        <v>128526.97</v>
      </c>
      <c r="E19" s="1958">
        <f>'数据-取费表'!B32</f>
        <v>0</v>
      </c>
      <c r="F19" s="1974"/>
      <c r="G19" s="1956" t="s">
        <v>1304</v>
      </c>
      <c r="H19" s="1959"/>
      <c r="I19" s="1976"/>
      <c r="J19" s="1976"/>
      <c r="K19" s="2015"/>
    </row>
    <row r="20" spans="1:14" s="1828" customFormat="1" ht="13.5" customHeight="1">
      <c r="A20" s="1970" t="s">
        <v>1305</v>
      </c>
      <c r="B20" s="1971" t="s">
        <v>1306</v>
      </c>
      <c r="C20" s="1958">
        <f ca="1">C21+C22-IF(B1="",'数据-取费表'!B29,IF(G20="已全部缴纳",C21+C22,H20))</f>
        <v>1349</v>
      </c>
      <c r="D20" s="1977"/>
      <c r="E20" s="1958"/>
      <c r="F20" s="1978"/>
      <c r="G20" s="1979"/>
      <c r="H20" s="1980"/>
      <c r="I20" s="2016" t="s">
        <v>1307</v>
      </c>
      <c r="J20" s="1976"/>
      <c r="K20" s="2015"/>
    </row>
    <row r="21" spans="1:14" s="1828" customFormat="1" ht="13.5" customHeight="1">
      <c r="A21" s="1960" t="s">
        <v>876</v>
      </c>
      <c r="B21" s="1961" t="s">
        <v>1308</v>
      </c>
      <c r="C21" s="121">
        <f ca="1">ROUND(D21*E21/10000,0)</f>
        <v>806</v>
      </c>
      <c r="D21" s="1962">
        <f ca="1">IF(B1="",'数据-汇总表'!E5,IF(INDIRECT("'数据-取费表'!c"&amp;$K$1)="住宅",INDIRECT("'数据-取费表'!k"&amp;$K$1),0))</f>
        <v>76796.87</v>
      </c>
      <c r="E21" s="121">
        <f>'数据-取费表'!B27</f>
        <v>105</v>
      </c>
      <c r="F21" s="1965"/>
      <c r="G21" s="937"/>
      <c r="H21" s="1981"/>
      <c r="I21" s="1981"/>
      <c r="J21" s="1981"/>
      <c r="K21" s="2017"/>
    </row>
    <row r="22" spans="1:14" s="1828" customFormat="1" ht="13.5" customHeight="1">
      <c r="A22" s="1960" t="s">
        <v>881</v>
      </c>
      <c r="B22" s="1961" t="s">
        <v>1309</v>
      </c>
      <c r="C22" s="121">
        <f ca="1">ROUND(D22*E22/10000,0)</f>
        <v>543</v>
      </c>
      <c r="D22" s="1962">
        <f ca="1">IF(B1="",'数据-汇总表'!E6,IF(INDIRECT("'数据-取费表'!c"&amp;$K$1)="住宅",INDIRECT("'数据-取费表'!s"&amp;$K$1),INDIRECT("'数据-取费表'!k"&amp;$K$1)+INDIRECT("'数据-取费表'!s"&amp;$K$1)))</f>
        <v>51730.100000000006</v>
      </c>
      <c r="E22" s="121">
        <f>'数据-取费表'!B28</f>
        <v>105</v>
      </c>
      <c r="F22" s="1965"/>
      <c r="G22" s="937"/>
      <c r="H22" s="1981"/>
      <c r="I22" s="1981"/>
      <c r="J22" s="1981"/>
      <c r="K22" s="2017"/>
    </row>
    <row r="23" spans="1:14" s="1828" customFormat="1" ht="13.5" customHeight="1">
      <c r="A23" s="1970" t="s">
        <v>1310</v>
      </c>
      <c r="B23" s="1982" t="s">
        <v>1311</v>
      </c>
      <c r="C23" s="1972">
        <f ca="1">ROUND((C18+C19+C20)*F23,0)</f>
        <v>374</v>
      </c>
      <c r="D23" s="1974"/>
      <c r="E23" s="1974"/>
      <c r="F23" s="1983">
        <f>'数据-取费表'!B37</f>
        <v>0.01</v>
      </c>
      <c r="G23" s="1956" t="s">
        <v>1312</v>
      </c>
      <c r="H23" s="1959"/>
      <c r="I23" s="1959"/>
      <c r="J23" s="1959"/>
      <c r="K23" s="2013"/>
      <c r="L23" s="1932"/>
      <c r="M23" s="1932"/>
      <c r="N23" s="1932"/>
    </row>
    <row r="24" spans="1:14" s="1828" customFormat="1" ht="13.5" customHeight="1">
      <c r="A24" s="1970" t="s">
        <v>1313</v>
      </c>
      <c r="B24" s="1982" t="s">
        <v>1314</v>
      </c>
      <c r="C24" s="1972">
        <f ca="1">ROUND(C6*F24,0)</f>
        <v>1520</v>
      </c>
      <c r="D24" s="1967"/>
      <c r="E24" s="1887"/>
      <c r="F24" s="1983">
        <f>'数据-取费表'!B38</f>
        <v>0.01</v>
      </c>
      <c r="G24" s="1984" t="s">
        <v>1315</v>
      </c>
      <c r="H24" s="1969"/>
      <c r="I24" s="1969"/>
      <c r="J24" s="1969"/>
      <c r="K24" s="2014"/>
      <c r="L24" s="1932"/>
      <c r="M24" s="1932"/>
      <c r="N24" s="1932"/>
    </row>
    <row r="25" spans="1:14" s="1830" customFormat="1" ht="13.5" customHeight="1">
      <c r="A25" s="1970" t="s">
        <v>1316</v>
      </c>
      <c r="B25" s="1982" t="s">
        <v>1317</v>
      </c>
      <c r="C25" s="1882">
        <f>ROUND(F25/(1+'数据-取费表'!C42),4)</f>
        <v>2.9000000000000001E-2</v>
      </c>
      <c r="D25" s="1875" t="s">
        <v>1318</v>
      </c>
      <c r="E25" s="1879"/>
      <c r="F25" s="1983">
        <f>IF(项目基本情况!B8="出让",0,'数据-取费表'!B48+'数据-取费表'!B49)</f>
        <v>3.0499999999999999E-2</v>
      </c>
      <c r="G25" s="1985" t="s">
        <v>1319</v>
      </c>
      <c r="H25" s="1959"/>
      <c r="I25" s="1959"/>
      <c r="J25" s="1959"/>
      <c r="K25" s="2013"/>
    </row>
    <row r="26" spans="1:14" s="1932" customFormat="1" ht="13.5" customHeight="1">
      <c r="A26" s="1970" t="s">
        <v>1320</v>
      </c>
      <c r="B26" s="1986" t="s">
        <v>1321</v>
      </c>
      <c r="C26" s="1987">
        <f ca="1">C28</f>
        <v>1869</v>
      </c>
      <c r="D26" s="1882">
        <f ca="1">C27</f>
        <v>0.10009999999999999</v>
      </c>
      <c r="E26" s="1879" t="s">
        <v>1318</v>
      </c>
      <c r="F26" s="1883">
        <f ca="1">'数据-取费表'!B40</f>
        <v>4.7500000000000001E-2</v>
      </c>
      <c r="G26" s="870" t="str">
        <f>IF('数据-取费表'!B22&lt;=1,"单利计息。","复利计息。")&amp;"后续开发成本、管理费用及销售费用产生的利息。"</f>
        <v>复利计息。后续开发成本、管理费用及销售费用产生的利息。</v>
      </c>
      <c r="H26" s="1976"/>
      <c r="I26" s="1976"/>
      <c r="J26" s="1976"/>
      <c r="K26" s="2015"/>
    </row>
    <row r="27" spans="1:14" s="1832" customFormat="1" ht="13.5" customHeight="1">
      <c r="A27" s="1063" t="s">
        <v>876</v>
      </c>
      <c r="B27" s="1988" t="s">
        <v>1322</v>
      </c>
      <c r="C27" s="1989">
        <f ca="1">ROUND(IF('数据-取费表'!B22&lt;=1,(1+C25)*F26*'数据-取费表'!B24,(1+C25)*(POWER((1+F26),'数据-取费表'!B24)-1)),4)</f>
        <v>0.10009999999999999</v>
      </c>
      <c r="D27" s="1886"/>
      <c r="E27" s="1887"/>
      <c r="F27" s="1888"/>
      <c r="G27" s="870" t="str">
        <f>IF('数据-取费表'!B22&lt;=1,"（1+取得税费率/(1+5%)）×年利率×建设期","（1+取得税费率）/(1+5%)×((1+年利率)^建设期-1)")</f>
        <v>（1+取得税费率）/(1+5%)×((1+年利率)^建设期-1)</v>
      </c>
      <c r="H27" s="1969"/>
      <c r="I27" s="1969"/>
      <c r="J27" s="1969"/>
      <c r="K27" s="2014"/>
    </row>
    <row r="28" spans="1:14" s="1832" customFormat="1" ht="13.5" customHeight="1">
      <c r="A28" s="1063" t="s">
        <v>881</v>
      </c>
      <c r="B28" s="1988" t="s">
        <v>1323</v>
      </c>
      <c r="C28" s="1990">
        <f ca="1">ROUND(IF('数据-取费表'!B22&lt;=1,(C18+C19+C20+C23+C24)*F26*'数据-取费表'!B24/2,(C18+C19+C20+C23+C24)*(POWER((1+F26),'数据-取费表'!B24/2)-1)),0)</f>
        <v>1869</v>
      </c>
      <c r="D28" s="1886"/>
      <c r="E28" s="1887"/>
      <c r="F28" s="1888"/>
      <c r="G28" s="870" t="str">
        <f>IF('数据-取费表'!B22&lt;=1,"（1）-（4）项×年利率×建设期÷2","（1）-（4）项×((1+年利率)^(建设期÷2)-1)")</f>
        <v>（1）-（4）项×((1+年利率)^(建设期÷2)-1)</v>
      </c>
      <c r="H28" s="1969"/>
      <c r="I28" s="1969"/>
      <c r="J28" s="1969"/>
      <c r="K28" s="2014"/>
    </row>
    <row r="29" spans="1:14" s="1832" customFormat="1" ht="13.5" customHeight="1">
      <c r="A29" s="1991" t="s">
        <v>1324</v>
      </c>
      <c r="B29" s="1971" t="s">
        <v>1325</v>
      </c>
      <c r="C29" s="1972">
        <f ca="1">ROUND(C6*F29/(1+'数据-取费表'!C42),0)</f>
        <v>8105</v>
      </c>
      <c r="D29" s="1974"/>
      <c r="E29" s="1974"/>
      <c r="F29" s="1992">
        <f>'数据-取费表'!B41</f>
        <v>5.6000000000000001E-2</v>
      </c>
      <c r="G29" s="1984" t="s">
        <v>1326</v>
      </c>
      <c r="H29" s="1959"/>
      <c r="I29" s="1959"/>
      <c r="J29" s="1959"/>
      <c r="K29" s="2013"/>
    </row>
    <row r="30" spans="1:14" s="1831" customFormat="1" ht="13.5" customHeight="1">
      <c r="A30" s="1993" t="s">
        <v>1327</v>
      </c>
      <c r="B30" s="1994" t="s">
        <v>1328</v>
      </c>
      <c r="C30" s="1987">
        <f ca="1">C31</f>
        <v>49316</v>
      </c>
      <c r="D30" s="1901">
        <f ca="1">C32</f>
        <v>0.12909999999999999</v>
      </c>
      <c r="E30" s="1879" t="s">
        <v>1318</v>
      </c>
      <c r="F30" s="1883"/>
      <c r="G30" s="1985" t="s">
        <v>1329</v>
      </c>
      <c r="H30" s="1959"/>
      <c r="I30" s="1959"/>
      <c r="J30" s="1959"/>
      <c r="K30" s="2013"/>
    </row>
    <row r="31" spans="1:14" s="1832" customFormat="1" ht="13.5" customHeight="1">
      <c r="A31" s="1063" t="s">
        <v>876</v>
      </c>
      <c r="B31" s="1988"/>
      <c r="C31" s="1863">
        <f ca="1">C18+C19+C20+C23+C24+C26+C29</f>
        <v>49316</v>
      </c>
      <c r="D31" s="1886"/>
      <c r="E31" s="1887"/>
      <c r="F31" s="1888"/>
      <c r="G31" s="866"/>
      <c r="H31" s="1969"/>
      <c r="I31" s="1969"/>
      <c r="J31" s="1969"/>
      <c r="K31" s="2014"/>
    </row>
    <row r="32" spans="1:14" s="1832" customFormat="1" ht="13.5" customHeight="1">
      <c r="A32" s="1063" t="s">
        <v>881</v>
      </c>
      <c r="B32" s="1988"/>
      <c r="C32" s="121">
        <f ca="1">ROUND(C25+D26,4)</f>
        <v>0.12909999999999999</v>
      </c>
      <c r="D32" s="1886"/>
      <c r="E32" s="1887"/>
      <c r="F32" s="1888"/>
      <c r="G32" s="866"/>
      <c r="H32" s="1969"/>
      <c r="I32" s="1969"/>
      <c r="J32" s="1969"/>
      <c r="K32" s="2014"/>
    </row>
    <row r="33" spans="1:11" s="1936" customFormat="1" ht="13.5" customHeight="1">
      <c r="A33" s="1995" t="s">
        <v>1330</v>
      </c>
      <c r="B33" s="1891" t="s">
        <v>1331</v>
      </c>
      <c r="C33" s="1892">
        <f ca="1">C35</f>
        <v>3147</v>
      </c>
      <c r="D33" s="1882">
        <f ca="1">C34</f>
        <v>8.2299999999999998E-2</v>
      </c>
      <c r="E33" s="1879" t="s">
        <v>1318</v>
      </c>
      <c r="F33" s="1810">
        <f ca="1">IF(B1="",'数据-取费表'!Q16,INDIRECT("'数据-取费表'!q"&amp;$K$1))</f>
        <v>0.08</v>
      </c>
      <c r="G33" s="1975"/>
      <c r="H33" s="1976"/>
      <c r="I33" s="1976"/>
      <c r="J33" s="1976"/>
      <c r="K33" s="2015"/>
    </row>
    <row r="34" spans="1:11" s="1937" customFormat="1" ht="13.5" customHeight="1">
      <c r="A34" s="1996" t="s">
        <v>876</v>
      </c>
      <c r="B34" s="1997" t="s">
        <v>1332</v>
      </c>
      <c r="C34" s="1886">
        <f ca="1">ROUND((1+C25)*F33,4)</f>
        <v>8.2299999999999998E-2</v>
      </c>
      <c r="D34" s="1886"/>
      <c r="E34" s="1887"/>
      <c r="F34" s="1894"/>
      <c r="G34" s="866" t="s">
        <v>1333</v>
      </c>
      <c r="H34" s="1969"/>
      <c r="I34" s="1969"/>
      <c r="J34" s="1969"/>
      <c r="K34" s="2014"/>
    </row>
    <row r="35" spans="1:11" s="1937" customFormat="1" ht="13.5" customHeight="1">
      <c r="A35" s="1998" t="s">
        <v>881</v>
      </c>
      <c r="B35" s="1999" t="s">
        <v>1334</v>
      </c>
      <c r="C35" s="2000">
        <f ca="1">ROUND((C18+C19+C20+C23+C24)*F33,0)</f>
        <v>3147</v>
      </c>
      <c r="D35" s="2001"/>
      <c r="E35" s="2002"/>
      <c r="F35" s="2003"/>
      <c r="G35" s="1951"/>
      <c r="H35" s="2004"/>
      <c r="I35" s="2004"/>
      <c r="J35" s="2004"/>
      <c r="K35" s="2018"/>
    </row>
    <row r="36" spans="1:11" s="917" customFormat="1" ht="13.5" customHeight="1">
      <c r="A36" s="2005" t="s">
        <v>1335</v>
      </c>
      <c r="B36" s="2006"/>
      <c r="C36" s="2007">
        <f ca="1">ROUND((C6-C30-C33)/(1+D30+D33),0)</f>
        <v>82141</v>
      </c>
      <c r="D36" s="2006"/>
      <c r="E36" s="2006"/>
      <c r="F36" s="2006"/>
      <c r="G36" s="2008" t="s">
        <v>1336</v>
      </c>
      <c r="H36" s="2006"/>
      <c r="I36" s="2006"/>
      <c r="J36" s="2006"/>
      <c r="K36" s="2019"/>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34" customWidth="1"/>
    <col min="2" max="2" width="25.75" style="1835" customWidth="1"/>
    <col min="3" max="3" width="10.375" style="1836" customWidth="1"/>
    <col min="4" max="4" width="12" style="1835" customWidth="1"/>
    <col min="5" max="5" width="9.5" style="1834" customWidth="1"/>
    <col min="6" max="6" width="10.125" style="1835" customWidth="1"/>
    <col min="7" max="7" width="9.5" style="1835" customWidth="1"/>
    <col min="8" max="8" width="10" style="1835" customWidth="1"/>
    <col min="9" max="11" width="9.5" style="1835" customWidth="1"/>
    <col min="12" max="12" width="9" style="1835" customWidth="1"/>
    <col min="13" max="13" width="10.5" style="1835" customWidth="1"/>
    <col min="14" max="254" width="9" style="1835" customWidth="1"/>
    <col min="255" max="16384" width="6.625" style="1835"/>
  </cols>
  <sheetData>
    <row r="1" spans="1:41" s="153" customFormat="1" ht="20.25">
      <c r="A1" s="703" t="s">
        <v>1273</v>
      </c>
      <c r="B1" s="1837"/>
      <c r="C1" s="1838"/>
      <c r="D1" s="1838"/>
      <c r="E1" s="1838"/>
      <c r="F1" s="1838"/>
      <c r="G1" s="1838"/>
      <c r="H1" s="1838"/>
      <c r="I1" s="1838"/>
      <c r="J1" s="1838"/>
      <c r="K1" s="1922">
        <f>MATCH(B1,'数据-取费表'!A6:A16,0)+5</f>
        <v>9</v>
      </c>
    </row>
    <row r="2" spans="1:41" s="153" customFormat="1" ht="18" customHeight="1">
      <c r="A2" s="205" t="s">
        <v>916</v>
      </c>
      <c r="B2" s="1839">
        <f ca="1">C32</f>
        <v>0</v>
      </c>
      <c r="C2" s="1838"/>
      <c r="D2" s="1838"/>
      <c r="E2" s="1838"/>
      <c r="F2" s="1838"/>
      <c r="G2" s="1838"/>
      <c r="H2" s="1838"/>
      <c r="I2" s="1838"/>
      <c r="J2" s="1838"/>
      <c r="K2" s="1838"/>
    </row>
    <row r="3" spans="1:41" s="153" customFormat="1" ht="18" customHeight="1">
      <c r="A3" s="708" t="s">
        <v>917</v>
      </c>
      <c r="B3" s="707">
        <f ca="1">ROUND(B2*10000/IF(B1="",'数据-汇总表'!E3,INDIRECT("'数据-取费表'!K"&amp;$K$1)),0)</f>
        <v>0</v>
      </c>
      <c r="C3" s="1838"/>
      <c r="D3" s="1838"/>
      <c r="E3" s="1838"/>
      <c r="F3" s="1838"/>
      <c r="G3" s="1838"/>
      <c r="H3" s="1838"/>
      <c r="I3" s="1838"/>
      <c r="J3" s="1838"/>
      <c r="K3" s="1838"/>
    </row>
    <row r="4" spans="1:41" s="153" customFormat="1" ht="18" customHeight="1">
      <c r="A4" s="709" t="s">
        <v>1274</v>
      </c>
      <c r="B4" s="710">
        <f ca="1">ROUND(B2*10000/IF(B1="",'数据-汇总表'!D3,INDIRECT("'数据-取费表'!R"&amp;$K$1)),0)</f>
        <v>0</v>
      </c>
      <c r="C4" s="565"/>
      <c r="D4" s="1838"/>
      <c r="E4" s="1838"/>
      <c r="F4" s="1838"/>
      <c r="G4" s="1838"/>
      <c r="H4" s="1838"/>
      <c r="I4" s="1838"/>
      <c r="J4" s="1838"/>
      <c r="K4" s="1838"/>
    </row>
    <row r="5" spans="1:41" s="153" customFormat="1" ht="18" customHeight="1">
      <c r="A5" s="711"/>
      <c r="B5" s="712">
        <f ca="1">ROUND(B2/(IF(B1="",'数据-汇总表'!D3,INDIRECT("'数据-取费表'!R"&amp;$K$1))/666.67),0)</f>
        <v>0</v>
      </c>
      <c r="C5" s="713" t="s">
        <v>919</v>
      </c>
      <c r="D5" s="1838"/>
      <c r="E5" s="1838"/>
      <c r="F5" s="1838"/>
      <c r="G5" s="1838"/>
      <c r="H5" s="1838"/>
      <c r="I5" s="1838"/>
      <c r="J5" s="1838"/>
      <c r="K5" s="1838"/>
    </row>
    <row r="6" spans="1:41" s="1825" customFormat="1" ht="16.5" customHeight="1">
      <c r="A6" s="1840" t="s">
        <v>1337</v>
      </c>
      <c r="B6" s="1841"/>
      <c r="C6" s="1842">
        <f>SUM(C10:K10)</f>
        <v>0</v>
      </c>
      <c r="D6" s="1843"/>
      <c r="E6" s="1843"/>
      <c r="F6" s="1843"/>
      <c r="G6" s="1843"/>
      <c r="H6" s="1843"/>
      <c r="I6" s="1843"/>
      <c r="J6" s="1843"/>
      <c r="K6" s="1923"/>
    </row>
    <row r="7" spans="1:41" s="1826" customFormat="1" ht="15">
      <c r="A7" s="1844" t="s">
        <v>1276</v>
      </c>
      <c r="B7" s="1845" t="s">
        <v>1277</v>
      </c>
      <c r="C7" s="1846"/>
      <c r="D7" s="1846"/>
      <c r="E7" s="1846"/>
      <c r="F7" s="1846"/>
      <c r="G7" s="1846"/>
      <c r="H7" s="1846"/>
      <c r="I7" s="1846"/>
      <c r="J7" s="1846"/>
      <c r="K7" s="1924"/>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1925"/>
      <c r="AM7" s="1925"/>
      <c r="AN7" s="1925"/>
      <c r="AO7" s="1925"/>
    </row>
    <row r="8" spans="1:41" s="1827" customFormat="1" ht="13.5" customHeight="1">
      <c r="A8" s="1847" t="s">
        <v>852</v>
      </c>
      <c r="B8" s="1848" t="s">
        <v>1279</v>
      </c>
      <c r="C8" s="1849"/>
      <c r="D8" s="1849"/>
      <c r="E8" s="1849"/>
      <c r="F8" s="1849"/>
      <c r="G8" s="1849"/>
      <c r="H8" s="1849"/>
      <c r="I8" s="1849"/>
      <c r="J8" s="1849"/>
      <c r="K8" s="1926"/>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row>
    <row r="9" spans="1:41" s="1827" customFormat="1" ht="13.5" customHeight="1">
      <c r="A9" s="1847" t="s">
        <v>854</v>
      </c>
      <c r="B9" s="1848" t="s">
        <v>442</v>
      </c>
      <c r="C9" s="1850">
        <f>SUMIF('数据-汇总表'!$C19:$C33,'剩余法-现房'!C7,'数据-汇总表'!$E19:$E33)</f>
        <v>0</v>
      </c>
      <c r="D9" s="1850">
        <f>SUMIF('数据-汇总表'!$C19:$C33,'剩余法-现房'!D7,'数据-汇总表'!$E19:$E33)</f>
        <v>0</v>
      </c>
      <c r="E9" s="1850">
        <f>SUMIF('数据-汇总表'!$C19:$C33,'剩余法-现房'!E7,'数据-汇总表'!$E19:$E33)</f>
        <v>0</v>
      </c>
      <c r="F9" s="1850">
        <f>SUMIF('数据-汇总表'!$C19:$C33,'剩余法-现房'!F7,'数据-汇总表'!$E19:$E33)</f>
        <v>0</v>
      </c>
      <c r="G9" s="1850">
        <f>SUMIF('数据-汇总表'!$C19:$C33,'剩余法-现房'!G7,'数据-汇总表'!$E19:$E33)</f>
        <v>0</v>
      </c>
      <c r="H9" s="1850">
        <f>SUMIF('数据-汇总表'!$C19:$C33,'剩余法-现房'!H7,'数据-汇总表'!$E19:$E33)</f>
        <v>0</v>
      </c>
      <c r="I9" s="1850">
        <f>SUMIF('数据-汇总表'!$C19:$C33,'剩余法-现房'!I7,'数据-汇总表'!$E19:$E33)</f>
        <v>0</v>
      </c>
      <c r="J9" s="1850">
        <f>SUMIF('数据-汇总表'!$C19:$C33,'剩余法-现房'!J7,'数据-汇总表'!$E19:$E33)</f>
        <v>0</v>
      </c>
      <c r="K9" s="1927">
        <f>SUMIF('数据-汇总表'!$C19:$C33,'剩余法-现房'!K7,'数据-汇总表'!$E19:$E33)</f>
        <v>0</v>
      </c>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row>
    <row r="10" spans="1:41" s="1827" customFormat="1" ht="13.5" customHeight="1">
      <c r="A10" s="1851" t="s">
        <v>1280</v>
      </c>
      <c r="B10" s="1852" t="s">
        <v>1281</v>
      </c>
      <c r="C10" s="1853"/>
      <c r="D10" s="1853"/>
      <c r="E10" s="1853"/>
      <c r="F10" s="1854"/>
      <c r="G10" s="1854"/>
      <c r="H10" s="1854"/>
      <c r="I10" s="1854"/>
      <c r="J10" s="1854"/>
      <c r="K10" s="1928"/>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row>
    <row r="11" spans="1:41" s="1825" customFormat="1" ht="16.5" customHeight="1">
      <c r="A11" s="1855" t="s">
        <v>1338</v>
      </c>
      <c r="B11" s="1856"/>
      <c r="C11" s="1856"/>
      <c r="D11" s="1856"/>
      <c r="E11" s="1856"/>
      <c r="F11" s="1856"/>
      <c r="G11" s="1856"/>
      <c r="H11" s="1856"/>
      <c r="I11" s="1856"/>
      <c r="J11" s="1856"/>
      <c r="K11" s="1929"/>
    </row>
    <row r="12" spans="1:41" s="917" customFormat="1" ht="13.5" customHeight="1">
      <c r="A12" s="1844" t="s">
        <v>1276</v>
      </c>
      <c r="B12" s="1857" t="s">
        <v>1277</v>
      </c>
      <c r="C12" s="1858" t="s">
        <v>1283</v>
      </c>
      <c r="D12" s="1859" t="s">
        <v>1284</v>
      </c>
      <c r="E12" s="1859" t="s">
        <v>1285</v>
      </c>
      <c r="F12" s="1859" t="s">
        <v>1286</v>
      </c>
      <c r="G12" s="1857"/>
      <c r="H12" s="1860"/>
      <c r="I12" s="1860"/>
      <c r="J12" s="1860"/>
      <c r="K12" s="1930"/>
    </row>
    <row r="13" spans="1:41" s="1828" customFormat="1" ht="13.5" customHeight="1">
      <c r="A13" s="1861" t="s">
        <v>876</v>
      </c>
      <c r="B13" s="1862" t="s">
        <v>1287</v>
      </c>
      <c r="C13" s="1863">
        <f ca="1">IF(B1="",'数据-取费表'!M16,INDIRECT("'数据-取费表'!M"&amp;$K$1)+INDIRECT("'数据-取费表'!t"&amp;$K$1))</f>
        <v>30580</v>
      </c>
      <c r="D13" s="1864"/>
      <c r="E13" s="78"/>
      <c r="F13" s="1865"/>
      <c r="G13" s="1857"/>
      <c r="H13" s="1860"/>
      <c r="I13" s="1860"/>
      <c r="J13" s="1860"/>
      <c r="K13" s="1930"/>
    </row>
    <row r="14" spans="1:41" s="1828" customFormat="1" ht="13.5" customHeight="1">
      <c r="A14" s="1861" t="s">
        <v>1288</v>
      </c>
      <c r="B14" s="1862" t="s">
        <v>1289</v>
      </c>
      <c r="C14" s="121">
        <f ca="1">ROUND(C13*F14,0)</f>
        <v>1529</v>
      </c>
      <c r="D14" s="1864"/>
      <c r="E14" s="78"/>
      <c r="F14" s="1866">
        <f>'数据-取费表'!B33</f>
        <v>0.05</v>
      </c>
      <c r="G14" s="1857" t="s">
        <v>1290</v>
      </c>
      <c r="H14" s="1860"/>
      <c r="I14" s="1860"/>
      <c r="J14" s="1860"/>
      <c r="K14" s="1930"/>
    </row>
    <row r="15" spans="1:41" s="1828" customFormat="1" ht="13.5" customHeight="1">
      <c r="A15" s="1861" t="s">
        <v>1291</v>
      </c>
      <c r="B15" s="1862" t="s">
        <v>1292</v>
      </c>
      <c r="C15" s="121">
        <f ca="1">ROUND(IF(B1="",SUMIF('数据-取费表'!C:C,"住宅",'数据-取费表'!M:M)*F15,IF(INDIRECT("'数据-取费表'!c"&amp;$K$1)="住宅",INDIRECT("'数据-取费表'!M"&amp;$K$1)*F15,0)),0)</f>
        <v>960</v>
      </c>
      <c r="D15" s="1864"/>
      <c r="E15" s="78"/>
      <c r="F15" s="1866">
        <f>'数据-取费表'!B34</f>
        <v>0.05</v>
      </c>
      <c r="G15" s="1857" t="s">
        <v>1290</v>
      </c>
      <c r="H15" s="1860"/>
      <c r="I15" s="1860"/>
      <c r="J15" s="1860"/>
      <c r="K15" s="1930"/>
    </row>
    <row r="16" spans="1:41" s="1829" customFormat="1" ht="13.5" customHeight="1">
      <c r="A16" s="1861" t="s">
        <v>1294</v>
      </c>
      <c r="B16" s="1862" t="s">
        <v>1295</v>
      </c>
      <c r="C16" s="121">
        <f ca="1">ROUND(D16*E16/10000,0)</f>
        <v>2571</v>
      </c>
      <c r="D16" s="1864">
        <f ca="1">IF(B1="",'数据-汇总表'!E3,INDIRECT("'数据-取费表'!K"&amp;$K$1)+INDIRECT("'数据-取费表'!S"&amp;$K$1))</f>
        <v>128526.97</v>
      </c>
      <c r="E16" s="121">
        <f>'数据-取费表'!B35</f>
        <v>200</v>
      </c>
      <c r="F16" s="1866"/>
      <c r="G16" s="1857"/>
      <c r="H16" s="1860"/>
      <c r="I16" s="1860"/>
      <c r="J16" s="1860"/>
      <c r="K16" s="1930"/>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8"/>
      <c r="AO16" s="1828"/>
    </row>
    <row r="17" spans="1:14" s="1828" customFormat="1" ht="13.5" customHeight="1">
      <c r="A17" s="1861" t="s">
        <v>1296</v>
      </c>
      <c r="B17" s="1862" t="s">
        <v>1297</v>
      </c>
      <c r="C17" s="1867">
        <f ca="1">ROUND(C13*F17,0)</f>
        <v>459</v>
      </c>
      <c r="D17" s="1868"/>
      <c r="E17" s="1867"/>
      <c r="F17" s="1869">
        <f>'数据-取费表'!B36</f>
        <v>1.4999999999999999E-2</v>
      </c>
      <c r="G17" s="1857" t="s">
        <v>1290</v>
      </c>
      <c r="H17" s="1870"/>
      <c r="I17" s="1870"/>
      <c r="J17" s="1870"/>
      <c r="K17" s="1931"/>
    </row>
    <row r="18" spans="1:14" s="1830" customFormat="1" ht="13.5" customHeight="1">
      <c r="A18" s="1871" t="s">
        <v>1299</v>
      </c>
      <c r="B18" s="1872" t="s">
        <v>1300</v>
      </c>
      <c r="C18" s="1873">
        <f ca="1">SUM(C13:C17)</f>
        <v>36099</v>
      </c>
      <c r="D18" s="1874"/>
      <c r="E18" s="1875"/>
      <c r="F18" s="1875"/>
      <c r="G18" s="1876" t="s">
        <v>1339</v>
      </c>
      <c r="H18" s="1860"/>
      <c r="I18" s="1860"/>
      <c r="J18" s="1860"/>
      <c r="K18" s="1930"/>
    </row>
    <row r="19" spans="1:14" s="1830" customFormat="1" ht="13.5" customHeight="1">
      <c r="A19" s="1871" t="s">
        <v>1302</v>
      </c>
      <c r="B19" s="1872" t="s">
        <v>1340</v>
      </c>
      <c r="C19" s="1873">
        <f ca="1">ROUND(C18*F19,0)</f>
        <v>361</v>
      </c>
      <c r="D19" s="1875"/>
      <c r="E19" s="1875"/>
      <c r="F19" s="1877">
        <f>'数据-取费表'!B37</f>
        <v>0.01</v>
      </c>
      <c r="G19" s="1857" t="s">
        <v>1341</v>
      </c>
      <c r="H19" s="1860"/>
      <c r="I19" s="1860"/>
      <c r="J19" s="1860"/>
      <c r="K19" s="1930"/>
      <c r="L19" s="1831"/>
      <c r="M19" s="1831"/>
      <c r="N19" s="1831"/>
    </row>
    <row r="20" spans="1:14" s="1830" customFormat="1" ht="13.5" customHeight="1">
      <c r="A20" s="1871" t="s">
        <v>1305</v>
      </c>
      <c r="B20" s="1872" t="s">
        <v>1342</v>
      </c>
      <c r="C20" s="1878">
        <f>F20</f>
        <v>0.01</v>
      </c>
      <c r="D20" s="1879" t="s">
        <v>1343</v>
      </c>
      <c r="E20" s="1879"/>
      <c r="F20" s="1880">
        <f>'数据-取费表'!B38</f>
        <v>0.01</v>
      </c>
      <c r="G20" s="1876" t="s">
        <v>1344</v>
      </c>
      <c r="H20" s="1860"/>
      <c r="I20" s="1860"/>
      <c r="J20" s="1860"/>
      <c r="K20" s="1930"/>
      <c r="L20" s="1831"/>
      <c r="M20" s="1831"/>
      <c r="N20" s="1831"/>
    </row>
    <row r="21" spans="1:14" s="1831" customFormat="1" ht="13.5" customHeight="1">
      <c r="A21" s="1871" t="s">
        <v>1310</v>
      </c>
      <c r="B21" s="1874" t="s">
        <v>1345</v>
      </c>
      <c r="C21" s="1881">
        <f ca="1">C22</f>
        <v>1732</v>
      </c>
      <c r="D21" s="1882">
        <f ca="1">C23</f>
        <v>5.0000000000000001E-4</v>
      </c>
      <c r="E21" s="1879" t="s">
        <v>1346</v>
      </c>
      <c r="F21" s="1883">
        <f ca="1">'数据-取费表'!B40</f>
        <v>4.7500000000000001E-2</v>
      </c>
      <c r="G21" s="1876" t="str">
        <f>IF('数据-取费表'!B22&lt;=1,"单利计息。","复利计息。")&amp;"建造成本、管理费用及销售费用产生的利息。"</f>
        <v>复利计息。建造成本、管理费用及销售费用产生的利息。</v>
      </c>
      <c r="H21" s="1860"/>
      <c r="I21" s="1860"/>
      <c r="J21" s="1860"/>
      <c r="K21" s="1930"/>
      <c r="L21" s="1932" t="s">
        <v>1347</v>
      </c>
    </row>
    <row r="22" spans="1:14" s="1832" customFormat="1" ht="13.5" customHeight="1">
      <c r="A22" s="1861" t="s">
        <v>876</v>
      </c>
      <c r="B22" s="1884" t="s">
        <v>1348</v>
      </c>
      <c r="C22" s="1885">
        <f ca="1">ROUND(IF('数据-取费表'!B22&lt;=1,(C18+C19)*F21*'数据-取费表'!B20/2,(C18+C19)*(POWER((1+F21),'数据-取费表'!B20/2)-1)),0)</f>
        <v>1732</v>
      </c>
      <c r="D22" s="1886"/>
      <c r="E22" s="1887"/>
      <c r="F22" s="1888"/>
      <c r="G22" s="1889" t="str">
        <f>IF('数据-取费表'!B22&lt;=1,"((1)+(2))×年利率×建设期÷2","((1)+(2))×((1+年利率)^(建设期÷2)-1)")</f>
        <v>((1)+(2))×((1+年利率)^(建设期÷2)-1)</v>
      </c>
      <c r="H22" s="1870"/>
      <c r="I22" s="1870"/>
      <c r="J22" s="1870"/>
      <c r="K22" s="1931"/>
    </row>
    <row r="23" spans="1:14" s="1832" customFormat="1" ht="13.5" customHeight="1">
      <c r="A23" s="1861" t="s">
        <v>1288</v>
      </c>
      <c r="B23" s="1884" t="s">
        <v>1349</v>
      </c>
      <c r="C23" s="1890">
        <f ca="1">ROUND(IF('数据-取费表'!B22&lt;=1,F20*F21*'数据-取费表'!B20/2,F20*(POWER((1+F21),'数据-取费表'!B20/2)-1)),4)</f>
        <v>5.0000000000000001E-4</v>
      </c>
      <c r="D23" s="1886"/>
      <c r="E23" s="1887"/>
      <c r="F23" s="1888"/>
      <c r="G23" s="1889" t="str">
        <f>IF('数据-取费表'!B22&lt;=1,"销售费用率×年利率×建设期÷2","销售费用率×((1+年利率)^(建设期÷2)-1)")</f>
        <v>销售费用率×((1+年利率)^(建设期÷2)-1)</v>
      </c>
      <c r="H23" s="1870"/>
      <c r="I23" s="1870"/>
      <c r="J23" s="1870"/>
      <c r="K23" s="1931"/>
    </row>
    <row r="24" spans="1:14" s="1832" customFormat="1" ht="13.5" customHeight="1">
      <c r="A24" s="1871" t="s">
        <v>1313</v>
      </c>
      <c r="B24" s="1891" t="s">
        <v>1331</v>
      </c>
      <c r="C24" s="1892">
        <f ca="1">C25</f>
        <v>2917</v>
      </c>
      <c r="D24" s="1893">
        <f ca="1">C26</f>
        <v>8.0000000000000004E-4</v>
      </c>
      <c r="E24" s="1879" t="s">
        <v>1346</v>
      </c>
      <c r="F24" s="1810">
        <f ca="1">IF(B1="",'数据-取费表'!Q16,INDIRECT("'数据-取费表'!q"&amp;$K$1))</f>
        <v>0.08</v>
      </c>
      <c r="G24" s="1857"/>
      <c r="H24" s="1860"/>
      <c r="I24" s="1860"/>
      <c r="J24" s="1860"/>
      <c r="K24" s="1930"/>
    </row>
    <row r="25" spans="1:14" s="1832" customFormat="1" ht="13.5" customHeight="1">
      <c r="A25" s="1861" t="s">
        <v>876</v>
      </c>
      <c r="B25" s="1884" t="s">
        <v>1350</v>
      </c>
      <c r="C25" s="182">
        <f ca="1">ROUND((C18+C19)*F24,0)</f>
        <v>2917</v>
      </c>
      <c r="D25" s="1886"/>
      <c r="E25" s="1887"/>
      <c r="F25" s="1894"/>
      <c r="G25" s="1895" t="s">
        <v>1351</v>
      </c>
      <c r="H25" s="1870"/>
      <c r="I25" s="1870"/>
      <c r="J25" s="1870"/>
      <c r="K25" s="1931"/>
    </row>
    <row r="26" spans="1:14" s="1832" customFormat="1" ht="13.5" customHeight="1">
      <c r="A26" s="1861" t="s">
        <v>1288</v>
      </c>
      <c r="B26" s="1884" t="s">
        <v>1352</v>
      </c>
      <c r="C26" s="183">
        <f ca="1">ROUND(F20*F24,4)</f>
        <v>8.0000000000000004E-4</v>
      </c>
      <c r="D26" s="1886"/>
      <c r="E26" s="1896"/>
      <c r="F26" s="1894"/>
      <c r="G26" s="1895" t="s">
        <v>1353</v>
      </c>
      <c r="H26" s="1870"/>
      <c r="I26" s="1870"/>
      <c r="J26" s="1870"/>
      <c r="K26" s="1931"/>
    </row>
    <row r="27" spans="1:14" s="1832" customFormat="1" ht="13.5" customHeight="1">
      <c r="A27" s="1897" t="s">
        <v>910</v>
      </c>
      <c r="B27" s="1872" t="s">
        <v>1325</v>
      </c>
      <c r="C27" s="1898">
        <f>ROUND(F27/(1+'数据-取费表'!C42),4)</f>
        <v>5.33E-2</v>
      </c>
      <c r="D27" s="1875" t="s">
        <v>1346</v>
      </c>
      <c r="E27" s="1875"/>
      <c r="F27" s="1877">
        <f>'数据-取费表'!B41</f>
        <v>5.6000000000000001E-2</v>
      </c>
      <c r="G27" s="1899" t="s">
        <v>1354</v>
      </c>
      <c r="H27" s="1860"/>
      <c r="I27" s="1860"/>
      <c r="J27" s="1860"/>
      <c r="K27" s="1930"/>
    </row>
    <row r="28" spans="1:14" s="1831" customFormat="1" ht="13.5" customHeight="1">
      <c r="A28" s="1897" t="s">
        <v>1355</v>
      </c>
      <c r="B28" s="1900" t="s">
        <v>1356</v>
      </c>
      <c r="C28" s="1881">
        <f ca="1">ROUND((C18+C19+C21+C24)/(1-C20-D21-D24-C27),0)</f>
        <v>43948</v>
      </c>
      <c r="D28" s="1901"/>
      <c r="E28" s="1879"/>
      <c r="F28" s="1883"/>
      <c r="G28" s="1876" t="s">
        <v>1357</v>
      </c>
      <c r="H28" s="1860"/>
      <c r="I28" s="1860"/>
      <c r="J28" s="1860"/>
      <c r="K28" s="1930"/>
    </row>
    <row r="29" spans="1:14" s="1831" customFormat="1" ht="13.5" customHeight="1">
      <c r="A29" s="1897" t="s">
        <v>1358</v>
      </c>
      <c r="B29" s="1900" t="s">
        <v>1359</v>
      </c>
      <c r="C29" s="1902">
        <f ca="1">IF(B1="",'数据-取费表'!N16,INDIRECT("'数据-取费表'!N"&amp;$K$1))</f>
        <v>0</v>
      </c>
      <c r="D29" s="1903"/>
      <c r="E29" s="1904"/>
      <c r="F29" s="1905"/>
      <c r="G29" s="1857"/>
      <c r="H29" s="1860"/>
      <c r="I29" s="1860"/>
      <c r="J29" s="1860"/>
      <c r="K29" s="1930"/>
    </row>
    <row r="30" spans="1:14" s="1831" customFormat="1" ht="13.5" customHeight="1">
      <c r="A30" s="1906">
        <v>2</v>
      </c>
      <c r="B30" s="1900" t="s">
        <v>1360</v>
      </c>
      <c r="C30" s="1907">
        <f ca="1">ROUND(C28*C29,0)</f>
        <v>0</v>
      </c>
      <c r="D30" s="1903"/>
      <c r="E30" s="1908"/>
      <c r="F30" s="1909"/>
      <c r="G30" s="1910" t="s">
        <v>1361</v>
      </c>
      <c r="H30" s="1911"/>
      <c r="I30" s="1911"/>
      <c r="J30" s="1860"/>
      <c r="K30" s="1930"/>
    </row>
    <row r="31" spans="1:14" s="1833" customFormat="1" ht="13.5" customHeight="1">
      <c r="A31" s="1912" t="s">
        <v>1362</v>
      </c>
      <c r="B31" s="1913"/>
      <c r="C31" s="1914">
        <f>ROUND(C6*F31/(1+'数据-取费表'!C42),0)</f>
        <v>0</v>
      </c>
      <c r="D31" s="1915"/>
      <c r="E31" s="1915"/>
      <c r="F31" s="1916">
        <f>'数据-取费表'!B41</f>
        <v>5.6000000000000001E-2</v>
      </c>
      <c r="G31" s="1917"/>
      <c r="H31" s="1917"/>
      <c r="I31" s="1917"/>
      <c r="J31" s="1933"/>
      <c r="K31" s="1934"/>
    </row>
    <row r="32" spans="1:14" s="917" customFormat="1" ht="13.5" customHeight="1">
      <c r="A32" s="1918" t="s">
        <v>1363</v>
      </c>
      <c r="B32" s="1919"/>
      <c r="C32" s="1920">
        <f ca="1">IF('数据-取费表'!B20&lt;=1,(C6-C30-C31)/(1+F21*'数据-取费表'!B20+F24)/(1+'数据-取费表'!B48+'数据-取费表'!B49),(C6-C30-C31)/(1+(POWER((1+F21),'数据-取费表'!B20)-1)+F24)/(1+'数据-取费表'!B48+'数据-取费表'!B49))</f>
        <v>0</v>
      </c>
      <c r="D32" s="1919"/>
      <c r="E32" s="1919"/>
      <c r="F32" s="1919"/>
      <c r="G32" s="1921" t="s">
        <v>1364</v>
      </c>
      <c r="H32" s="1919"/>
      <c r="I32" s="1919"/>
      <c r="J32" s="1919"/>
      <c r="K32" s="193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913</v>
      </c>
      <c r="B1" s="529"/>
      <c r="C1" s="200" t="s">
        <v>1365</v>
      </c>
      <c r="D1" s="1728" t="s">
        <v>915</v>
      </c>
      <c r="E1" s="1729"/>
      <c r="F1" s="794"/>
      <c r="G1" s="1729"/>
      <c r="H1" s="1729"/>
      <c r="I1" s="1729"/>
      <c r="J1" s="1729"/>
      <c r="K1" s="178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173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1" t="s">
        <v>917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2" t="s">
        <v>918</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919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920</v>
      </c>
      <c r="B6" s="215"/>
      <c r="C6" s="3329" t="s">
        <v>921</v>
      </c>
      <c r="D6" s="3330"/>
      <c r="E6" s="3370" t="s">
        <v>922</v>
      </c>
      <c r="F6" s="3371"/>
      <c r="G6" s="3329" t="s">
        <v>923</v>
      </c>
      <c r="H6" s="3330"/>
      <c r="I6" s="3329" t="s">
        <v>924</v>
      </c>
      <c r="J6" s="3330"/>
      <c r="K6" s="376" t="s">
        <v>925</v>
      </c>
      <c r="L6" s="377"/>
      <c r="M6" s="378"/>
      <c r="N6" s="378"/>
      <c r="O6" s="378"/>
      <c r="P6" s="3358" t="s">
        <v>926</v>
      </c>
      <c r="Q6" s="3359"/>
      <c r="R6" s="3364" t="s">
        <v>922</v>
      </c>
      <c r="S6" s="3365"/>
      <c r="T6" s="3364" t="s">
        <v>923</v>
      </c>
      <c r="U6" s="3365"/>
      <c r="V6" s="3341" t="s">
        <v>924</v>
      </c>
      <c r="W6" s="3341"/>
      <c r="X6" s="443"/>
      <c r="Y6" s="3364" t="s">
        <v>926</v>
      </c>
      <c r="Z6" s="3365"/>
      <c r="AA6" s="3351" t="s">
        <v>922</v>
      </c>
      <c r="AB6" s="3352" t="s">
        <v>923</v>
      </c>
      <c r="AC6" s="3351" t="s">
        <v>924</v>
      </c>
    </row>
    <row r="7" spans="1:29" ht="15">
      <c r="A7" s="216"/>
      <c r="B7" s="217"/>
      <c r="C7" s="3331" t="s">
        <v>927</v>
      </c>
      <c r="D7" s="3332"/>
      <c r="E7" s="3372" t="s">
        <v>1366</v>
      </c>
      <c r="F7" s="3373"/>
      <c r="G7" s="3331" t="s">
        <v>1367</v>
      </c>
      <c r="H7" s="3332"/>
      <c r="I7" s="3331" t="s">
        <v>1368</v>
      </c>
      <c r="J7" s="3332"/>
      <c r="K7" s="376"/>
      <c r="L7" s="377"/>
      <c r="M7" s="378"/>
      <c r="N7" s="378"/>
      <c r="O7" s="378"/>
      <c r="P7" s="3360"/>
      <c r="Q7" s="3361"/>
      <c r="R7" s="3366"/>
      <c r="S7" s="3367"/>
      <c r="T7" s="3366"/>
      <c r="U7" s="3367"/>
      <c r="V7" s="3341"/>
      <c r="W7" s="3341"/>
      <c r="X7" s="443"/>
      <c r="Y7" s="3366"/>
      <c r="Z7" s="3367"/>
      <c r="AA7" s="3352"/>
      <c r="AB7" s="3352"/>
      <c r="AC7" s="3352"/>
    </row>
    <row r="8" spans="1:29" ht="15">
      <c r="A8" s="218"/>
      <c r="B8" s="219"/>
      <c r="C8" s="3335" t="s">
        <v>928</v>
      </c>
      <c r="D8" s="3336"/>
      <c r="E8" s="3374" t="s">
        <v>928</v>
      </c>
      <c r="F8" s="3375"/>
      <c r="G8" s="3335" t="s">
        <v>928</v>
      </c>
      <c r="H8" s="3336"/>
      <c r="I8" s="3335" t="s">
        <v>928</v>
      </c>
      <c r="J8" s="3336"/>
      <c r="K8" s="376" t="s">
        <v>929</v>
      </c>
      <c r="L8" s="377"/>
      <c r="M8" s="378"/>
      <c r="N8" s="378"/>
      <c r="O8" s="378"/>
      <c r="P8" s="3362"/>
      <c r="Q8" s="3363"/>
      <c r="R8" s="3366"/>
      <c r="S8" s="3367"/>
      <c r="T8" s="3368"/>
      <c r="U8" s="3369"/>
      <c r="V8" s="3341"/>
      <c r="W8" s="3341"/>
      <c r="X8" s="443"/>
      <c r="Y8" s="3368"/>
      <c r="Z8" s="3369"/>
      <c r="AA8" s="3353"/>
      <c r="AB8" s="3353"/>
      <c r="AC8" s="3353"/>
    </row>
    <row r="9" spans="1:29" s="190" customFormat="1" ht="15">
      <c r="A9" s="220"/>
      <c r="B9" s="221" t="s">
        <v>930</v>
      </c>
      <c r="C9" s="222">
        <f>'数据-取费表'!B2</f>
        <v>43900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7" t="s">
        <v>931</v>
      </c>
      <c r="Q9" s="3338"/>
      <c r="R9" s="444" t="s">
        <v>932</v>
      </c>
      <c r="S9" s="445">
        <f t="shared" ref="S9:S17" si="0">F9</f>
        <v>0</v>
      </c>
      <c r="T9" s="444" t="s">
        <v>932</v>
      </c>
      <c r="U9" s="445">
        <f t="shared" ref="U9:U17" si="1">H9</f>
        <v>0</v>
      </c>
      <c r="V9" s="444" t="s">
        <v>932</v>
      </c>
      <c r="W9" s="445">
        <f t="shared" ref="W9:W17" si="2">J9</f>
        <v>0</v>
      </c>
      <c r="X9" s="446"/>
      <c r="Y9" s="3337" t="s">
        <v>931</v>
      </c>
      <c r="Z9" s="3339"/>
      <c r="AA9" s="463" t="e">
        <f>D9/F9</f>
        <v>#DIV/0!</v>
      </c>
      <c r="AB9" s="463" t="e">
        <f>D9/H9</f>
        <v>#DIV/0!</v>
      </c>
      <c r="AC9" s="463" t="e">
        <f>D9/J9</f>
        <v>#DIV/0!</v>
      </c>
    </row>
    <row r="10" spans="1:29" s="190" customFormat="1" ht="15">
      <c r="A10" s="227"/>
      <c r="B10" s="228" t="s">
        <v>933</v>
      </c>
      <c r="C10" s="229" t="s">
        <v>934</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7" t="s">
        <v>936</v>
      </c>
      <c r="Q10" s="3339"/>
      <c r="R10" s="444" t="s">
        <v>932</v>
      </c>
      <c r="S10" s="445">
        <f t="shared" si="0"/>
        <v>0</v>
      </c>
      <c r="T10" s="444" t="s">
        <v>932</v>
      </c>
      <c r="U10" s="445">
        <f t="shared" si="1"/>
        <v>0</v>
      </c>
      <c r="V10" s="444" t="s">
        <v>932</v>
      </c>
      <c r="W10" s="445">
        <f t="shared" si="2"/>
        <v>0</v>
      </c>
      <c r="X10" s="446"/>
      <c r="Y10" s="3337" t="s">
        <v>936</v>
      </c>
      <c r="Z10" s="3339"/>
      <c r="AA10" s="463" t="e">
        <f t="shared" ref="AA10:AA42" si="3">D10/F10</f>
        <v>#DIV/0!</v>
      </c>
      <c r="AB10" s="463" t="e">
        <f t="shared" ref="AB10:AB42" si="4">D10/H10</f>
        <v>#DIV/0!</v>
      </c>
      <c r="AC10" s="463" t="e">
        <f t="shared" ref="AC10:AC42" si="5">D10/J10</f>
        <v>#DIV/0!</v>
      </c>
    </row>
    <row r="11" spans="1:29" s="190" customFormat="1" ht="15">
      <c r="A11" s="230"/>
      <c r="B11" s="231" t="s">
        <v>937</v>
      </c>
      <c r="C11" s="1733"/>
      <c r="D11" s="233">
        <v>100</v>
      </c>
      <c r="E11" s="1733"/>
      <c r="F11" s="233">
        <f>SUMIF(72:72,E11,73:73)-SUMIF(72:72,C11,73:73)+100</f>
        <v>100</v>
      </c>
      <c r="G11" s="1733"/>
      <c r="H11" s="233">
        <f>SUMIF(72:72,G11,73:73)-SUMIF(72:72,C11,73:73)+100</f>
        <v>100</v>
      </c>
      <c r="I11" s="1733"/>
      <c r="J11" s="233">
        <f>SUMIF(72:72,I11,73:73)-SUMIF(72:72,C11,73:73)+100</f>
        <v>100</v>
      </c>
      <c r="K11" s="379"/>
      <c r="L11" s="380"/>
      <c r="M11" s="381"/>
      <c r="N11" s="381"/>
      <c r="O11" s="382"/>
      <c r="P11" s="3340" t="s">
        <v>938</v>
      </c>
      <c r="Q11" s="447" t="str">
        <f t="shared" ref="Q11:Q17" si="6">B11</f>
        <v>用途</v>
      </c>
      <c r="R11" s="444" t="s">
        <v>932</v>
      </c>
      <c r="S11" s="445">
        <f t="shared" si="0"/>
        <v>100</v>
      </c>
      <c r="T11" s="444" t="s">
        <v>932</v>
      </c>
      <c r="U11" s="445">
        <f t="shared" si="1"/>
        <v>100</v>
      </c>
      <c r="V11" s="444" t="s">
        <v>932</v>
      </c>
      <c r="W11" s="445">
        <f t="shared" si="2"/>
        <v>100</v>
      </c>
      <c r="X11" s="446"/>
      <c r="Y11" s="3312" t="s">
        <v>939</v>
      </c>
      <c r="Z11" s="464" t="str">
        <f t="shared" ref="Z11:Z17" si="7">Q11</f>
        <v>用途</v>
      </c>
      <c r="AA11" s="463">
        <f t="shared" si="3"/>
        <v>1</v>
      </c>
      <c r="AB11" s="463">
        <f t="shared" si="4"/>
        <v>1</v>
      </c>
      <c r="AC11" s="463">
        <f t="shared" si="5"/>
        <v>1</v>
      </c>
    </row>
    <row r="12" spans="1:29" s="191" customFormat="1" ht="27">
      <c r="A12" s="235"/>
      <c r="B12" s="228" t="s">
        <v>940</v>
      </c>
      <c r="C12" s="241"/>
      <c r="D12" s="237">
        <v>100</v>
      </c>
      <c r="E12" s="241"/>
      <c r="F12" s="237">
        <f>ROUND(100/'数据-取费表'!G16,0)</f>
        <v>103</v>
      </c>
      <c r="G12" s="241"/>
      <c r="H12" s="237">
        <f>ROUND(100/'数据-取费表'!G16,0)</f>
        <v>103</v>
      </c>
      <c r="I12" s="241"/>
      <c r="J12" s="237">
        <f>ROUND(100/'数据-取费表'!G16,0)</f>
        <v>103</v>
      </c>
      <c r="K12" s="1790"/>
      <c r="L12" s="385"/>
      <c r="M12" s="386"/>
      <c r="N12" s="386"/>
      <c r="O12" s="387"/>
      <c r="P12" s="3340"/>
      <c r="Q12" s="447" t="str">
        <f t="shared" si="6"/>
        <v>土地使用年限（年）</v>
      </c>
      <c r="R12" s="444" t="s">
        <v>932</v>
      </c>
      <c r="S12" s="445">
        <f t="shared" si="0"/>
        <v>103</v>
      </c>
      <c r="T12" s="444" t="s">
        <v>932</v>
      </c>
      <c r="U12" s="445">
        <f t="shared" si="1"/>
        <v>103</v>
      </c>
      <c r="V12" s="444" t="s">
        <v>932</v>
      </c>
      <c r="W12" s="445">
        <f t="shared" si="2"/>
        <v>103</v>
      </c>
      <c r="X12" s="446"/>
      <c r="Y12" s="3312"/>
      <c r="Z12" s="464" t="str">
        <f t="shared" si="7"/>
        <v>土地使用年限（年）</v>
      </c>
      <c r="AA12" s="463">
        <f t="shared" si="3"/>
        <v>0.970873786407767</v>
      </c>
      <c r="AB12" s="463">
        <f t="shared" si="4"/>
        <v>0.970873786407767</v>
      </c>
      <c r="AC12" s="463">
        <f t="shared" si="5"/>
        <v>0.970873786407767</v>
      </c>
    </row>
    <row r="13" spans="1:29" ht="15">
      <c r="A13" s="530"/>
      <c r="B13" s="228" t="s">
        <v>941</v>
      </c>
      <c r="C13" s="531"/>
      <c r="D13" s="237">
        <v>100</v>
      </c>
      <c r="E13" s="531"/>
      <c r="F13" s="237" t="e">
        <f>LOOKUP(E13,77:77,78:78)-LOOKUP(C13,77:77,78:78)+100</f>
        <v>#N/A</v>
      </c>
      <c r="G13" s="532"/>
      <c r="H13" s="237" t="e">
        <f>LOOKUP(G13,77:77,78:78)-LOOKUP(C13,77:77,78:78)+100</f>
        <v>#N/A</v>
      </c>
      <c r="I13" s="531"/>
      <c r="J13" s="237" t="e">
        <f>LOOKUP(I13,77:77,78:78)-LOOKUP(C13,77:77,78:78)+100</f>
        <v>#N/A</v>
      </c>
      <c r="K13" s="1791"/>
      <c r="L13" s="389"/>
      <c r="M13" s="378"/>
      <c r="N13" s="378"/>
      <c r="O13" s="390"/>
      <c r="P13" s="3340"/>
      <c r="Q13" s="447" t="str">
        <f t="shared" si="6"/>
        <v>容积率</v>
      </c>
      <c r="R13" s="444" t="s">
        <v>932</v>
      </c>
      <c r="S13" s="445" t="e">
        <f t="shared" si="0"/>
        <v>#N/A</v>
      </c>
      <c r="T13" s="444" t="s">
        <v>932</v>
      </c>
      <c r="U13" s="445" t="e">
        <f t="shared" si="1"/>
        <v>#N/A</v>
      </c>
      <c r="V13" s="444" t="s">
        <v>932</v>
      </c>
      <c r="W13" s="445" t="e">
        <f t="shared" si="2"/>
        <v>#N/A</v>
      </c>
      <c r="X13" s="446"/>
      <c r="Y13" s="331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4"/>
      <c r="H14" s="237">
        <f>SUMIF(79:79,G14,80:80)-SUMIF(79:79,C14,80:80)+100</f>
        <v>100</v>
      </c>
      <c r="I14" s="360"/>
      <c r="J14" s="237">
        <f>SUMIF(79:79,I14,80:80)-SUMIF(79:79,C14,80:80)+100</f>
        <v>100</v>
      </c>
      <c r="K14" s="1790"/>
      <c r="L14" s="380"/>
      <c r="M14" s="381"/>
      <c r="N14" s="381"/>
      <c r="O14" s="382"/>
      <c r="P14" s="3340"/>
      <c r="Q14" s="447">
        <f t="shared" si="6"/>
        <v>111</v>
      </c>
      <c r="R14" s="444" t="s">
        <v>932</v>
      </c>
      <c r="S14" s="445">
        <f t="shared" si="0"/>
        <v>100</v>
      </c>
      <c r="T14" s="444" t="s">
        <v>932</v>
      </c>
      <c r="U14" s="445">
        <f t="shared" si="1"/>
        <v>100</v>
      </c>
      <c r="V14" s="444" t="s">
        <v>932</v>
      </c>
      <c r="W14" s="445">
        <f t="shared" si="2"/>
        <v>100</v>
      </c>
      <c r="X14" s="446"/>
      <c r="Y14" s="331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4"/>
      <c r="H15" s="247">
        <f>SUMIF(81:81,G15,82:82)-SUMIF(81:81,C15,82:82)+100</f>
        <v>100</v>
      </c>
      <c r="I15" s="360"/>
      <c r="J15" s="247">
        <f>SUMIF(81:81,I15,82:82)-SUMIF(81:81,C15,82:82)+100</f>
        <v>100</v>
      </c>
      <c r="K15" s="1790"/>
      <c r="L15" s="391"/>
      <c r="M15" s="378"/>
      <c r="N15" s="378"/>
      <c r="O15" s="390"/>
      <c r="P15" s="3340"/>
      <c r="Q15" s="447">
        <f t="shared" si="6"/>
        <v>111</v>
      </c>
      <c r="R15" s="444" t="s">
        <v>932</v>
      </c>
      <c r="S15" s="445">
        <f t="shared" si="0"/>
        <v>100</v>
      </c>
      <c r="T15" s="444" t="s">
        <v>932</v>
      </c>
      <c r="U15" s="445">
        <f t="shared" si="1"/>
        <v>100</v>
      </c>
      <c r="V15" s="444" t="s">
        <v>932</v>
      </c>
      <c r="W15" s="445">
        <f t="shared" si="2"/>
        <v>100</v>
      </c>
      <c r="X15" s="446"/>
      <c r="Y15" s="331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4"/>
      <c r="H16" s="300">
        <f>SUMIF(83:83,G16,84:84)-SUMIF(83:83,C16,84:84)+100</f>
        <v>100</v>
      </c>
      <c r="I16" s="360"/>
      <c r="J16" s="300">
        <f>SUMIF(83:83,I16,84:84)-SUMIF(83:83,C16,84:84)+100</f>
        <v>100</v>
      </c>
      <c r="K16" s="1790"/>
      <c r="L16" s="391"/>
      <c r="M16" s="378"/>
      <c r="N16" s="378"/>
      <c r="O16" s="390"/>
      <c r="P16" s="3340"/>
      <c r="Q16" s="447">
        <f t="shared" si="6"/>
        <v>111</v>
      </c>
      <c r="R16" s="444" t="s">
        <v>932</v>
      </c>
      <c r="S16" s="445">
        <f t="shared" si="0"/>
        <v>100</v>
      </c>
      <c r="T16" s="444" t="s">
        <v>932</v>
      </c>
      <c r="U16" s="445">
        <f t="shared" si="1"/>
        <v>100</v>
      </c>
      <c r="V16" s="444" t="s">
        <v>932</v>
      </c>
      <c r="W16" s="445">
        <f t="shared" si="2"/>
        <v>100</v>
      </c>
      <c r="X16" s="446"/>
      <c r="Y16" s="3312"/>
      <c r="Z16" s="464">
        <f t="shared" si="7"/>
        <v>111</v>
      </c>
      <c r="AA16" s="463">
        <f t="shared" si="3"/>
        <v>1</v>
      </c>
      <c r="AB16" s="463">
        <f t="shared" si="4"/>
        <v>1</v>
      </c>
      <c r="AC16" s="463">
        <f t="shared" si="5"/>
        <v>1</v>
      </c>
    </row>
    <row r="17" spans="1:29" ht="57">
      <c r="A17" s="248" t="s">
        <v>943</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1"/>
      <c r="L17" s="391"/>
      <c r="M17" s="378"/>
      <c r="N17" s="378"/>
      <c r="O17" s="390"/>
      <c r="P17" s="3347" t="s">
        <v>944</v>
      </c>
      <c r="Q17" s="383" t="str">
        <f t="shared" si="6"/>
        <v>产业集聚程度</v>
      </c>
      <c r="R17" s="448" t="s">
        <v>932</v>
      </c>
      <c r="S17" s="449">
        <f t="shared" si="0"/>
        <v>100</v>
      </c>
      <c r="T17" s="448" t="s">
        <v>932</v>
      </c>
      <c r="U17" s="449">
        <f t="shared" si="1"/>
        <v>100</v>
      </c>
      <c r="V17" s="448" t="s">
        <v>932</v>
      </c>
      <c r="W17" s="449">
        <f t="shared" si="2"/>
        <v>100</v>
      </c>
      <c r="X17" s="443"/>
      <c r="Y17" s="3347" t="s">
        <v>944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0"/>
      <c r="L18" s="391"/>
      <c r="M18" s="378"/>
      <c r="N18" s="378"/>
      <c r="O18" s="390"/>
      <c r="P18" s="3348"/>
      <c r="Q18" s="383"/>
      <c r="R18" s="448"/>
      <c r="S18" s="449"/>
      <c r="T18" s="448"/>
      <c r="U18" s="449"/>
      <c r="V18" s="448"/>
      <c r="W18" s="449"/>
      <c r="X18" s="443"/>
      <c r="Y18" s="3348"/>
      <c r="Z18" s="442"/>
      <c r="AA18" s="454">
        <v>1</v>
      </c>
      <c r="AB18" s="454">
        <v>1</v>
      </c>
      <c r="AC18" s="454">
        <v>1</v>
      </c>
    </row>
    <row r="19" spans="1:29" ht="85.5">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1"/>
      <c r="L19" s="391"/>
      <c r="M19" s="378"/>
      <c r="N19" s="378"/>
      <c r="O19" s="390"/>
      <c r="P19" s="3348"/>
      <c r="Q19" s="383" t="str">
        <f>B19</f>
        <v>交通便捷度</v>
      </c>
      <c r="R19" s="448" t="s">
        <v>932</v>
      </c>
      <c r="S19" s="449">
        <f>F19</f>
        <v>100</v>
      </c>
      <c r="T19" s="448" t="s">
        <v>932</v>
      </c>
      <c r="U19" s="449">
        <f>H19</f>
        <v>100</v>
      </c>
      <c r="V19" s="448" t="s">
        <v>932</v>
      </c>
      <c r="W19" s="449">
        <f>J19</f>
        <v>100</v>
      </c>
      <c r="X19" s="443"/>
      <c r="Y19" s="3348"/>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0"/>
      <c r="L20" s="391"/>
      <c r="M20" s="378"/>
      <c r="N20" s="378"/>
      <c r="O20" s="390"/>
      <c r="P20" s="3348"/>
      <c r="Q20" s="383"/>
      <c r="R20" s="448"/>
      <c r="S20" s="449"/>
      <c r="T20" s="448"/>
      <c r="U20" s="449"/>
      <c r="V20" s="448"/>
      <c r="W20" s="449"/>
      <c r="X20" s="443"/>
      <c r="Y20" s="3348"/>
      <c r="Z20" s="442"/>
      <c r="AA20" s="454">
        <v>1</v>
      </c>
      <c r="AB20" s="454">
        <v>1</v>
      </c>
      <c r="AC20" s="454">
        <v>1</v>
      </c>
    </row>
    <row r="21" spans="1:29" ht="27">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2"/>
      <c r="L21" s="391"/>
      <c r="M21" s="378"/>
      <c r="N21" s="378"/>
      <c r="O21" s="390"/>
      <c r="P21" s="3348"/>
      <c r="Q21" s="383" t="str">
        <f t="shared" ref="Q21:Q36" si="8">B21</f>
        <v>区域土地利用方向</v>
      </c>
      <c r="R21" s="448" t="s">
        <v>932</v>
      </c>
      <c r="S21" s="449">
        <f>F21</f>
        <v>100</v>
      </c>
      <c r="T21" s="448" t="s">
        <v>932</v>
      </c>
      <c r="U21" s="449">
        <f>H21</f>
        <v>100</v>
      </c>
      <c r="V21" s="448" t="s">
        <v>932</v>
      </c>
      <c r="W21" s="449">
        <f>J21</f>
        <v>100</v>
      </c>
      <c r="X21" s="443"/>
      <c r="Y21" s="3348"/>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3"/>
      <c r="L22" s="391"/>
      <c r="M22" s="378"/>
      <c r="N22" s="378"/>
      <c r="O22" s="390"/>
      <c r="P22" s="3348"/>
      <c r="Q22" s="383"/>
      <c r="R22" s="448"/>
      <c r="S22" s="449"/>
      <c r="T22" s="448"/>
      <c r="U22" s="449"/>
      <c r="V22" s="448"/>
      <c r="W22" s="449"/>
      <c r="X22" s="443"/>
      <c r="Y22" s="3348"/>
      <c r="Z22" s="442"/>
      <c r="AA22" s="454"/>
      <c r="AB22" s="454"/>
      <c r="AC22" s="454"/>
    </row>
    <row r="23" spans="1:29" ht="71.25">
      <c r="A23" s="216"/>
      <c r="B23" s="538" t="s">
        <v>1369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1"/>
      <c r="L23" s="391"/>
      <c r="M23" s="378"/>
      <c r="N23" s="378"/>
      <c r="O23" s="390"/>
      <c r="P23" s="3348"/>
      <c r="Q23" s="383" t="str">
        <f t="shared" si="8"/>
        <v>环境状况</v>
      </c>
      <c r="R23" s="448" t="s">
        <v>932</v>
      </c>
      <c r="S23" s="449">
        <f>F23</f>
        <v>100</v>
      </c>
      <c r="T23" s="448" t="s">
        <v>932</v>
      </c>
      <c r="U23" s="449">
        <f>H23</f>
        <v>100</v>
      </c>
      <c r="V23" s="448" t="s">
        <v>932</v>
      </c>
      <c r="W23" s="449">
        <f>J23</f>
        <v>100</v>
      </c>
      <c r="X23" s="443"/>
      <c r="Y23" s="3348"/>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0"/>
      <c r="L24" s="391"/>
      <c r="M24" s="378"/>
      <c r="N24" s="378"/>
      <c r="O24" s="390"/>
      <c r="P24" s="3348"/>
      <c r="Q24" s="383"/>
      <c r="R24" s="448"/>
      <c r="S24" s="449"/>
      <c r="T24" s="448"/>
      <c r="U24" s="449"/>
      <c r="V24" s="448"/>
      <c r="W24" s="449"/>
      <c r="X24" s="443"/>
      <c r="Y24" s="3348"/>
      <c r="Z24" s="442"/>
      <c r="AA24" s="454">
        <v>1</v>
      </c>
      <c r="AB24" s="454">
        <v>1</v>
      </c>
      <c r="AC24" s="454">
        <v>1</v>
      </c>
    </row>
    <row r="25" spans="1:29" s="190" customFormat="1" ht="42.75">
      <c r="A25" s="502"/>
      <c r="B25" s="600"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1"/>
      <c r="L25" s="380"/>
      <c r="M25" s="381"/>
      <c r="N25" s="381"/>
      <c r="O25" s="382"/>
      <c r="P25" s="3348"/>
      <c r="Q25" s="447" t="str">
        <f t="shared" si="8"/>
        <v>公共配套设施</v>
      </c>
      <c r="R25" s="444" t="s">
        <v>932</v>
      </c>
      <c r="S25" s="445">
        <f>F25</f>
        <v>100</v>
      </c>
      <c r="T25" s="444" t="s">
        <v>932</v>
      </c>
      <c r="U25" s="445">
        <f>H25</f>
        <v>100</v>
      </c>
      <c r="V25" s="444" t="s">
        <v>932</v>
      </c>
      <c r="W25" s="445">
        <f>J25</f>
        <v>100</v>
      </c>
      <c r="X25" s="446"/>
      <c r="Y25" s="3348"/>
      <c r="Z25" s="464" t="str">
        <f>Q25</f>
        <v>公共配套设施</v>
      </c>
      <c r="AA25" s="454">
        <f>D25/F25</f>
        <v>1</v>
      </c>
      <c r="AB25" s="454">
        <f>D25/H25</f>
        <v>1</v>
      </c>
      <c r="AC25" s="454">
        <f>D25/J25</f>
        <v>1</v>
      </c>
    </row>
    <row r="26" spans="1:29" s="190" customFormat="1" ht="15">
      <c r="A26" s="502"/>
      <c r="B26" s="275"/>
      <c r="C26" s="1735"/>
      <c r="D26" s="258"/>
      <c r="E26" s="569"/>
      <c r="F26" s="258"/>
      <c r="G26" s="569"/>
      <c r="H26" s="258"/>
      <c r="I26" s="257"/>
      <c r="J26" s="258"/>
      <c r="K26" s="1790"/>
      <c r="L26" s="380"/>
      <c r="M26" s="381"/>
      <c r="N26" s="381"/>
      <c r="O26" s="382"/>
      <c r="P26" s="3348"/>
      <c r="Q26" s="447"/>
      <c r="R26" s="444"/>
      <c r="S26" s="445"/>
      <c r="T26" s="444"/>
      <c r="U26" s="445"/>
      <c r="V26" s="444"/>
      <c r="W26" s="445"/>
      <c r="X26" s="446"/>
      <c r="Y26" s="3348"/>
      <c r="Z26" s="464"/>
      <c r="AA26" s="463">
        <v>1</v>
      </c>
      <c r="AB26" s="463">
        <v>1</v>
      </c>
      <c r="AC26" s="463">
        <v>1</v>
      </c>
    </row>
    <row r="27" spans="1:29" s="190" customFormat="1" ht="28.5">
      <c r="A27" s="502"/>
      <c r="B27" s="600"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1"/>
      <c r="L27" s="380"/>
      <c r="M27" s="381"/>
      <c r="N27" s="381"/>
      <c r="O27" s="382"/>
      <c r="P27" s="3348"/>
      <c r="Q27" s="447" t="str">
        <f t="shared" ref="Q27" si="9">B27</f>
        <v>基础设施水平</v>
      </c>
      <c r="R27" s="444" t="s">
        <v>932</v>
      </c>
      <c r="S27" s="445">
        <f>F27</f>
        <v>100</v>
      </c>
      <c r="T27" s="444" t="s">
        <v>932</v>
      </c>
      <c r="U27" s="445">
        <f>H27</f>
        <v>100</v>
      </c>
      <c r="V27" s="444" t="s">
        <v>932</v>
      </c>
      <c r="W27" s="445">
        <f>J27</f>
        <v>100</v>
      </c>
      <c r="X27" s="446"/>
      <c r="Y27" s="3348"/>
      <c r="Z27" s="464" t="str">
        <f>Q27</f>
        <v>基础设施水平</v>
      </c>
      <c r="AA27" s="454">
        <f>D27/F27</f>
        <v>1</v>
      </c>
      <c r="AB27" s="454">
        <f>D27/H27</f>
        <v>1</v>
      </c>
      <c r="AC27" s="454">
        <f>D27/J27</f>
        <v>1</v>
      </c>
    </row>
    <row r="28" spans="1:29" s="190" customFormat="1" ht="15">
      <c r="A28" s="502"/>
      <c r="B28" s="275"/>
      <c r="C28" s="1735"/>
      <c r="D28" s="258"/>
      <c r="E28" s="1736"/>
      <c r="F28" s="258"/>
      <c r="G28" s="1736"/>
      <c r="H28" s="258"/>
      <c r="I28" s="1736"/>
      <c r="J28" s="258"/>
      <c r="K28" s="1790"/>
      <c r="L28" s="380"/>
      <c r="M28" s="381"/>
      <c r="N28" s="381"/>
      <c r="O28" s="382"/>
      <c r="P28" s="3348"/>
      <c r="Q28" s="447"/>
      <c r="R28" s="444"/>
      <c r="S28" s="445"/>
      <c r="T28" s="444"/>
      <c r="U28" s="445"/>
      <c r="V28" s="444"/>
      <c r="W28" s="445"/>
      <c r="X28" s="446"/>
      <c r="Y28" s="3348"/>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791"/>
      <c r="L29" s="391"/>
      <c r="M29" s="378"/>
      <c r="N29" s="378"/>
      <c r="O29" s="390"/>
      <c r="P29" s="3348"/>
      <c r="Q29" s="383" t="str">
        <f t="shared" si="8"/>
        <v>临街状况</v>
      </c>
      <c r="R29" s="448" t="s">
        <v>932</v>
      </c>
      <c r="S29" s="449">
        <f t="shared" ref="S29:S42" si="10">F29</f>
        <v>100</v>
      </c>
      <c r="T29" s="448" t="s">
        <v>932</v>
      </c>
      <c r="U29" s="449">
        <f t="shared" ref="U29:U42" si="11">H29</f>
        <v>100</v>
      </c>
      <c r="V29" s="448" t="s">
        <v>932</v>
      </c>
      <c r="W29" s="449">
        <f t="shared" ref="W29:W42" si="12">J29</f>
        <v>100</v>
      </c>
      <c r="X29" s="443"/>
      <c r="Y29" s="3348"/>
      <c r="Z29" s="442" t="str">
        <f t="shared" ref="Z29:Z42" si="13">Q29</f>
        <v>临街状况</v>
      </c>
      <c r="AA29" s="454">
        <f t="shared" si="3"/>
        <v>1</v>
      </c>
      <c r="AB29" s="454">
        <f t="shared" si="4"/>
        <v>1</v>
      </c>
      <c r="AC29" s="454">
        <f t="shared" si="5"/>
        <v>1</v>
      </c>
    </row>
    <row r="30" spans="1:29" ht="27">
      <c r="A30" s="255"/>
      <c r="B30" s="538" t="s">
        <v>948</v>
      </c>
      <c r="C30" s="173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1"/>
      <c r="L30" s="391"/>
      <c r="M30" s="378"/>
      <c r="N30" s="378"/>
      <c r="O30" s="390"/>
      <c r="P30" s="3348"/>
      <c r="Q30" s="383" t="str">
        <f t="shared" si="8"/>
        <v>毗邻道路的类型与等级</v>
      </c>
      <c r="R30" s="448" t="s">
        <v>932</v>
      </c>
      <c r="S30" s="449">
        <f t="shared" si="10"/>
        <v>100</v>
      </c>
      <c r="T30" s="448" t="s">
        <v>932</v>
      </c>
      <c r="U30" s="449">
        <f t="shared" si="11"/>
        <v>100</v>
      </c>
      <c r="V30" s="448" t="s">
        <v>932</v>
      </c>
      <c r="W30" s="449">
        <f t="shared" si="12"/>
        <v>100</v>
      </c>
      <c r="X30" s="443"/>
      <c r="Y30" s="3348"/>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8"/>
      <c r="Q31" s="383"/>
      <c r="R31" s="448"/>
      <c r="S31" s="449"/>
      <c r="T31" s="448"/>
      <c r="U31" s="449"/>
      <c r="V31" s="448"/>
      <c r="W31" s="449"/>
      <c r="X31" s="443"/>
      <c r="Y31" s="3348"/>
      <c r="Z31" s="442"/>
      <c r="AA31" s="454">
        <v>1</v>
      </c>
      <c r="AB31" s="454">
        <v>1</v>
      </c>
      <c r="AC31" s="454">
        <v>1</v>
      </c>
    </row>
    <row r="32" spans="1:29" ht="15">
      <c r="A32" s="255"/>
      <c r="B32" s="289" t="s">
        <v>949</v>
      </c>
      <c r="C32" s="173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8"/>
      <c r="Q32" s="383" t="str">
        <f t="shared" si="8"/>
        <v>土地级别</v>
      </c>
      <c r="R32" s="448" t="s">
        <v>932</v>
      </c>
      <c r="S32" s="449">
        <f t="shared" si="10"/>
        <v>100</v>
      </c>
      <c r="T32" s="448" t="s">
        <v>932</v>
      </c>
      <c r="U32" s="449">
        <f t="shared" si="11"/>
        <v>100</v>
      </c>
      <c r="V32" s="448" t="s">
        <v>932</v>
      </c>
      <c r="W32" s="449">
        <f t="shared" si="12"/>
        <v>100</v>
      </c>
      <c r="X32" s="443"/>
      <c r="Y32" s="3348"/>
      <c r="Z32" s="442" t="str">
        <f t="shared" si="13"/>
        <v>土地级别</v>
      </c>
      <c r="AA32" s="454">
        <f t="shared" si="3"/>
        <v>1</v>
      </c>
      <c r="AB32" s="454">
        <f t="shared" si="4"/>
        <v>1</v>
      </c>
      <c r="AC32" s="454">
        <f t="shared" si="5"/>
        <v>1</v>
      </c>
    </row>
    <row r="33" spans="1:29" ht="15">
      <c r="A33" s="216"/>
      <c r="B33" s="539">
        <v>111</v>
      </c>
      <c r="C33" s="1734"/>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48"/>
      <c r="Q33" s="383">
        <f t="shared" si="8"/>
        <v>111</v>
      </c>
      <c r="R33" s="448" t="s">
        <v>932</v>
      </c>
      <c r="S33" s="449">
        <f t="shared" si="10"/>
        <v>100</v>
      </c>
      <c r="T33" s="448" t="s">
        <v>932</v>
      </c>
      <c r="U33" s="449">
        <f t="shared" si="11"/>
        <v>100</v>
      </c>
      <c r="V33" s="448" t="s">
        <v>932</v>
      </c>
      <c r="W33" s="449">
        <f t="shared" si="12"/>
        <v>100</v>
      </c>
      <c r="X33" s="443"/>
      <c r="Y33" s="3348"/>
      <c r="Z33" s="442">
        <f t="shared" si="13"/>
        <v>111</v>
      </c>
      <c r="AA33" s="454">
        <f t="shared" si="3"/>
        <v>1</v>
      </c>
      <c r="AB33" s="454">
        <f t="shared" si="4"/>
        <v>1</v>
      </c>
      <c r="AC33" s="454">
        <f t="shared" si="5"/>
        <v>1</v>
      </c>
    </row>
    <row r="34" spans="1:29" ht="15">
      <c r="A34" s="1739"/>
      <c r="B34" s="1740">
        <v>111</v>
      </c>
      <c r="C34" s="1734"/>
      <c r="D34" s="247">
        <v>100</v>
      </c>
      <c r="E34" s="635"/>
      <c r="F34" s="247">
        <f>SUMIF(105:105,E35,106:106)-SUMIF(105:105,C35,106:106)+100</f>
        <v>100</v>
      </c>
      <c r="G34" s="635"/>
      <c r="H34" s="247">
        <f>SUMIF(105:105,G34,106:106)-SUMIF(105:105,C34,106:106)+100</f>
        <v>100</v>
      </c>
      <c r="I34" s="1734"/>
      <c r="J34" s="247">
        <f>SUMIF(105:105,I34,106:106)-SUMIF(105:105,C34,106:106)+100</f>
        <v>100</v>
      </c>
      <c r="K34" s="388"/>
      <c r="L34" s="391"/>
      <c r="M34" s="378"/>
      <c r="N34" s="378"/>
      <c r="O34" s="390"/>
      <c r="P34" s="3349" t="s">
        <v>950</v>
      </c>
      <c r="Q34" s="383">
        <f t="shared" si="8"/>
        <v>111</v>
      </c>
      <c r="R34" s="448" t="s">
        <v>932</v>
      </c>
      <c r="S34" s="449">
        <f t="shared" si="10"/>
        <v>100</v>
      </c>
      <c r="T34" s="448" t="s">
        <v>932</v>
      </c>
      <c r="U34" s="449">
        <f t="shared" si="11"/>
        <v>100</v>
      </c>
      <c r="V34" s="448" t="s">
        <v>932</v>
      </c>
      <c r="W34" s="449">
        <f t="shared" si="12"/>
        <v>100</v>
      </c>
      <c r="X34" s="443"/>
      <c r="Y34" s="3350" t="s">
        <v>950</v>
      </c>
      <c r="Z34" s="442">
        <f t="shared" si="13"/>
        <v>111</v>
      </c>
      <c r="AA34" s="454">
        <f t="shared" si="3"/>
        <v>1</v>
      </c>
      <c r="AB34" s="454">
        <f t="shared" si="4"/>
        <v>1</v>
      </c>
      <c r="AC34" s="454">
        <f t="shared" si="5"/>
        <v>1</v>
      </c>
    </row>
    <row r="35" spans="1:29" s="192" customFormat="1" ht="15">
      <c r="A35" s="1741"/>
      <c r="B35" s="1742">
        <v>111</v>
      </c>
      <c r="C35" s="1743"/>
      <c r="D35" s="1744">
        <v>100</v>
      </c>
      <c r="E35" s="1745"/>
      <c r="F35" s="300">
        <f>SUMIF(107:107,E35,108:108)-SUMIF(107:107,C35,108:108)+100</f>
        <v>100</v>
      </c>
      <c r="G35" s="1745"/>
      <c r="H35" s="300">
        <f>SUMIF(107:107,G35,108:108)-SUMIF(107:107,C35,108:108)+100</f>
        <v>100</v>
      </c>
      <c r="I35" s="1743"/>
      <c r="J35" s="300">
        <f>SUMIF(107:107,I35,108:108)-SUMIF(107:107,C35,108:108)+100</f>
        <v>100</v>
      </c>
      <c r="K35" s="388"/>
      <c r="L35" s="389"/>
      <c r="M35" s="395"/>
      <c r="N35" s="395"/>
      <c r="O35" s="396"/>
      <c r="P35" s="3350"/>
      <c r="Q35" s="383">
        <f t="shared" si="8"/>
        <v>111</v>
      </c>
      <c r="R35" s="451" t="s">
        <v>932</v>
      </c>
      <c r="S35" s="452">
        <f t="shared" si="10"/>
        <v>100</v>
      </c>
      <c r="T35" s="451" t="s">
        <v>932</v>
      </c>
      <c r="U35" s="452">
        <f t="shared" si="11"/>
        <v>100</v>
      </c>
      <c r="V35" s="451" t="s">
        <v>932</v>
      </c>
      <c r="W35" s="452">
        <f t="shared" si="12"/>
        <v>100</v>
      </c>
      <c r="X35" s="453"/>
      <c r="Y35" s="3350"/>
      <c r="Z35" s="465">
        <f t="shared" si="13"/>
        <v>111</v>
      </c>
      <c r="AA35" s="454">
        <f t="shared" si="3"/>
        <v>1</v>
      </c>
      <c r="AB35" s="454">
        <f t="shared" si="4"/>
        <v>1</v>
      </c>
      <c r="AC35" s="454">
        <f t="shared" si="5"/>
        <v>1</v>
      </c>
    </row>
    <row r="36" spans="1:29" ht="15">
      <c r="A36" s="283" t="s">
        <v>951</v>
      </c>
      <c r="B36" s="275" t="s">
        <v>952</v>
      </c>
      <c r="C36" s="1746"/>
      <c r="D36" s="286">
        <v>100</v>
      </c>
      <c r="E36" s="1746"/>
      <c r="F36" s="286" t="e">
        <f>LOOKUP(E36,110:110,111:111)-LOOKUP(C36,110:110,111:111)+100</f>
        <v>#N/A</v>
      </c>
      <c r="G36" s="1746"/>
      <c r="H36" s="286" t="e">
        <f>LOOKUP(G36,110:110,111:111)-LOOKUP(C36,110:110,111:111)+100</f>
        <v>#N/A</v>
      </c>
      <c r="I36" s="351"/>
      <c r="J36" s="286" t="e">
        <f>LOOKUP(I36,110:110,111:111)-LOOKUP(C36,110:110,111:111)+100</f>
        <v>#N/A</v>
      </c>
      <c r="K36" s="388"/>
      <c r="L36" s="391"/>
      <c r="M36" s="378"/>
      <c r="N36" s="378"/>
      <c r="O36" s="390"/>
      <c r="P36" s="3350"/>
      <c r="Q36" s="383" t="str">
        <f t="shared" si="8"/>
        <v>宗地面积</v>
      </c>
      <c r="R36" s="448" t="s">
        <v>932</v>
      </c>
      <c r="S36" s="449" t="e">
        <f t="shared" si="10"/>
        <v>#N/A</v>
      </c>
      <c r="T36" s="448" t="s">
        <v>932</v>
      </c>
      <c r="U36" s="449" t="e">
        <f t="shared" si="11"/>
        <v>#N/A</v>
      </c>
      <c r="V36" s="448" t="s">
        <v>932</v>
      </c>
      <c r="W36" s="449" t="e">
        <f t="shared" si="12"/>
        <v>#N/A</v>
      </c>
      <c r="X36" s="443"/>
      <c r="Y36" s="3350"/>
      <c r="Z36" s="442" t="str">
        <f t="shared" si="13"/>
        <v>宗地面积</v>
      </c>
      <c r="AA36" s="454" t="e">
        <f t="shared" si="3"/>
        <v>#N/A</v>
      </c>
      <c r="AB36" s="454" t="e">
        <f t="shared" si="4"/>
        <v>#N/A</v>
      </c>
      <c r="AC36" s="454" t="e">
        <f t="shared" si="5"/>
        <v>#N/A</v>
      </c>
    </row>
    <row r="37" spans="1:29" ht="15">
      <c r="A37" s="293"/>
      <c r="B37" s="289" t="s">
        <v>953</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0"/>
      <c r="Q37" s="383" t="str">
        <f t="shared" ref="Q37:Q42" si="14">B37</f>
        <v>宗地形状</v>
      </c>
      <c r="R37" s="448" t="s">
        <v>932</v>
      </c>
      <c r="S37" s="449">
        <f t="shared" si="10"/>
        <v>100</v>
      </c>
      <c r="T37" s="448" t="s">
        <v>932</v>
      </c>
      <c r="U37" s="449">
        <f t="shared" si="11"/>
        <v>100</v>
      </c>
      <c r="V37" s="448" t="s">
        <v>932</v>
      </c>
      <c r="W37" s="449">
        <f t="shared" si="12"/>
        <v>100</v>
      </c>
      <c r="X37" s="443"/>
      <c r="Y37" s="3350"/>
      <c r="Z37" s="442" t="str">
        <f t="shared" si="13"/>
        <v>宗地形状</v>
      </c>
      <c r="AA37" s="454">
        <f t="shared" si="3"/>
        <v>1</v>
      </c>
      <c r="AB37" s="454">
        <f t="shared" si="4"/>
        <v>1</v>
      </c>
      <c r="AC37" s="454">
        <f t="shared" si="5"/>
        <v>1</v>
      </c>
    </row>
    <row r="38" spans="1:29" s="190" customFormat="1" ht="15">
      <c r="A38" s="296"/>
      <c r="B38" s="544" t="s">
        <v>955</v>
      </c>
      <c r="C38" s="1747"/>
      <c r="D38" s="237">
        <v>100</v>
      </c>
      <c r="E38" s="1747"/>
      <c r="F38" s="247">
        <f>SUMIF(114:114,E38,115:115)-SUMIF(114:114,C38,115:115)+100</f>
        <v>100</v>
      </c>
      <c r="G38" s="1747"/>
      <c r="H38" s="247">
        <f>SUMIF(114:114,G38,115:115)-SUMIF(114:114,C38,115:115)+100</f>
        <v>100</v>
      </c>
      <c r="I38" s="1747"/>
      <c r="J38" s="247">
        <f>SUMIF(114:114,I38,115:115)-SUMIF(114:114,C38,115:115)+100</f>
        <v>100</v>
      </c>
      <c r="K38" s="384"/>
      <c r="L38" s="380"/>
      <c r="M38" s="381"/>
      <c r="N38" s="381"/>
      <c r="O38" s="382"/>
      <c r="P38" s="3350"/>
      <c r="Q38" s="383" t="str">
        <f t="shared" si="14"/>
        <v>宗地开发程度</v>
      </c>
      <c r="R38" s="444" t="s">
        <v>932</v>
      </c>
      <c r="S38" s="445">
        <f t="shared" si="10"/>
        <v>100</v>
      </c>
      <c r="T38" s="444" t="s">
        <v>932</v>
      </c>
      <c r="U38" s="445">
        <f t="shared" si="11"/>
        <v>100</v>
      </c>
      <c r="V38" s="444" t="s">
        <v>932</v>
      </c>
      <c r="W38" s="445">
        <f t="shared" si="12"/>
        <v>100</v>
      </c>
      <c r="X38" s="446"/>
      <c r="Y38" s="3350"/>
      <c r="Z38" s="464" t="str">
        <f t="shared" si="13"/>
        <v>宗地开发程度</v>
      </c>
      <c r="AA38" s="463">
        <f t="shared" si="3"/>
        <v>1</v>
      </c>
      <c r="AB38" s="463">
        <f t="shared" si="4"/>
        <v>1</v>
      </c>
      <c r="AC38" s="463">
        <f t="shared" si="5"/>
        <v>1</v>
      </c>
    </row>
    <row r="39" spans="1:29" ht="15">
      <c r="A39" s="293"/>
      <c r="B39" s="289" t="s">
        <v>956</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t="s">
        <v>950</v>
      </c>
      <c r="Q39" s="383" t="str">
        <f t="shared" si="14"/>
        <v>工程地质条件</v>
      </c>
      <c r="R39" s="448" t="s">
        <v>932</v>
      </c>
      <c r="S39" s="449">
        <f t="shared" si="10"/>
        <v>100</v>
      </c>
      <c r="T39" s="448" t="s">
        <v>932</v>
      </c>
      <c r="U39" s="449">
        <f t="shared" si="11"/>
        <v>100</v>
      </c>
      <c r="V39" s="448" t="s">
        <v>932</v>
      </c>
      <c r="W39" s="449">
        <f t="shared" si="12"/>
        <v>100</v>
      </c>
      <c r="X39" s="443"/>
      <c r="Y39" s="3350" t="s">
        <v>950</v>
      </c>
      <c r="Z39" s="442" t="str">
        <f t="shared" si="13"/>
        <v>工程地质条件</v>
      </c>
      <c r="AA39" s="454">
        <f t="shared" si="3"/>
        <v>1</v>
      </c>
      <c r="AB39" s="454">
        <f t="shared" si="4"/>
        <v>1</v>
      </c>
      <c r="AC39" s="454">
        <f t="shared" si="5"/>
        <v>1</v>
      </c>
    </row>
    <row r="40" spans="1:29" ht="15">
      <c r="A40" s="293"/>
      <c r="B40" s="1740">
        <v>111</v>
      </c>
      <c r="C40" s="1734"/>
      <c r="D40" s="247">
        <v>100</v>
      </c>
      <c r="E40" s="1734"/>
      <c r="F40" s="247">
        <f>SUMIF(118:118,E40,119:119)-SUMIF(118:118,C40,119:119)+100</f>
        <v>100</v>
      </c>
      <c r="G40" s="1734"/>
      <c r="H40" s="247">
        <f>SUMIF(118:118,G40,119:119)-SUMIF(118:118,C40,119:119)+100</f>
        <v>100</v>
      </c>
      <c r="I40" s="360"/>
      <c r="J40" s="247">
        <f>SUMIF(118:118,I40,119:119)-SUMIF(118:118,C40,119:119)+100</f>
        <v>100</v>
      </c>
      <c r="K40" s="388"/>
      <c r="L40" s="391"/>
      <c r="M40" s="378"/>
      <c r="N40" s="378"/>
      <c r="O40" s="390"/>
      <c r="P40" s="3350"/>
      <c r="Q40" s="383">
        <f t="shared" si="14"/>
        <v>111</v>
      </c>
      <c r="R40" s="448" t="s">
        <v>932</v>
      </c>
      <c r="S40" s="449">
        <f t="shared" si="10"/>
        <v>100</v>
      </c>
      <c r="T40" s="448" t="s">
        <v>932</v>
      </c>
      <c r="U40" s="449">
        <f t="shared" si="11"/>
        <v>100</v>
      </c>
      <c r="V40" s="448" t="s">
        <v>932</v>
      </c>
      <c r="W40" s="449">
        <f t="shared" si="12"/>
        <v>100</v>
      </c>
      <c r="X40" s="443"/>
      <c r="Y40" s="3350"/>
      <c r="Z40" s="442">
        <f t="shared" si="13"/>
        <v>111</v>
      </c>
      <c r="AA40" s="454">
        <f t="shared" si="3"/>
        <v>1</v>
      </c>
      <c r="AB40" s="454">
        <f t="shared" si="4"/>
        <v>1</v>
      </c>
      <c r="AC40" s="454">
        <f t="shared" si="5"/>
        <v>1</v>
      </c>
    </row>
    <row r="41" spans="1:29" ht="15">
      <c r="A41" s="293"/>
      <c r="B41" s="1740">
        <v>111</v>
      </c>
      <c r="C41" s="1734"/>
      <c r="D41" s="247">
        <v>100</v>
      </c>
      <c r="E41" s="1734"/>
      <c r="F41" s="247">
        <f>SUMIF(120:120,E41,121:121)-SUMIF(120:120,C41,121:121)+100</f>
        <v>100</v>
      </c>
      <c r="G41" s="1734"/>
      <c r="H41" s="247">
        <f>SUMIF(120:120,G41,121:121)-SUMIF(120:120,C41,121:121)+100</f>
        <v>100</v>
      </c>
      <c r="I41" s="360"/>
      <c r="J41" s="247">
        <f>SUMIF(120:120,I41,121:121)-SUMIF(120:120,C41,121:121)+100</f>
        <v>100</v>
      </c>
      <c r="K41" s="388"/>
      <c r="L41" s="391"/>
      <c r="M41" s="378"/>
      <c r="N41" s="378"/>
      <c r="O41" s="390"/>
      <c r="P41" s="3350"/>
      <c r="Q41" s="383">
        <f t="shared" si="14"/>
        <v>111</v>
      </c>
      <c r="R41" s="448" t="s">
        <v>932</v>
      </c>
      <c r="S41" s="449">
        <f t="shared" si="10"/>
        <v>100</v>
      </c>
      <c r="T41" s="448" t="s">
        <v>932</v>
      </c>
      <c r="U41" s="449">
        <f t="shared" si="11"/>
        <v>100</v>
      </c>
      <c r="V41" s="448" t="s">
        <v>932</v>
      </c>
      <c r="W41" s="449">
        <f t="shared" si="12"/>
        <v>100</v>
      </c>
      <c r="X41" s="443"/>
      <c r="Y41" s="3350"/>
      <c r="Z41" s="442">
        <f t="shared" si="13"/>
        <v>111</v>
      </c>
      <c r="AA41" s="454">
        <f t="shared" si="3"/>
        <v>1</v>
      </c>
      <c r="AB41" s="454">
        <f t="shared" si="4"/>
        <v>1</v>
      </c>
      <c r="AC41" s="454">
        <f t="shared" si="5"/>
        <v>1</v>
      </c>
    </row>
    <row r="42" spans="1:29" s="192" customFormat="1" ht="15">
      <c r="A42" s="288"/>
      <c r="B42" s="1740">
        <v>111</v>
      </c>
      <c r="C42" s="1748"/>
      <c r="D42" s="1744">
        <v>100</v>
      </c>
      <c r="E42" s="1734"/>
      <c r="F42" s="300">
        <f>SUMIF(122:122,E42,123:123)-SUMIF(122:122,C42,123:123)+100</f>
        <v>100</v>
      </c>
      <c r="G42" s="1734"/>
      <c r="H42" s="300">
        <f>SUMIF(122:122,G42,123:123)-SUMIF(122:122,C42,123:123)+100</f>
        <v>100</v>
      </c>
      <c r="I42" s="360"/>
      <c r="J42" s="300">
        <f>SUMIF(122:122,I42,123:123)-SUMIF(122:122,C42,123:123)+100</f>
        <v>100</v>
      </c>
      <c r="K42" s="1794"/>
      <c r="L42" s="389"/>
      <c r="M42" s="395"/>
      <c r="N42" s="395"/>
      <c r="O42" s="396"/>
      <c r="P42" s="3350"/>
      <c r="Q42" s="383">
        <f t="shared" si="14"/>
        <v>111</v>
      </c>
      <c r="R42" s="451" t="s">
        <v>932</v>
      </c>
      <c r="S42" s="452">
        <f t="shared" si="10"/>
        <v>100</v>
      </c>
      <c r="T42" s="451" t="s">
        <v>932</v>
      </c>
      <c r="U42" s="452">
        <f t="shared" si="11"/>
        <v>100</v>
      </c>
      <c r="V42" s="451" t="s">
        <v>932</v>
      </c>
      <c r="W42" s="452">
        <f t="shared" si="12"/>
        <v>100</v>
      </c>
      <c r="X42" s="453"/>
      <c r="Y42" s="3350"/>
      <c r="Z42" s="465">
        <f t="shared" si="13"/>
        <v>111</v>
      </c>
      <c r="AA42" s="454">
        <f t="shared" si="3"/>
        <v>1</v>
      </c>
      <c r="AB42" s="454">
        <f t="shared" si="4"/>
        <v>1</v>
      </c>
      <c r="AC42" s="454">
        <f t="shared" si="5"/>
        <v>1</v>
      </c>
    </row>
    <row r="43" spans="1:29" ht="15">
      <c r="A43" s="303" t="s">
        <v>957</v>
      </c>
      <c r="B43" s="1749" t="s">
        <v>958</v>
      </c>
      <c r="C43" s="1750" t="s">
        <v>138</v>
      </c>
      <c r="D43" s="1751"/>
      <c r="E43" s="1752"/>
      <c r="F43" s="1753"/>
      <c r="G43" s="1754"/>
      <c r="H43" s="1755"/>
      <c r="I43" s="1752"/>
      <c r="J43" s="1755"/>
      <c r="K43" s="1795"/>
      <c r="L43" s="398"/>
      <c r="M43" s="378"/>
      <c r="N43" s="378"/>
      <c r="O43" s="319"/>
      <c r="P43" s="3340" t="str">
        <f>A43</f>
        <v>成交单价</v>
      </c>
      <c r="Q43" s="3340"/>
      <c r="R43" s="3341">
        <f>E43</f>
        <v>0</v>
      </c>
      <c r="S43" s="3341"/>
      <c r="T43" s="3341">
        <f>G43</f>
        <v>0</v>
      </c>
      <c r="U43" s="3341"/>
      <c r="V43" s="3341">
        <f>I43</f>
        <v>0</v>
      </c>
      <c r="W43" s="3341"/>
      <c r="X43" s="330"/>
      <c r="Y43" s="466"/>
      <c r="Z43" s="330"/>
      <c r="AA43" s="330"/>
      <c r="AB43" s="330"/>
      <c r="AC43" s="330"/>
    </row>
    <row r="44" spans="1:29" ht="15">
      <c r="A44" s="311" t="s">
        <v>959</v>
      </c>
      <c r="B44" s="1756"/>
      <c r="C44" s="1757" t="e">
        <f>R45</f>
        <v>#DIV/0!</v>
      </c>
      <c r="D44" s="1758"/>
      <c r="E44" s="1757" t="e">
        <f>R44</f>
        <v>#DIV/0!</v>
      </c>
      <c r="F44" s="1759"/>
      <c r="G44" s="1760" t="e">
        <f>T44</f>
        <v>#DIV/0!</v>
      </c>
      <c r="H44" s="1758"/>
      <c r="I44" s="1757" t="e">
        <f>V44</f>
        <v>#DIV/0!</v>
      </c>
      <c r="J44" s="1758"/>
      <c r="K44" s="1796"/>
      <c r="L44" s="398"/>
      <c r="M44" s="378"/>
      <c r="N44" s="378"/>
      <c r="O44" s="319"/>
      <c r="P44" s="3340" t="str">
        <f>A44</f>
        <v>比较价格（元/平方米）</v>
      </c>
      <c r="Q44" s="3340"/>
      <c r="R44" s="3342" t="e">
        <f>ROUND(PRODUCT(R43,AA9:AA42),0)</f>
        <v>#DIV/0!</v>
      </c>
      <c r="S44" s="3342"/>
      <c r="T44" s="3342" t="e">
        <f>ROUND(PRODUCT(T43,AB9:AB42),0)</f>
        <v>#DIV/0!</v>
      </c>
      <c r="U44" s="3342"/>
      <c r="V44" s="3342" t="e">
        <f>ROUND(PRODUCT(V43,AC9:AC42),0)</f>
        <v>#DIV/0!</v>
      </c>
      <c r="W44" s="3342"/>
      <c r="X44" s="330"/>
      <c r="Y44" s="330"/>
      <c r="Z44" s="330"/>
      <c r="AA44" s="330"/>
      <c r="AB44" s="330"/>
      <c r="AC44" s="330"/>
    </row>
    <row r="45" spans="1:29" ht="15">
      <c r="A45" s="316" t="s">
        <v>960</v>
      </c>
      <c r="B45" s="317"/>
      <c r="C45" s="1761" t="e">
        <f>R45</f>
        <v>#DIV/0!</v>
      </c>
      <c r="D45" s="1761"/>
      <c r="E45" s="1761"/>
      <c r="F45" s="1761"/>
      <c r="G45" s="1761"/>
      <c r="H45" s="1761"/>
      <c r="I45" s="1761"/>
      <c r="J45" s="1761"/>
      <c r="K45" s="1797"/>
      <c r="L45" s="398"/>
      <c r="M45" s="378"/>
      <c r="N45" s="378"/>
      <c r="O45" s="319"/>
      <c r="P45" s="3343" t="str">
        <f>A45</f>
        <v>估价对象XX用房的比较价格（楼面单价，元/平方米）</v>
      </c>
      <c r="Q45" s="3344"/>
      <c r="R45" s="3345" t="e">
        <f>ROUND(AVERAGE(R44:V44),0)</f>
        <v>#DIV/0!</v>
      </c>
      <c r="S45" s="3345"/>
      <c r="T45" s="3345"/>
      <c r="U45" s="3345"/>
      <c r="V45" s="3345"/>
      <c r="W45" s="3345"/>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961</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962</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963</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2" t="s">
        <v>964</v>
      </c>
      <c r="B52" s="1763" t="s">
        <v>965</v>
      </c>
      <c r="C52" s="1764" t="s">
        <v>966</v>
      </c>
      <c r="D52" s="1765" t="s">
        <v>967</v>
      </c>
      <c r="E52" s="1766" t="s">
        <v>968</v>
      </c>
      <c r="F52" s="1767" t="s">
        <v>969</v>
      </c>
      <c r="G52" s="3377" t="s">
        <v>970</v>
      </c>
      <c r="H52" s="3378"/>
      <c r="I52" s="1798" t="s">
        <v>417</v>
      </c>
      <c r="J52" s="1799">
        <f>项目基本情况!F41</f>
        <v>0</v>
      </c>
      <c r="K52" s="1800" t="s">
        <v>971</v>
      </c>
      <c r="L52" s="403"/>
      <c r="M52" s="319"/>
      <c r="N52" s="319"/>
      <c r="O52" s="319"/>
      <c r="P52" s="319"/>
      <c r="Q52" s="319"/>
      <c r="R52" s="319"/>
      <c r="S52" s="319"/>
      <c r="T52" s="319"/>
      <c r="U52" s="319"/>
      <c r="V52" s="319"/>
      <c r="W52" s="319"/>
      <c r="X52" s="319"/>
      <c r="Y52" s="319"/>
      <c r="Z52" s="319"/>
      <c r="AA52" s="319"/>
      <c r="AB52" s="319"/>
      <c r="AC52" s="319"/>
    </row>
    <row r="53" spans="1:29" s="1727" customFormat="1" ht="12.75">
      <c r="A53" s="1768" t="s">
        <v>972</v>
      </c>
      <c r="B53" s="1769" t="e">
        <f>C45</f>
        <v>#DIV/0!</v>
      </c>
      <c r="C53" s="1770">
        <v>1</v>
      </c>
      <c r="D53" s="1771">
        <v>1</v>
      </c>
      <c r="E53" s="1770">
        <f>'数据-汇总表'!E8+'数据-汇总表'!E9</f>
        <v>76796.87</v>
      </c>
      <c r="F53" s="1772" t="e">
        <f t="shared" ref="F53:F62" si="15">ROUND(B53*E53/10000,0)</f>
        <v>#DIV/0!</v>
      </c>
      <c r="G53" s="3379"/>
      <c r="H53" s="3380"/>
      <c r="I53" s="1801">
        <v>1</v>
      </c>
      <c r="J53" s="1802">
        <v>1</v>
      </c>
      <c r="K53" s="1803"/>
      <c r="L53" s="1803"/>
      <c r="M53" s="1803"/>
      <c r="N53" s="1803"/>
      <c r="O53" s="1803"/>
      <c r="P53" s="1803"/>
      <c r="Q53" s="1803"/>
      <c r="R53" s="1803"/>
      <c r="S53" s="1803"/>
      <c r="T53" s="1803"/>
      <c r="U53" s="1803"/>
      <c r="V53" s="1803"/>
      <c r="W53" s="1803"/>
      <c r="X53" s="1803"/>
      <c r="Y53" s="1803"/>
      <c r="Z53" s="1803"/>
      <c r="AA53" s="1803"/>
      <c r="AB53" s="1803"/>
      <c r="AC53" s="1803"/>
    </row>
    <row r="54" spans="1:29" s="1727" customFormat="1" ht="12.75">
      <c r="A54" s="1773" t="s">
        <v>973</v>
      </c>
      <c r="B54" s="1774" t="e">
        <f>ROUND($C$45*C54*D54,0)</f>
        <v>#DIV/0!</v>
      </c>
      <c r="C54" s="1537">
        <f t="shared" ref="C54:C62" si="16">IF($C$52="北京市系数",I54,J54)</f>
        <v>0</v>
      </c>
      <c r="D54" s="1775">
        <v>0.25</v>
      </c>
      <c r="E54" s="1776"/>
      <c r="F54" s="1772" t="e">
        <f t="shared" si="15"/>
        <v>#DIV/0!</v>
      </c>
      <c r="G54" s="3376" t="s">
        <v>974</v>
      </c>
      <c r="H54" s="1778">
        <f>项目基本情况!B43</f>
        <v>0</v>
      </c>
      <c r="I54" s="1801">
        <f>SUMIF(修正!$A$45:$A$56,H54,修正!B45:B56)</f>
        <v>0</v>
      </c>
      <c r="J54" s="1804"/>
      <c r="K54" s="1803"/>
      <c r="L54" s="1803"/>
      <c r="M54" s="1803"/>
      <c r="N54" s="1803"/>
      <c r="O54" s="1803"/>
      <c r="P54" s="1803"/>
      <c r="Q54" s="1803"/>
      <c r="R54" s="1803"/>
      <c r="S54" s="1803"/>
      <c r="T54" s="1803"/>
      <c r="U54" s="1803"/>
      <c r="V54" s="1803"/>
      <c r="W54" s="1803"/>
      <c r="X54" s="1803"/>
      <c r="Y54" s="1803"/>
      <c r="Z54" s="1803"/>
      <c r="AA54" s="1803"/>
      <c r="AB54" s="1803"/>
      <c r="AC54" s="1803"/>
    </row>
    <row r="55" spans="1:29" s="1727" customFormat="1" ht="12.75">
      <c r="A55" s="1773" t="s">
        <v>975</v>
      </c>
      <c r="B55" s="1774" t="e">
        <f t="shared" ref="B55:B62" si="17">ROUND($C$45*C55*D55,0)</f>
        <v>#DIV/0!</v>
      </c>
      <c r="C55" s="1537">
        <f t="shared" si="16"/>
        <v>0</v>
      </c>
      <c r="D55" s="1775">
        <v>0.25</v>
      </c>
      <c r="E55" s="1776"/>
      <c r="F55" s="1772" t="e">
        <f t="shared" si="15"/>
        <v>#DIV/0!</v>
      </c>
      <c r="G55" s="3376"/>
      <c r="H55" s="1779">
        <f>项目基本情况!B43</f>
        <v>0</v>
      </c>
      <c r="I55" s="1801">
        <f>SUMIF(修正!$A$45:$A$56,H55,修正!C45:C56)</f>
        <v>0</v>
      </c>
      <c r="J55" s="1804"/>
      <c r="K55" s="1803"/>
      <c r="L55" s="1803"/>
      <c r="M55" s="1803"/>
      <c r="N55" s="1803"/>
      <c r="O55" s="1803"/>
      <c r="P55" s="1803"/>
      <c r="Q55" s="1803"/>
      <c r="R55" s="1803"/>
      <c r="S55" s="1803"/>
      <c r="T55" s="1803"/>
      <c r="U55" s="1803"/>
      <c r="V55" s="1803"/>
      <c r="W55" s="1803"/>
      <c r="X55" s="1803"/>
      <c r="Y55" s="1803"/>
      <c r="Z55" s="1803"/>
      <c r="AA55" s="1803"/>
      <c r="AB55" s="1803"/>
      <c r="AC55" s="1803"/>
    </row>
    <row r="56" spans="1:29" s="1727" customFormat="1" ht="12.75">
      <c r="A56" s="1773" t="s">
        <v>976</v>
      </c>
      <c r="B56" s="1774" t="e">
        <f t="shared" si="17"/>
        <v>#DIV/0!</v>
      </c>
      <c r="C56" s="1537">
        <f t="shared" si="16"/>
        <v>0</v>
      </c>
      <c r="D56" s="1775">
        <v>0.25</v>
      </c>
      <c r="E56" s="1776"/>
      <c r="F56" s="1772" t="e">
        <f t="shared" si="15"/>
        <v>#DIV/0!</v>
      </c>
      <c r="G56" s="3376"/>
      <c r="H56" s="1779">
        <f>项目基本情况!B43</f>
        <v>0</v>
      </c>
      <c r="I56" s="1801">
        <f>SUMIF(修正!$A$45:$A$56,H56,修正!D45:D56)</f>
        <v>0</v>
      </c>
      <c r="J56" s="1804"/>
      <c r="K56" s="1803"/>
      <c r="L56" s="1803"/>
      <c r="M56" s="1803"/>
      <c r="N56" s="1803"/>
      <c r="O56" s="1803"/>
      <c r="P56" s="1803"/>
      <c r="Q56" s="1803"/>
      <c r="R56" s="1803"/>
      <c r="S56" s="1803"/>
      <c r="T56" s="1803"/>
      <c r="U56" s="1803"/>
      <c r="V56" s="1803"/>
      <c r="W56" s="1803"/>
      <c r="X56" s="1803"/>
      <c r="Y56" s="1803"/>
      <c r="Z56" s="1803"/>
      <c r="AA56" s="1803"/>
      <c r="AB56" s="1803"/>
      <c r="AC56" s="1803"/>
    </row>
    <row r="57" spans="1:29" s="1727" customFormat="1" ht="12.75">
      <c r="A57" s="1773" t="s">
        <v>977</v>
      </c>
      <c r="B57" s="1774" t="e">
        <f t="shared" si="17"/>
        <v>#DIV/0!</v>
      </c>
      <c r="C57" s="1537">
        <f t="shared" si="16"/>
        <v>0</v>
      </c>
      <c r="D57" s="1775">
        <v>0.25</v>
      </c>
      <c r="E57" s="1776"/>
      <c r="F57" s="1772" t="e">
        <f t="shared" si="15"/>
        <v>#DIV/0!</v>
      </c>
      <c r="G57" s="3376"/>
      <c r="H57" s="1779">
        <f>项目基本情况!B43</f>
        <v>0</v>
      </c>
      <c r="I57" s="1801">
        <f>SUMIF(修正!$A$45:$A$56,H57,修正!E45:E56)</f>
        <v>0</v>
      </c>
      <c r="J57" s="1804"/>
      <c r="K57" s="1803"/>
      <c r="L57" s="1803"/>
      <c r="M57" s="1803"/>
      <c r="N57" s="1803"/>
      <c r="O57" s="1803"/>
      <c r="P57" s="1803"/>
      <c r="Q57" s="1803"/>
      <c r="R57" s="1803"/>
      <c r="S57" s="1803"/>
      <c r="T57" s="1803"/>
      <c r="U57" s="1803"/>
      <c r="V57" s="1803"/>
      <c r="W57" s="1803"/>
      <c r="X57" s="1803"/>
      <c r="Y57" s="1803"/>
      <c r="Z57" s="1803"/>
      <c r="AA57" s="1803"/>
      <c r="AB57" s="1803"/>
      <c r="AC57" s="1803"/>
    </row>
    <row r="58" spans="1:29" s="1727" customFormat="1" ht="12.75">
      <c r="A58" s="1780" t="s">
        <v>532</v>
      </c>
      <c r="B58" s="1774" t="e">
        <f t="shared" si="17"/>
        <v>#DIV/0!</v>
      </c>
      <c r="C58" s="1537">
        <f t="shared" si="16"/>
        <v>0</v>
      </c>
      <c r="D58" s="1775">
        <v>0.25</v>
      </c>
      <c r="E58" s="1781">
        <f>'数据-汇总表'!E11</f>
        <v>0</v>
      </c>
      <c r="F58" s="1772" t="e">
        <f t="shared" si="15"/>
        <v>#DIV/0!</v>
      </c>
      <c r="G58" s="1777" t="s">
        <v>978</v>
      </c>
      <c r="H58" s="1779">
        <f>项目基本情况!C43</f>
        <v>0</v>
      </c>
      <c r="I58" s="1801">
        <f>SUMIF(修正!$A$45:$A$56,H58,修正!F45:F56)</f>
        <v>0</v>
      </c>
      <c r="J58" s="1804"/>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2.75">
      <c r="A59" s="1773" t="s">
        <v>979</v>
      </c>
      <c r="B59" s="1774" t="e">
        <f t="shared" si="17"/>
        <v>#DIV/0!</v>
      </c>
      <c r="C59" s="1537">
        <f t="shared" si="16"/>
        <v>0</v>
      </c>
      <c r="D59" s="1775">
        <v>0.25</v>
      </c>
      <c r="E59" s="1781">
        <f>'数据-汇总表'!E12</f>
        <v>0</v>
      </c>
      <c r="F59" s="1772" t="e">
        <f t="shared" si="15"/>
        <v>#DIV/0!</v>
      </c>
      <c r="G59" s="1782" t="s">
        <v>371</v>
      </c>
      <c r="H59" s="1778">
        <f>IF(G59="商业",项目基本情况!B43,IF(G59="办公",项目基本情况!C43,IF(G59="住宅",项目基本情况!D43,项目基本情况!E43)))</f>
        <v>0</v>
      </c>
      <c r="I59" s="1801">
        <f>SUMIF(修正!$A$45:$A$56,H59,修正!G45:G56)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2.75">
      <c r="A60" s="1773" t="s">
        <v>980</v>
      </c>
      <c r="B60" s="1774" t="e">
        <f t="shared" si="17"/>
        <v>#DIV/0!</v>
      </c>
      <c r="C60" s="1537">
        <f t="shared" si="16"/>
        <v>0</v>
      </c>
      <c r="D60" s="1775">
        <v>0.25</v>
      </c>
      <c r="E60" s="1781">
        <f>'数据-汇总表'!E13</f>
        <v>51186.6</v>
      </c>
      <c r="F60" s="1772" t="e">
        <f t="shared" si="15"/>
        <v>#DIV/0!</v>
      </c>
      <c r="G60" s="1782" t="s">
        <v>369</v>
      </c>
      <c r="H60" s="1778">
        <f>IF(G60="商业",项目基本情况!B43,IF(G60="办公",项目基本情况!C43,IF(G60="住宅",项目基本情况!D43,项目基本情况!E43)))</f>
        <v>0</v>
      </c>
      <c r="I60" s="1801">
        <f>SUMIF(修正!$A$45:$A$56,H60,修正!H45:H56)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2.75">
      <c r="A61" s="1773" t="s">
        <v>981</v>
      </c>
      <c r="B61" s="1774" t="e">
        <f t="shared" si="17"/>
        <v>#DIV/0!</v>
      </c>
      <c r="C61" s="1537">
        <f t="shared" si="16"/>
        <v>0</v>
      </c>
      <c r="D61" s="1775">
        <v>0.25</v>
      </c>
      <c r="E61" s="1781">
        <f>'数据-汇总表'!E14</f>
        <v>0</v>
      </c>
      <c r="F61" s="1772" t="e">
        <f t="shared" si="15"/>
        <v>#DIV/0!</v>
      </c>
      <c r="G61" s="1777" t="s">
        <v>974</v>
      </c>
      <c r="H61" s="1779">
        <f>项目基本情况!B43</f>
        <v>0</v>
      </c>
      <c r="I61" s="1801">
        <f>SUMIF(修正!$A$45:$A$56,H61,修正!H45:H56)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2.75">
      <c r="A62" s="1773" t="s">
        <v>982</v>
      </c>
      <c r="B62" s="1774" t="e">
        <f t="shared" si="17"/>
        <v>#DIV/0!</v>
      </c>
      <c r="C62" s="1537">
        <f t="shared" si="16"/>
        <v>0</v>
      </c>
      <c r="D62" s="1775">
        <v>0.25</v>
      </c>
      <c r="E62" s="1781">
        <f>'数据-汇总表'!E15</f>
        <v>0</v>
      </c>
      <c r="F62" s="1772" t="e">
        <f t="shared" si="15"/>
        <v>#DIV/0!</v>
      </c>
      <c r="G62" s="1783" t="s">
        <v>978</v>
      </c>
      <c r="H62" s="1784">
        <f>项目基本情况!C43</f>
        <v>0</v>
      </c>
      <c r="I62" s="1801">
        <f>SUMIF(修正!$A$45:$A$56,H62,修正!H45:H56)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2.75">
      <c r="A63" s="1785" t="s">
        <v>983</v>
      </c>
      <c r="B63" s="1786" t="s">
        <v>984</v>
      </c>
      <c r="C63" s="1786" t="s">
        <v>984</v>
      </c>
      <c r="D63" s="1786" t="s">
        <v>984</v>
      </c>
      <c r="E63" s="1786">
        <f>IF(B43="楼面地价",SUM(E53:E62),'数据-汇总表'!D3)</f>
        <v>66881</v>
      </c>
      <c r="F63" s="1787" t="e">
        <f>IF(B43="楼面地价",SUM(F53:F62),ROUND(C45*E63/10000,0))</f>
        <v>#DIV/0!</v>
      </c>
      <c r="G63" s="1788"/>
      <c r="H63" s="1788"/>
      <c r="I63" s="1788"/>
      <c r="J63" s="1788"/>
      <c r="K63" s="1788"/>
      <c r="L63" s="1803"/>
      <c r="M63" s="1803"/>
      <c r="N63" s="1803"/>
      <c r="O63" s="1803"/>
      <c r="P63" s="1803"/>
      <c r="Q63" s="1803"/>
      <c r="R63" s="1803"/>
      <c r="S63" s="1803"/>
      <c r="T63" s="1803"/>
      <c r="U63" s="1803"/>
      <c r="V63" s="1803"/>
      <c r="W63" s="1803"/>
      <c r="X63" s="1803"/>
      <c r="Y63" s="1803"/>
      <c r="Z63" s="1803"/>
      <c r="AA63" s="1803"/>
      <c r="AB63" s="1803"/>
      <c r="AC63" s="180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5" t="str">
        <f>YEAR(C9)&amp;"-"&amp;MONTH(C9)&amp;"-1"</f>
        <v>2020-3-1</v>
      </c>
      <c r="D65" s="1806">
        <f>EDATE(C65,-3)</f>
        <v>43800</v>
      </c>
      <c r="E65" s="1806">
        <f t="shared" ref="E65:N65" si="18">EDATE(D65,-3)</f>
        <v>43709</v>
      </c>
      <c r="F65" s="1806">
        <f t="shared" si="18"/>
        <v>43617</v>
      </c>
      <c r="G65" s="1806">
        <f t="shared" si="18"/>
        <v>43525</v>
      </c>
      <c r="H65" s="1806">
        <f t="shared" si="18"/>
        <v>43435</v>
      </c>
      <c r="I65" s="1806">
        <f t="shared" si="18"/>
        <v>43344</v>
      </c>
      <c r="J65" s="1806">
        <f t="shared" si="18"/>
        <v>43252</v>
      </c>
      <c r="K65" s="1806">
        <f t="shared" si="18"/>
        <v>43160</v>
      </c>
      <c r="L65" s="1806">
        <f t="shared" si="18"/>
        <v>43070</v>
      </c>
      <c r="M65" s="1806">
        <f t="shared" si="18"/>
        <v>42979</v>
      </c>
      <c r="N65" s="1806">
        <f t="shared" si="18"/>
        <v>42887</v>
      </c>
      <c r="O65" s="319"/>
      <c r="P65" s="319"/>
      <c r="Q65" s="319"/>
      <c r="R65" s="319"/>
      <c r="S65" s="319"/>
      <c r="T65" s="319"/>
      <c r="U65" s="319"/>
      <c r="V65" s="319"/>
      <c r="W65" s="319"/>
      <c r="X65" s="319"/>
      <c r="Y65" s="319"/>
      <c r="Z65" s="319"/>
      <c r="AA65" s="319"/>
      <c r="AB65" s="319"/>
      <c r="AC65" s="319"/>
    </row>
    <row r="66" spans="1:29" ht="21">
      <c r="A66" s="329" t="s">
        <v>985</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7" t="s">
        <v>1370</v>
      </c>
      <c r="B67" s="334"/>
      <c r="C67" s="1808" t="str">
        <f>YEAR(C65)&amp;"-"&amp;ROUNDUP(MONTH(C65)/3,0)</f>
        <v>2020-1</v>
      </c>
      <c r="D67" s="1808" t="str">
        <f t="shared" ref="D67:N67" si="19">YEAR(D65)&amp;"-"&amp;ROUNDUP(MONTH(D65)/3,0)</f>
        <v>2019-4</v>
      </c>
      <c r="E67" s="1808" t="str">
        <f t="shared" si="19"/>
        <v>2019-3</v>
      </c>
      <c r="F67" s="1808" t="str">
        <f t="shared" si="19"/>
        <v>2019-2</v>
      </c>
      <c r="G67" s="1808" t="str">
        <f t="shared" si="19"/>
        <v>2019-1</v>
      </c>
      <c r="H67" s="1808" t="str">
        <f t="shared" si="19"/>
        <v>2018-4</v>
      </c>
      <c r="I67" s="1808" t="str">
        <f t="shared" si="19"/>
        <v>2018-3</v>
      </c>
      <c r="J67" s="1808" t="str">
        <f t="shared" si="19"/>
        <v>2018-2</v>
      </c>
      <c r="K67" s="1808" t="str">
        <f t="shared" si="19"/>
        <v>2018-1</v>
      </c>
      <c r="L67" s="1808" t="str">
        <f t="shared" si="19"/>
        <v>2017-4</v>
      </c>
      <c r="M67" s="1808" t="str">
        <f t="shared" si="19"/>
        <v>2017-3</v>
      </c>
      <c r="N67" s="1808" t="str">
        <f t="shared" si="19"/>
        <v>2017-2</v>
      </c>
      <c r="O67" s="1816"/>
      <c r="P67" s="409"/>
      <c r="Q67" s="455"/>
      <c r="R67" s="455"/>
      <c r="S67" s="455"/>
      <c r="T67" s="455"/>
      <c r="U67" s="455"/>
      <c r="V67" s="455"/>
      <c r="W67" s="455"/>
      <c r="X67" s="455"/>
      <c r="Y67" s="455"/>
      <c r="Z67" s="455"/>
      <c r="AA67" s="455"/>
      <c r="AB67" s="455"/>
      <c r="AC67" s="455"/>
    </row>
    <row r="68" spans="1:29" s="190" customFormat="1" ht="27.75" customHeight="1">
      <c r="A68" s="1809" t="s">
        <v>164</v>
      </c>
      <c r="B68" s="1810" t="str">
        <f>"北京市平均增长率"&amp;TEXT(基准地价!P24,"0.00%")</f>
        <v>北京市平均增长率1.33%</v>
      </c>
      <c r="C68" s="472">
        <v>100</v>
      </c>
      <c r="D68" s="475"/>
      <c r="E68" s="475"/>
      <c r="F68" s="475"/>
      <c r="G68" s="475"/>
      <c r="H68" s="475"/>
      <c r="I68" s="475"/>
      <c r="J68" s="475"/>
      <c r="K68" s="475"/>
      <c r="L68" s="475"/>
      <c r="M68" s="1817"/>
      <c r="N68" s="1818"/>
      <c r="O68" s="417"/>
      <c r="P68" s="412"/>
      <c r="Q68" s="456"/>
      <c r="R68" s="456"/>
      <c r="S68" s="456"/>
      <c r="T68" s="456"/>
      <c r="U68" s="456"/>
      <c r="V68" s="456"/>
      <c r="W68" s="456"/>
      <c r="X68" s="456"/>
      <c r="Y68" s="456"/>
      <c r="Z68" s="456"/>
      <c r="AA68" s="456"/>
      <c r="AB68" s="456"/>
      <c r="AC68" s="456"/>
    </row>
    <row r="69" spans="1:29" s="190" customFormat="1" ht="15">
      <c r="A69" s="341" t="s">
        <v>1371</v>
      </c>
      <c r="B69" s="342"/>
      <c r="C69" s="1811"/>
      <c r="D69" s="1812"/>
      <c r="E69" s="1812"/>
      <c r="F69" s="1812"/>
      <c r="G69" s="1812"/>
      <c r="H69" s="1812"/>
      <c r="I69" s="1812"/>
      <c r="J69" s="1812"/>
      <c r="K69" s="1812"/>
      <c r="L69" s="1812"/>
      <c r="M69" s="1812"/>
      <c r="N69" s="1812"/>
      <c r="O69" s="417"/>
      <c r="P69" s="412"/>
      <c r="Q69" s="412"/>
      <c r="R69" s="456"/>
      <c r="S69" s="456"/>
      <c r="T69" s="456"/>
      <c r="U69" s="456"/>
      <c r="V69" s="456"/>
      <c r="W69" s="456"/>
      <c r="X69" s="456"/>
      <c r="Y69" s="456"/>
      <c r="Z69" s="456"/>
      <c r="AA69" s="456"/>
      <c r="AB69" s="456"/>
      <c r="AC69" s="456"/>
    </row>
    <row r="70" spans="1:29" s="190" customFormat="1" ht="15">
      <c r="A70" s="345" t="s">
        <v>933</v>
      </c>
      <c r="B70" s="338"/>
      <c r="C70" s="346" t="s">
        <v>934</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989</v>
      </c>
      <c r="B72" s="349" t="s">
        <v>990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992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993</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230</v>
      </c>
      <c r="C89" s="368" t="s">
        <v>246</v>
      </c>
      <c r="D89" s="368" t="s">
        <v>258</v>
      </c>
      <c r="E89" s="368" t="s">
        <v>269</v>
      </c>
      <c r="F89" s="368" t="s">
        <v>279</v>
      </c>
      <c r="G89" s="368" t="s">
        <v>287</v>
      </c>
      <c r="H89" s="368"/>
      <c r="I89" s="368"/>
      <c r="J89" s="368"/>
      <c r="K89" s="368"/>
      <c r="L89" s="181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947</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231</v>
      </c>
      <c r="C93" s="366" t="s">
        <v>246</v>
      </c>
      <c r="D93" s="366" t="s">
        <v>258</v>
      </c>
      <c r="E93" s="366" t="s">
        <v>269</v>
      </c>
      <c r="F93" s="366" t="s">
        <v>279</v>
      </c>
      <c r="G93" s="366" t="s">
        <v>287</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232</v>
      </c>
      <c r="C95" s="468" t="s">
        <v>247</v>
      </c>
      <c r="D95" s="468" t="s">
        <v>259</v>
      </c>
      <c r="E95" s="468" t="s">
        <v>270</v>
      </c>
      <c r="F95" s="468" t="s">
        <v>280</v>
      </c>
      <c r="G95" s="468" t="s">
        <v>288</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994</v>
      </c>
      <c r="D97" s="356" t="s">
        <v>995</v>
      </c>
      <c r="E97" s="356" t="s">
        <v>996</v>
      </c>
      <c r="F97" s="356" t="s">
        <v>997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948</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949</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3"/>
      <c r="H108" s="1813"/>
      <c r="I108" s="1813"/>
      <c r="J108" s="1813"/>
      <c r="K108" s="1813"/>
      <c r="L108" s="1813"/>
      <c r="M108" s="1821"/>
      <c r="N108" s="425"/>
      <c r="O108" s="425"/>
      <c r="P108" s="436"/>
      <c r="Q108" s="457"/>
      <c r="R108" s="458"/>
      <c r="S108" s="458"/>
      <c r="T108" s="458"/>
      <c r="U108" s="458"/>
      <c r="V108" s="458"/>
      <c r="W108" s="458"/>
      <c r="X108" s="458"/>
      <c r="Y108" s="458"/>
      <c r="Z108" s="458"/>
      <c r="AA108" s="458"/>
      <c r="AB108" s="458"/>
      <c r="AC108" s="458"/>
    </row>
    <row r="109" spans="1:29">
      <c r="A109" s="348" t="s">
        <v>998</v>
      </c>
      <c r="B109" s="349" t="s">
        <v>952</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2" t="str">
        <f t="shared" si="25"/>
        <v>(含)-</v>
      </c>
      <c r="L109" s="1823" t="str">
        <f t="shared" si="25"/>
        <v>(含)-</v>
      </c>
      <c r="M109" s="182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953</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955</v>
      </c>
      <c r="C114" s="1814"/>
      <c r="D114" s="1814"/>
      <c r="E114" s="1814"/>
      <c r="F114" s="1814"/>
      <c r="G114" s="181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956</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1" customWidth="1"/>
    <col min="2" max="2" width="20.87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1372</v>
      </c>
      <c r="B1" s="1386"/>
      <c r="C1" s="1387" t="s">
        <v>382</v>
      </c>
      <c r="D1" s="1388">
        <f>SUM(D29:D30,D33:D39)</f>
        <v>0</v>
      </c>
      <c r="E1" s="1387" t="s">
        <v>385</v>
      </c>
      <c r="F1" s="1389"/>
      <c r="G1" s="1390"/>
      <c r="H1" s="1390"/>
      <c r="I1" s="1390"/>
      <c r="J1" s="1390"/>
      <c r="K1" s="1390"/>
      <c r="L1" s="1575" t="s">
        <v>1373</v>
      </c>
      <c r="M1" s="1576">
        <f>SUMPRODUCT((区片价!B5:B9=I2)*(区片价!C3:F3=E2)*(区片价!C5:F9))</f>
        <v>0</v>
      </c>
      <c r="N1" s="1577">
        <f>SUMPRODUCT((因素修正幅度!B5:B9=I2)*(因素修正幅度!C3:F3=E2)*(因素修正幅度!C5:F9))</f>
        <v>0</v>
      </c>
      <c r="O1" s="1390"/>
      <c r="P1" s="1390"/>
      <c r="Q1" s="1653"/>
      <c r="R1" s="1663" t="s">
        <v>1374</v>
      </c>
      <c r="S1" s="1663" t="s">
        <v>1375</v>
      </c>
      <c r="T1" s="1663" t="s">
        <v>1376</v>
      </c>
      <c r="U1" s="1663" t="s">
        <v>1377</v>
      </c>
      <c r="V1" s="1663" t="s">
        <v>618</v>
      </c>
      <c r="W1" s="1653"/>
      <c r="X1" s="1653"/>
      <c r="Y1" s="1653"/>
      <c r="Z1" s="1653"/>
      <c r="AA1" s="1653"/>
      <c r="AB1" s="1653"/>
      <c r="AC1" s="1674"/>
    </row>
    <row r="2" spans="1:39" ht="15.75">
      <c r="A2" s="1387" t="s">
        <v>1378</v>
      </c>
      <c r="B2" s="1391" t="e">
        <f>C26</f>
        <v>#DIV/0!</v>
      </c>
      <c r="C2" s="1392" t="s">
        <v>1307</v>
      </c>
      <c r="D2" s="1393" t="s">
        <v>345</v>
      </c>
      <c r="E2" s="1394"/>
      <c r="F2" s="1393" t="s">
        <v>217</v>
      </c>
      <c r="G2" s="1395">
        <f>IF(E2="商业",项目基本情况!B43,IF(E2="办公",项目基本情况!C43,IF(E2="住宅",项目基本情况!D43,项目基本情况!E43)))</f>
        <v>0</v>
      </c>
      <c r="H2" s="1393" t="s">
        <v>418</v>
      </c>
      <c r="I2" s="1578">
        <f>IF(E2="商业",项目基本情况!B44,IF(E2="办公",项目基本情况!C44,IF(E2="住宅",项目基本情况!D44,项目基本情况!E44)))</f>
        <v>0</v>
      </c>
      <c r="J2" s="1579"/>
      <c r="K2" s="1579"/>
      <c r="L2" s="1580" t="s">
        <v>1379</v>
      </c>
      <c r="M2" s="1581">
        <f>SUMPRODUCT((区片价!B10:B28=I2)*(区片价!C3:F3=E2)*(区片价!C10:F28))</f>
        <v>0</v>
      </c>
      <c r="N2" s="1582">
        <f>SUMPRODUCT((因素修正幅度!B10:B28=I2)*(因素修正幅度!C3:F3=E2)*(因素修正幅度!C10:F28))</f>
        <v>0</v>
      </c>
      <c r="O2" s="1579"/>
      <c r="P2" s="1390"/>
      <c r="Q2" s="1653"/>
      <c r="R2" s="1664">
        <v>1</v>
      </c>
      <c r="S2" s="1664" t="e">
        <f>ROUND(IF(G3&gt;1,IF(R2&lt;7,SUMPRODUCT((B93:B98=R2)*(C92:N92=G2)*(C93:N98)),SUMIF(C92:N92,G2,C100:N100)),IF(R2&lt;7,SUMPRODUCT((B102:B107=R2)*(C92:N92=G2)*(C102:N107)),SUMIF(C92:N92,G2,C109:N109))),4)</f>
        <v>#DIV/0!</v>
      </c>
      <c r="T2" s="1664" t="e">
        <f>ROUND($C$5*$C$18*$C$19*$C$20*S2*$C$24,0)</f>
        <v>#DIV/0!</v>
      </c>
      <c r="U2" s="1665"/>
      <c r="V2" s="1664" t="e">
        <f>ROUND(T2*U2/10000,0)</f>
        <v>#DIV/0!</v>
      </c>
      <c r="W2" s="1653"/>
      <c r="X2" s="1653"/>
      <c r="Y2" s="1653"/>
      <c r="Z2" s="1653"/>
      <c r="AA2" s="1653"/>
      <c r="AB2" s="1653"/>
      <c r="AC2" s="1674"/>
    </row>
    <row r="3" spans="1:39" ht="15.75">
      <c r="A3" s="1396" t="s">
        <v>917</v>
      </c>
      <c r="B3" s="1391" t="e">
        <f>ROUND(B2*10000/D1,0)</f>
        <v>#DIV/0!</v>
      </c>
      <c r="C3" s="1392" t="s">
        <v>1380</v>
      </c>
      <c r="D3" s="1393" t="s">
        <v>1381</v>
      </c>
      <c r="E3" s="1397"/>
      <c r="F3" s="1398"/>
      <c r="G3" s="1399">
        <f>IF(F3="宗地容积率",'数据-汇总表'!I4,IF(F3="估价对象容积率",'数据-汇总表'!I6,'数据-汇总表'!I7))</f>
        <v>0</v>
      </c>
      <c r="H3" s="1400" t="s">
        <v>1382</v>
      </c>
      <c r="I3" s="1583">
        <v>8</v>
      </c>
      <c r="J3" s="1579" t="s">
        <v>1383</v>
      </c>
      <c r="K3" s="1579"/>
      <c r="L3" s="1580" t="s">
        <v>1384</v>
      </c>
      <c r="M3" s="1581">
        <f>SUMPRODUCT((区片价!B29:B48=I2)*(区片价!C3:F3=E2)*(区片价!C29:F48))</f>
        <v>0</v>
      </c>
      <c r="N3" s="1582">
        <f>SUMPRODUCT((因素修正幅度!B29:B48=I2)*(因素修正幅度!C3:F3=E2)*(因素修正幅度!C29:F48))</f>
        <v>0</v>
      </c>
      <c r="O3" s="1579"/>
      <c r="P3" s="1390"/>
      <c r="Q3" s="1653"/>
      <c r="R3" s="1664">
        <v>2</v>
      </c>
      <c r="S3" s="1664" t="e">
        <f>ROUND(IF(G3&gt;1,IF(R3&lt;7,SUMPRODUCT((B93:B98=R3)*(C92:N92=G2)*(C93:N98)),SUMIF(C92:N92,G2,C100:N100)),IF(R3&lt;7,SUMPRODUCT((B102:B107=R3)*(C92:N92=G2)*(C102:N107)),SUMIF(C92:N92,G2,C109:N109))),4)</f>
        <v>#DIV/0!</v>
      </c>
      <c r="T3" s="1664" t="e">
        <f t="shared" ref="T3:T16" si="0">ROUND($C$5*$C$18*$C$19*$C$20*S3*$C$24,0)</f>
        <v>#DIV/0!</v>
      </c>
      <c r="U3" s="1665"/>
      <c r="V3" s="1664" t="e">
        <f t="shared" ref="V3:V16" si="1">ROUND(T3*U3/10000,0)</f>
        <v>#DIV/0!</v>
      </c>
      <c r="W3" s="1653"/>
      <c r="X3" s="1653"/>
      <c r="Y3" s="1653"/>
      <c r="Z3" s="1653"/>
      <c r="AA3" s="1653"/>
      <c r="AB3" s="1653"/>
      <c r="AC3" s="1674"/>
    </row>
    <row r="4" spans="1:39" ht="28.5">
      <c r="A4" s="1401" t="s">
        <v>1385</v>
      </c>
      <c r="B4" s="1402" t="e">
        <f>ROUND(B2*10000/F1,0)</f>
        <v>#DIV/0!</v>
      </c>
      <c r="C4" s="1403" t="s">
        <v>1380</v>
      </c>
      <c r="D4" s="1403" t="e">
        <f>ROUND(B2/(F1/666.67),0)</f>
        <v>#DIV/0!</v>
      </c>
      <c r="E4" s="1403" t="s">
        <v>1386</v>
      </c>
      <c r="F4" s="1404"/>
      <c r="G4" s="1404"/>
      <c r="H4" s="1404"/>
      <c r="I4" s="1404"/>
      <c r="J4" s="1584"/>
      <c r="K4" s="1585"/>
      <c r="L4" s="1580" t="s">
        <v>1387</v>
      </c>
      <c r="M4" s="1581">
        <f>SUMPRODUCT((区片价!B49:B75=I2)*(区片价!C3:F3=E2)*(区片价!C49:F75))</f>
        <v>0</v>
      </c>
      <c r="N4" s="1582">
        <f>SUMPRODUCT((因素修正幅度!B49:B75=I2)*(因素修正幅度!C3:F3=E2)*(因素修正幅度!C49:F75))</f>
        <v>0</v>
      </c>
      <c r="O4" s="1585"/>
      <c r="P4" s="1390"/>
      <c r="Q4" s="1653"/>
      <c r="R4" s="1664">
        <v>3</v>
      </c>
      <c r="S4" s="1664" t="e">
        <f>ROUND(IF(G3&gt;1,IF(R4&lt;7,SUMPRODUCT((B93:B98=R4)*(C92:N92=G2)*(C93:N98)),SUMIF(C92:N92,G2,C100:N100)),IF(R4&lt;7,SUMPRODUCT((B102:B107=R4)*(C92:N92=G2)*(C102:N107)),SUMIF(C92:N92,G2,C109:N109))),4)</f>
        <v>#DIV/0!</v>
      </c>
      <c r="T4" s="1664" t="e">
        <f t="shared" si="0"/>
        <v>#DIV/0!</v>
      </c>
      <c r="U4" s="1665"/>
      <c r="V4" s="1664" t="e">
        <f t="shared" si="1"/>
        <v>#DIV/0!</v>
      </c>
      <c r="W4" s="1653"/>
      <c r="X4" s="1653"/>
      <c r="Y4" s="1653"/>
      <c r="Z4" s="1653"/>
      <c r="AA4" s="1653"/>
      <c r="AB4" s="1653"/>
      <c r="AC4" s="1674"/>
    </row>
    <row r="5" spans="1:39" s="1379" customFormat="1" ht="15">
      <c r="A5" s="1405" t="s">
        <v>849</v>
      </c>
      <c r="B5" s="1406" t="s">
        <v>1388</v>
      </c>
      <c r="C5" s="1407" t="e">
        <f>ROUND(IF(E2="商业",C6*C7+C16,(IF(E2="住宅",C6*C12+C16,C6+C16))),0)</f>
        <v>#DIV/0!</v>
      </c>
      <c r="D5" s="1408" t="e">
        <f>ROUND(C6+C16,0)</f>
        <v>#DIV/0!</v>
      </c>
      <c r="E5" s="1408"/>
      <c r="F5" s="1409"/>
      <c r="G5" s="1410"/>
      <c r="H5" s="1410"/>
      <c r="I5" s="1410"/>
      <c r="J5" s="1586"/>
      <c r="K5" s="1465"/>
      <c r="L5" s="1580" t="s">
        <v>1389</v>
      </c>
      <c r="M5" s="1581">
        <f>SUMPRODUCT((区片价!B76:B109=I2)*(区片价!C3:F3=E2)*(区片价!C76:F109))</f>
        <v>0</v>
      </c>
      <c r="N5" s="1582">
        <f>SUMPRODUCT((因素修正幅度!B76:B109=I2)*(因素修正幅度!C3:F3=E2)*(因素修正幅度!C76:F109))</f>
        <v>0</v>
      </c>
      <c r="O5" s="1465"/>
      <c r="P5" s="1587"/>
      <c r="Q5" s="1653"/>
      <c r="R5" s="1664">
        <v>4</v>
      </c>
      <c r="S5" s="1664" t="e">
        <f>ROUND(IF(G3&gt;1,IF(R5&lt;7,SUMPRODUCT((B93:B98=R5)*(C92:N92=G2)*(C93:N98)),SUMIF(C92:N92,G2,C100:N100)),IF(R5&lt;7,SUMPRODUCT((B102:B107=R5)*(C92:N92=G2)*(C102:N107)),SUMIF(C92:N92,G2,C109:N109))),4)</f>
        <v>#DIV/0!</v>
      </c>
      <c r="T5" s="1664" t="e">
        <f t="shared" si="0"/>
        <v>#DIV/0!</v>
      </c>
      <c r="U5" s="1665"/>
      <c r="V5" s="1664" t="e">
        <f t="shared" si="1"/>
        <v>#DIV/0!</v>
      </c>
      <c r="W5" s="1653"/>
      <c r="X5" s="1653"/>
      <c r="Y5" s="1653"/>
      <c r="Z5" s="1653"/>
      <c r="AA5" s="1653"/>
      <c r="AB5" s="1653"/>
      <c r="AC5" s="1676"/>
      <c r="AD5" s="1677"/>
      <c r="AE5" s="1677"/>
      <c r="AF5" s="1677"/>
      <c r="AG5" s="1677"/>
      <c r="AH5" s="1677"/>
      <c r="AI5" s="1677"/>
      <c r="AJ5" s="1686"/>
      <c r="AK5" s="1686"/>
      <c r="AL5" s="1686"/>
      <c r="AM5" s="1686"/>
    </row>
    <row r="6" spans="1:39" ht="15">
      <c r="A6" s="1411" t="s">
        <v>1390</v>
      </c>
      <c r="B6" s="1412" t="s">
        <v>1388</v>
      </c>
      <c r="C6" s="1413">
        <f>SUMIF(L1:L12,基准地价!G2,M1:M12)</f>
        <v>0</v>
      </c>
      <c r="D6" s="1414" t="s">
        <v>1391</v>
      </c>
      <c r="E6" s="1415"/>
      <c r="F6" s="1415"/>
      <c r="G6" s="1416"/>
      <c r="H6" s="1416"/>
      <c r="I6" s="1416"/>
      <c r="J6" s="1588"/>
      <c r="K6" s="1448"/>
      <c r="L6" s="1580" t="s">
        <v>1392</v>
      </c>
      <c r="M6" s="1581">
        <f>SUMPRODUCT((区片价!B110:B157=I2)*(区片价!C3:F3=E2)*(区片价!C110:F157))</f>
        <v>0</v>
      </c>
      <c r="N6" s="1582">
        <f>SUMPRODUCT((因素修正幅度!B110:B157=I2)*(因素修正幅度!C3:F3=E2)*(因素修正幅度!C110:F157))</f>
        <v>0</v>
      </c>
      <c r="O6" s="1448"/>
      <c r="P6" s="1589"/>
      <c r="Q6" s="1653"/>
      <c r="R6" s="1664">
        <v>5</v>
      </c>
      <c r="S6" s="1664" t="e">
        <f>ROUND(IF(G3&gt;1,IF(R6&lt;7,SUMPRODUCT((B93:B98=R6)*(C92:N92=G2)*(C93:N98)),SUMIF(C92:N92,G2,C100:N100)),IF(R6&lt;7,SUMPRODUCT((B102:B107=R6)*(C92:N92=G2)*(C102:N107)),SUMIF(C92:N92,G2,C109:N109))),4)</f>
        <v>#DIV/0!</v>
      </c>
      <c r="T6" s="1664" t="e">
        <f t="shared" si="0"/>
        <v>#DIV/0!</v>
      </c>
      <c r="U6" s="1665"/>
      <c r="V6" s="1664" t="e">
        <f t="shared" si="1"/>
        <v>#DIV/0!</v>
      </c>
      <c r="W6" s="1653"/>
      <c r="X6" s="1653"/>
      <c r="Y6" s="1653"/>
      <c r="Z6" s="1653"/>
      <c r="AA6" s="1653"/>
      <c r="AB6" s="1653"/>
      <c r="AC6" s="1676"/>
      <c r="AD6" s="1677"/>
      <c r="AE6" s="1677"/>
      <c r="AF6" s="1677"/>
      <c r="AG6" s="1677"/>
      <c r="AH6" s="1677"/>
      <c r="AI6" s="1677"/>
      <c r="AJ6" s="1686"/>
    </row>
    <row r="7" spans="1:39" ht="24">
      <c r="A7" s="3387" t="str">
        <f>IF(E2="商业",IF(C8="不临58条商业街","",2),"")</f>
        <v/>
      </c>
      <c r="B7" s="1417" t="s">
        <v>1393</v>
      </c>
      <c r="C7" s="1418" t="e">
        <f>IF(C8="不临58条商业街",1,ROUND(1+(1.6*E8+1.2*E9+0.8*E10+0.4*E11)*C9,4))</f>
        <v>#DIV/0!</v>
      </c>
      <c r="D7" s="1419" t="s">
        <v>1394</v>
      </c>
      <c r="E7" s="1420"/>
      <c r="F7" s="1421"/>
      <c r="G7" s="1422"/>
      <c r="H7" s="1422"/>
      <c r="I7" s="1422"/>
      <c r="J7" s="1590"/>
      <c r="K7" s="1448"/>
      <c r="L7" s="1580" t="s">
        <v>1395</v>
      </c>
      <c r="M7" s="1581">
        <f>SUMPRODUCT((区片价!B158:B205=I2)*(区片价!C3:F3=E2)*(区片价!C158:F205))</f>
        <v>0</v>
      </c>
      <c r="N7" s="1582">
        <f>SUMPRODUCT((因素修正幅度!B158:B205=I2)*(因素修正幅度!C3:F3=E2)*(因素修正幅度!C158:F205))</f>
        <v>0</v>
      </c>
      <c r="O7" s="1448"/>
      <c r="P7" s="1589"/>
      <c r="Q7" s="1653"/>
      <c r="R7" s="1664">
        <v>6</v>
      </c>
      <c r="S7" s="1664" t="e">
        <f>ROUND(IF(G3&gt;1,IF(R7&lt;7,SUMPRODUCT((B93:B98=R7)*(C92:N92=G2)*(C93:N98)),SUMIF(C92:N92,G2,C100:N100)),IF(R7&lt;7,SUMPRODUCT((B102:B107=R7)*(C92:N92=G2)*(C102:N107)),SUMIF(C92:N92,G2,C109:N109))),4)</f>
        <v>#DIV/0!</v>
      </c>
      <c r="T7" s="1664" t="e">
        <f t="shared" si="0"/>
        <v>#DIV/0!</v>
      </c>
      <c r="U7" s="1665"/>
      <c r="V7" s="1664" t="e">
        <f t="shared" si="1"/>
        <v>#DIV/0!</v>
      </c>
      <c r="W7" s="1666" t="s">
        <v>1396</v>
      </c>
      <c r="X7" s="1667">
        <f>G2</f>
        <v>0</v>
      </c>
      <c r="Y7" s="1667" t="s">
        <v>1397</v>
      </c>
      <c r="Z7" s="1678">
        <f>G3</f>
        <v>0</v>
      </c>
      <c r="AA7" s="1670"/>
      <c r="AB7" s="1670"/>
      <c r="AC7" s="1671"/>
      <c r="AD7" s="1679"/>
      <c r="AE7" s="1679"/>
      <c r="AF7" s="1679"/>
      <c r="AG7" s="1679"/>
      <c r="AH7" s="1679"/>
      <c r="AI7" s="1679"/>
      <c r="AJ7" s="1687"/>
    </row>
    <row r="8" spans="1:39" ht="15">
      <c r="A8" s="3388"/>
      <c r="B8" s="1400" t="s">
        <v>1398</v>
      </c>
      <c r="C8" s="1423"/>
      <c r="D8" s="1424" t="s">
        <v>1399</v>
      </c>
      <c r="E8" s="1425" t="e">
        <f>ROUND(C11/E7,4)</f>
        <v>#DIV/0!</v>
      </c>
      <c r="F8" s="1426" t="s">
        <v>1400</v>
      </c>
      <c r="G8" s="1427"/>
      <c r="H8" s="1427"/>
      <c r="I8" s="1427"/>
      <c r="J8" s="1591"/>
      <c r="K8" s="1448"/>
      <c r="L8" s="1580" t="s">
        <v>1401</v>
      </c>
      <c r="M8" s="1581">
        <f>SUMPRODUCT((区片价!B206:B244=I2)*(区片价!C3:F3=E2)*(区片价!C206:F244))</f>
        <v>0</v>
      </c>
      <c r="N8" s="1582">
        <f>SUMPRODUCT((因素修正幅度!B206:B244=I2)*(因素修正幅度!C3:F3=E2)*(因素修正幅度!C206:F244))</f>
        <v>0</v>
      </c>
      <c r="O8" s="1448"/>
      <c r="P8" s="1390"/>
      <c r="Q8" s="1653"/>
      <c r="R8" s="1664">
        <v>7</v>
      </c>
      <c r="S8" s="1665"/>
      <c r="T8" s="1664" t="e">
        <f t="shared" si="0"/>
        <v>#DIV/0!</v>
      </c>
      <c r="U8" s="1665"/>
      <c r="V8" s="1664" t="e">
        <f t="shared" si="1"/>
        <v>#DIV/0!</v>
      </c>
      <c r="W8" s="3381" t="s">
        <v>1402</v>
      </c>
      <c r="X8" s="3382"/>
      <c r="Y8" s="1514" t="s">
        <v>1403</v>
      </c>
      <c r="Z8" s="1514" t="s">
        <v>1404</v>
      </c>
      <c r="AA8" s="1514" t="s">
        <v>1405</v>
      </c>
      <c r="AB8" s="1514" t="s">
        <v>1406</v>
      </c>
      <c r="AC8" s="1514" t="s">
        <v>1407</v>
      </c>
      <c r="AD8" s="1514" t="s">
        <v>1408</v>
      </c>
      <c r="AE8" s="1514" t="s">
        <v>1409</v>
      </c>
      <c r="AF8" s="1514" t="s">
        <v>1410</v>
      </c>
      <c r="AG8" s="1514" t="s">
        <v>1411</v>
      </c>
      <c r="AH8" s="1514" t="s">
        <v>1412</v>
      </c>
      <c r="AI8" s="1514" t="s">
        <v>1413</v>
      </c>
      <c r="AJ8" s="1514" t="s">
        <v>1414</v>
      </c>
    </row>
    <row r="9" spans="1:39" ht="15">
      <c r="A9" s="3388"/>
      <c r="B9" s="1400" t="s">
        <v>1415</v>
      </c>
      <c r="C9" s="1428">
        <f>SUMIF(修正!C59:C119,C8,修正!E59:E119)</f>
        <v>0</v>
      </c>
      <c r="D9" s="1429" t="s">
        <v>1416</v>
      </c>
      <c r="E9" s="1429" t="e">
        <f>ROUND(C11/E7,4)</f>
        <v>#DIV/0!</v>
      </c>
      <c r="F9" s="1426" t="s">
        <v>1417</v>
      </c>
      <c r="G9" s="1427"/>
      <c r="H9" s="1427"/>
      <c r="I9" s="1427"/>
      <c r="J9" s="1591"/>
      <c r="K9" s="1448"/>
      <c r="L9" s="1580" t="s">
        <v>1418</v>
      </c>
      <c r="M9" s="1581">
        <f>SUMPRODUCT((区片价!B245:B289=I2)*(区片价!C3:F3=E2)*(区片价!C245:F289))</f>
        <v>0</v>
      </c>
      <c r="N9" s="1582">
        <f>SUMPRODUCT((因素修正幅度!B245:B289=I2)*(因素修正幅度!C3:F3=E2)*(因素修正幅度!C245:F289))</f>
        <v>0</v>
      </c>
      <c r="O9" s="1448"/>
      <c r="P9" s="1390"/>
      <c r="Q9" s="1653"/>
      <c r="R9" s="1664">
        <v>8</v>
      </c>
      <c r="S9" s="1665"/>
      <c r="T9" s="1664" t="e">
        <f t="shared" si="0"/>
        <v>#DIV/0!</v>
      </c>
      <c r="U9" s="1665"/>
      <c r="V9" s="1664" t="e">
        <f t="shared" si="1"/>
        <v>#DIV/0!</v>
      </c>
      <c r="W9" s="3401" t="s">
        <v>1419</v>
      </c>
      <c r="X9" s="1668" t="s">
        <v>1420</v>
      </c>
      <c r="Y9" s="1680"/>
      <c r="Z9" s="1681">
        <f t="shared" ref="Z9:AJ9" si="2">$Y$9</f>
        <v>0</v>
      </c>
      <c r="AA9" s="1681">
        <f t="shared" si="2"/>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9" ht="15">
      <c r="A10" s="3388"/>
      <c r="B10" s="1400" t="s">
        <v>1421</v>
      </c>
      <c r="C10" s="1429">
        <f>SUMIF(修正!C59:C119,C8,修正!F59:F119)</f>
        <v>0</v>
      </c>
      <c r="D10" s="1429" t="s">
        <v>1422</v>
      </c>
      <c r="E10" s="1429" t="e">
        <f>ROUND(C11/E7,4)</f>
        <v>#DIV/0!</v>
      </c>
      <c r="F10" s="1426" t="s">
        <v>1423</v>
      </c>
      <c r="G10" s="1427"/>
      <c r="H10" s="1427"/>
      <c r="I10" s="1427"/>
      <c r="J10" s="1591"/>
      <c r="K10" s="1448"/>
      <c r="L10" s="1580" t="s">
        <v>1424</v>
      </c>
      <c r="M10" s="1581">
        <f>SUMPRODUCT((区片价!B290:B316=I2)*(区片价!C3:F3=E2)*(区片价!C290:F316))</f>
        <v>0</v>
      </c>
      <c r="N10" s="1582">
        <f>SUMPRODUCT((因素修正幅度!B290:B316=I2)*(因素修正幅度!C3:F3=E2)*(因素修正幅度!C290:F316))</f>
        <v>0</v>
      </c>
      <c r="O10" s="1448"/>
      <c r="P10" s="1390"/>
      <c r="Q10" s="1653"/>
      <c r="R10" s="1664">
        <v>9</v>
      </c>
      <c r="S10" s="1665"/>
      <c r="T10" s="1664" t="e">
        <f t="shared" si="0"/>
        <v>#DIV/0!</v>
      </c>
      <c r="U10" s="1665"/>
      <c r="V10" s="1664" t="e">
        <f t="shared" si="1"/>
        <v>#DIV/0!</v>
      </c>
      <c r="W10" s="3401"/>
      <c r="X10" s="1668">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9" ht="15.75" customHeight="1">
      <c r="A11" s="3388"/>
      <c r="B11" s="1430" t="s">
        <v>1425</v>
      </c>
      <c r="C11" s="1431">
        <f>C10/4</f>
        <v>0</v>
      </c>
      <c r="D11" s="1431" t="s">
        <v>1426</v>
      </c>
      <c r="E11" s="1431" t="e">
        <f>ROUND(C11/E7,4)</f>
        <v>#DIV/0!</v>
      </c>
      <c r="F11" s="1432" t="s">
        <v>1427</v>
      </c>
      <c r="G11" s="1433"/>
      <c r="H11" s="1433"/>
      <c r="I11" s="1433"/>
      <c r="J11" s="1592"/>
      <c r="K11" s="1448"/>
      <c r="L11" s="1580" t="s">
        <v>1428</v>
      </c>
      <c r="M11" s="1581">
        <f>SUMPRODUCT((区片价!B317:B337=I2)*(区片价!C3:F3=E2)*(区片价!C317:F337))</f>
        <v>0</v>
      </c>
      <c r="N11" s="1582">
        <f>SUMPRODUCT((因素修正幅度!B317:B337=I2)*(因素修正幅度!C3:F3=E2)*(因素修正幅度!C317:F337))</f>
        <v>0</v>
      </c>
      <c r="O11" s="1448"/>
      <c r="P11" s="1390"/>
      <c r="Q11" s="1653"/>
      <c r="R11" s="1664">
        <v>10</v>
      </c>
      <c r="S11" s="1665"/>
      <c r="T11" s="1664" t="e">
        <f t="shared" si="0"/>
        <v>#DIV/0!</v>
      </c>
      <c r="U11" s="1665"/>
      <c r="V11" s="1664" t="e">
        <f t="shared" si="1"/>
        <v>#DIV/0!</v>
      </c>
      <c r="W11" s="3401" t="s">
        <v>1429</v>
      </c>
      <c r="X11" s="1429" t="s">
        <v>1397</v>
      </c>
      <c r="Y11" s="1578">
        <f>$G$3</f>
        <v>0</v>
      </c>
      <c r="Z11" s="1578">
        <f t="shared" ref="Z11:AJ11" si="3">$G$3</f>
        <v>0</v>
      </c>
      <c r="AA11" s="1578">
        <f t="shared" si="3"/>
        <v>0</v>
      </c>
      <c r="AB11" s="1578">
        <f t="shared" si="3"/>
        <v>0</v>
      </c>
      <c r="AC11" s="1578">
        <f t="shared" si="3"/>
        <v>0</v>
      </c>
      <c r="AD11" s="1578">
        <f t="shared" si="3"/>
        <v>0</v>
      </c>
      <c r="AE11" s="1578">
        <f t="shared" si="3"/>
        <v>0</v>
      </c>
      <c r="AF11" s="1578">
        <f t="shared" si="3"/>
        <v>0</v>
      </c>
      <c r="AG11" s="1578">
        <f t="shared" si="3"/>
        <v>0</v>
      </c>
      <c r="AH11" s="1578">
        <f t="shared" si="3"/>
        <v>0</v>
      </c>
      <c r="AI11" s="1578">
        <f t="shared" si="3"/>
        <v>0</v>
      </c>
      <c r="AJ11" s="1578">
        <f t="shared" si="3"/>
        <v>0</v>
      </c>
    </row>
    <row r="12" spans="1:39" ht="24.75">
      <c r="A12" s="3387" t="s">
        <v>1430</v>
      </c>
      <c r="B12" s="1434" t="s">
        <v>1431</v>
      </c>
      <c r="C12" s="1418">
        <f>ROUND(C15*D15*E15*F15*G15*H15*I15*J15,4)</f>
        <v>1</v>
      </c>
      <c r="D12" s="1435" t="s">
        <v>1432</v>
      </c>
      <c r="E12" s="1436"/>
      <c r="F12" s="1436"/>
      <c r="G12" s="1437"/>
      <c r="H12" s="1437"/>
      <c r="I12" s="1437"/>
      <c r="J12" s="1593"/>
      <c r="K12" s="1448"/>
      <c r="L12" s="1594" t="s">
        <v>1433</v>
      </c>
      <c r="M12" s="1595">
        <f>SUMPRODUCT((区片价!B338:B344=I2)*(区片价!C3:F3=E2)*(区片价!C338:F344))</f>
        <v>0</v>
      </c>
      <c r="N12" s="1596">
        <f>SUMPRODUCT((因素修正幅度!B338:B344=I2)*(因素修正幅度!C3:F3=E2)*(因素修正幅度!C338:F344))</f>
        <v>0</v>
      </c>
      <c r="O12" s="1448"/>
      <c r="P12" s="1390"/>
      <c r="Q12" s="1653"/>
      <c r="R12" s="1664">
        <v>11</v>
      </c>
      <c r="S12" s="1665"/>
      <c r="T12" s="1664" t="e">
        <f t="shared" si="0"/>
        <v>#DIV/0!</v>
      </c>
      <c r="U12" s="1665"/>
      <c r="V12" s="1664" t="e">
        <f t="shared" si="1"/>
        <v>#DIV/0!</v>
      </c>
      <c r="W12" s="3401"/>
      <c r="X12" s="1669" t="s">
        <v>1434</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9" ht="24">
      <c r="A13" s="3389"/>
      <c r="B13" s="1438" t="s">
        <v>1435</v>
      </c>
      <c r="C13" s="1439" t="s">
        <v>1436</v>
      </c>
      <c r="D13" s="1316" t="s">
        <v>1437</v>
      </c>
      <c r="E13" s="1316" t="s">
        <v>1438</v>
      </c>
      <c r="F13" s="1440" t="s">
        <v>1439</v>
      </c>
      <c r="G13" s="1441" t="s">
        <v>1440</v>
      </c>
      <c r="H13" s="1442" t="s">
        <v>1440</v>
      </c>
      <c r="I13" s="1597" t="s">
        <v>1440</v>
      </c>
      <c r="J13" s="1598" t="s">
        <v>1440</v>
      </c>
      <c r="K13" s="1599"/>
      <c r="L13" s="1599"/>
      <c r="M13" s="1599"/>
      <c r="N13" s="1599"/>
      <c r="O13" s="1599"/>
      <c r="P13" s="1390"/>
      <c r="Q13" s="1653"/>
      <c r="R13" s="1664">
        <v>12</v>
      </c>
      <c r="S13" s="1665"/>
      <c r="T13" s="1664" t="e">
        <f t="shared" si="0"/>
        <v>#DIV/0!</v>
      </c>
      <c r="U13" s="1665"/>
      <c r="V13" s="1664" t="e">
        <f t="shared" si="1"/>
        <v>#DIV/0!</v>
      </c>
      <c r="W13" s="3401"/>
      <c r="X13" s="1669"/>
      <c r="Y13" s="1682" t="e">
        <f>(-0.163*(Y12^2)-0.59*Y12+7617)*(10^(-4))/Y11</f>
        <v>#DIV/0!</v>
      </c>
      <c r="Z13" s="1682" t="e">
        <f t="shared" ref="Z13:AJ13" si="5">(-0.163*(Z12^2)-0.59*Z12+7617)*(10^(-4))/Z11</f>
        <v>#DIV/0!</v>
      </c>
      <c r="AA13" s="1682" t="e">
        <f t="shared" si="5"/>
        <v>#DIV/0!</v>
      </c>
      <c r="AB13" s="1682" t="e">
        <f t="shared" si="5"/>
        <v>#DIV/0!</v>
      </c>
      <c r="AC13" s="1682" t="e">
        <f t="shared" si="5"/>
        <v>#DIV/0!</v>
      </c>
      <c r="AD13" s="1682" t="e">
        <f t="shared" si="5"/>
        <v>#DIV/0!</v>
      </c>
      <c r="AE13" s="1682" t="e">
        <f t="shared" si="5"/>
        <v>#DIV/0!</v>
      </c>
      <c r="AF13" s="1682" t="e">
        <f t="shared" si="5"/>
        <v>#DIV/0!</v>
      </c>
      <c r="AG13" s="1682" t="e">
        <f t="shared" si="5"/>
        <v>#DIV/0!</v>
      </c>
      <c r="AH13" s="1682" t="e">
        <f t="shared" si="5"/>
        <v>#DIV/0!</v>
      </c>
      <c r="AI13" s="1682" t="e">
        <f t="shared" si="5"/>
        <v>#DIV/0!</v>
      </c>
      <c r="AJ13" s="1682" t="e">
        <f t="shared" si="5"/>
        <v>#DIV/0!</v>
      </c>
    </row>
    <row r="14" spans="1:39" ht="12.75" customHeight="1">
      <c r="A14" s="3389"/>
      <c r="B14" s="1443"/>
      <c r="C14" s="1444"/>
      <c r="D14" s="1445"/>
      <c r="E14" s="1445"/>
      <c r="F14" s="1446"/>
      <c r="G14" s="1447" t="s">
        <v>1441</v>
      </c>
      <c r="H14" s="1448"/>
      <c r="I14" s="1600"/>
      <c r="J14" s="1601"/>
      <c r="K14" s="1602"/>
      <c r="L14" s="1602"/>
      <c r="M14" s="1602"/>
      <c r="N14" s="1602"/>
      <c r="O14" s="1602"/>
      <c r="P14" s="1390"/>
      <c r="Q14" s="1653"/>
      <c r="R14" s="1664">
        <v>13</v>
      </c>
      <c r="S14" s="1665"/>
      <c r="T14" s="1664" t="e">
        <f t="shared" si="0"/>
        <v>#DIV/0!</v>
      </c>
      <c r="U14" s="1665"/>
      <c r="V14" s="1664" t="e">
        <f t="shared" si="1"/>
        <v>#DIV/0!</v>
      </c>
      <c r="W14" s="1653"/>
      <c r="X14" s="1653"/>
      <c r="Y14" s="1653"/>
      <c r="Z14" s="1653"/>
      <c r="AA14" s="1653"/>
      <c r="AB14" s="1653"/>
      <c r="AC14" s="1674"/>
    </row>
    <row r="15" spans="1:39" ht="13.5" customHeight="1">
      <c r="A15" s="3390"/>
      <c r="B15" s="1449" t="s">
        <v>1442</v>
      </c>
      <c r="C15" s="1431">
        <f>IF(C14="有",1.1,1)</f>
        <v>1</v>
      </c>
      <c r="D15" s="1431">
        <f>IF(D14="有",1.1,1)</f>
        <v>1</v>
      </c>
      <c r="E15" s="1431">
        <f>IF(E14="有",1.1,1)</f>
        <v>1</v>
      </c>
      <c r="F15" s="1431">
        <f>IF(F14="500米范围内",1.2,IF(F14="500-1000米",1.1,1))</f>
        <v>1</v>
      </c>
      <c r="G15" s="1450">
        <v>1</v>
      </c>
      <c r="H15" s="1450">
        <v>1</v>
      </c>
      <c r="I15" s="1450">
        <v>1</v>
      </c>
      <c r="J15" s="1603">
        <v>1</v>
      </c>
      <c r="K15" s="1604"/>
      <c r="L15" s="1604"/>
      <c r="M15" s="1604"/>
      <c r="N15" s="1604"/>
      <c r="O15" s="1604"/>
      <c r="P15" s="1390"/>
      <c r="Q15" s="1653"/>
      <c r="R15" s="1664">
        <v>14</v>
      </c>
      <c r="S15" s="1665"/>
      <c r="T15" s="1664" t="e">
        <f t="shared" si="0"/>
        <v>#DIV/0!</v>
      </c>
      <c r="U15" s="1665"/>
      <c r="V15" s="1664" t="e">
        <f t="shared" si="1"/>
        <v>#DIV/0!</v>
      </c>
      <c r="W15" s="1653"/>
      <c r="X15" s="1653"/>
      <c r="Y15" s="1653"/>
      <c r="Z15" s="1653"/>
      <c r="AA15" s="1653"/>
      <c r="AB15" s="1653"/>
      <c r="AC15" s="1674"/>
    </row>
    <row r="16" spans="1:39" ht="24.6" customHeight="1">
      <c r="A16" s="3387" t="s">
        <v>902</v>
      </c>
      <c r="B16" s="1417" t="s">
        <v>1443</v>
      </c>
      <c r="C16" s="1451" t="e">
        <f>ROUND(IF(F17="与级别开发程度一致",0,(G17-E17)/C17),0)</f>
        <v>#DIV/0!</v>
      </c>
      <c r="D16" s="3383" t="s">
        <v>1444</v>
      </c>
      <c r="E16" s="3384"/>
      <c r="F16" s="3383" t="s">
        <v>1445</v>
      </c>
      <c r="G16" s="3384"/>
      <c r="H16" s="1452"/>
      <c r="I16" s="1452"/>
      <c r="J16" s="1452"/>
      <c r="K16" s="1452"/>
      <c r="L16" s="1452"/>
      <c r="M16" s="1452"/>
      <c r="N16" s="1452"/>
      <c r="O16" s="1605"/>
      <c r="P16" s="1390"/>
      <c r="Q16" s="1670"/>
      <c r="R16" s="1664">
        <v>15</v>
      </c>
      <c r="S16" s="1665"/>
      <c r="T16" s="1664" t="e">
        <f t="shared" si="0"/>
        <v>#DIV/0!</v>
      </c>
      <c r="U16" s="1665"/>
      <c r="V16" s="1664" t="e">
        <f t="shared" si="1"/>
        <v>#DIV/0!</v>
      </c>
      <c r="W16" s="1670"/>
      <c r="X16" s="1670"/>
      <c r="Y16" s="1670"/>
      <c r="Z16" s="1670"/>
      <c r="AA16" s="1670"/>
      <c r="AB16" s="1670"/>
      <c r="AC16" s="1671"/>
    </row>
    <row r="17" spans="1:40" ht="12.75">
      <c r="A17" s="3391"/>
      <c r="B17" s="1453" t="s">
        <v>1446</v>
      </c>
      <c r="C17" s="1454">
        <f>SUMPRODUCT((修正!A2:A5=E2)*(修正!B1:M1=G2)*(修正!B2:M5))</f>
        <v>0</v>
      </c>
      <c r="D17" s="1455" t="str">
        <f>IF(OR(G2="八级",G2="九级",G2="十级",G2="十一级",G2="十二级"),"五通一平","七通一平")</f>
        <v>七通一平</v>
      </c>
      <c r="E17" s="1456">
        <f>SUMPRODUCT((修正!B1:M1=G2)*(修正!B15:M15))</f>
        <v>0</v>
      </c>
      <c r="F17" s="1457"/>
      <c r="G17" s="1456">
        <f>SUM(H17:O17)</f>
        <v>0</v>
      </c>
      <c r="H17" s="1458">
        <f>SUMPRODUCT((七通一平=H16)*(修正!B1:M1=G2)*(修正!B6:M14))</f>
        <v>0</v>
      </c>
      <c r="I17" s="1458">
        <f>SUMPRODUCT((七通一平=I16)*(修正!B1:M1=G2)*(修正!B6:M14))</f>
        <v>0</v>
      </c>
      <c r="J17" s="1458">
        <f>SUMPRODUCT((七通一平=J16)*(修正!B1:M1=G2)*(修正!B6:M14))</f>
        <v>0</v>
      </c>
      <c r="K17" s="1458">
        <f>SUMPRODUCT((七通一平=K16)*(修正!B1:M1=G2)*(修正!B6:M14))</f>
        <v>0</v>
      </c>
      <c r="L17" s="1458">
        <f>SUMPRODUCT((七通一平=L16)*(修正!B1:M1=G2)*(修正!B6:M14))</f>
        <v>0</v>
      </c>
      <c r="M17" s="1458">
        <f>SUMPRODUCT((七通一平=M16)*(修正!B1:M1=G2)*(修正!B6:M14))</f>
        <v>0</v>
      </c>
      <c r="N17" s="1458">
        <f>SUMPRODUCT((七通一平=N16)*(修正!B1:M1=G2)*(修正!B6:M14))</f>
        <v>0</v>
      </c>
      <c r="O17" s="1606">
        <f>SUMPRODUCT((七通一平=O16)*(修正!B1:M1=G2)*(修正!B6:M14))</f>
        <v>0</v>
      </c>
      <c r="P17" s="1390"/>
      <c r="Q17" s="1670"/>
      <c r="R17" s="1671"/>
      <c r="S17" s="1671"/>
      <c r="T17" s="1671"/>
      <c r="U17" s="1671"/>
      <c r="V17" s="1671"/>
      <c r="W17" s="1670"/>
      <c r="X17" s="1670"/>
      <c r="Y17" s="1670"/>
      <c r="Z17" s="1670"/>
      <c r="AA17" s="1670"/>
      <c r="AB17" s="1670"/>
      <c r="AC17" s="1671"/>
      <c r="AH17" s="1380"/>
      <c r="AI17" s="1380"/>
      <c r="AJ17" s="1383"/>
      <c r="AK17" s="1383"/>
      <c r="AL17" s="1383"/>
      <c r="AM17" s="1383"/>
    </row>
    <row r="18" spans="1:40" s="1379" customFormat="1" ht="15">
      <c r="A18" s="1459" t="s">
        <v>858</v>
      </c>
      <c r="B18" s="1460" t="s">
        <v>1447</v>
      </c>
      <c r="C18" s="1461">
        <f>SUMIF(修正!C18:C39,E3,修正!E18:E39)</f>
        <v>0</v>
      </c>
      <c r="D18" s="1462"/>
      <c r="E18" s="1463"/>
      <c r="F18" s="1464"/>
      <c r="G18" s="1465"/>
      <c r="H18" s="1465"/>
      <c r="I18" s="1465"/>
      <c r="J18" s="1607"/>
      <c r="K18" s="1465"/>
      <c r="L18" s="1465"/>
      <c r="M18" s="1465"/>
      <c r="N18" s="1465"/>
      <c r="O18" s="1465"/>
      <c r="P18" s="1481"/>
      <c r="Q18" s="1672"/>
      <c r="R18" s="1672"/>
      <c r="S18" s="1672"/>
      <c r="T18" s="1672"/>
      <c r="U18" s="1672"/>
      <c r="V18" s="1672"/>
      <c r="W18" s="1671"/>
      <c r="X18" s="1671"/>
      <c r="Y18" s="1671"/>
      <c r="Z18" s="1671"/>
      <c r="AA18" s="1670"/>
      <c r="AB18" s="1670"/>
      <c r="AC18" s="1631"/>
      <c r="AD18" s="1683"/>
      <c r="AE18" s="1683"/>
      <c r="AF18" s="1683"/>
      <c r="AG18" s="1683"/>
      <c r="AH18" s="1384"/>
      <c r="AI18" s="1384"/>
      <c r="AJ18" s="1381"/>
      <c r="AK18" s="1381"/>
      <c r="AL18" s="1381"/>
    </row>
    <row r="19" spans="1:40" s="1379" customFormat="1" ht="27">
      <c r="A19" s="1466" t="s">
        <v>863</v>
      </c>
      <c r="B19" s="1467" t="s">
        <v>1448</v>
      </c>
      <c r="C19" s="1468">
        <f>ROUND(IF(H19="按公示增长率计算",SUMPRODUCT((地价!A3:A29=YEAR(G19)&amp;"-"&amp;ROUNDUP(MONTH(G19)/3,0))*(地价!X2:AB2=E2)*(地价!X3:AB29)),IF(H19="地价指数",M20/M19,(1+I19)^O19)),4)</f>
        <v>0</v>
      </c>
      <c r="D19" s="1469" t="s">
        <v>1449</v>
      </c>
      <c r="E19" s="1470">
        <v>41640</v>
      </c>
      <c r="F19" s="1469" t="s">
        <v>351</v>
      </c>
      <c r="G19" s="1471">
        <f>'数据-取费表'!B2</f>
        <v>43900</v>
      </c>
      <c r="H19" s="1472" t="s">
        <v>1450</v>
      </c>
      <c r="I19" s="1608" t="str">
        <f>IF(H19="季度增幅（自定义）",SUMIF(N21:N24,E2,O21:O24),"")</f>
        <v/>
      </c>
      <c r="J19" s="1609"/>
      <c r="K19" s="1465"/>
      <c r="L19" s="1610" t="s">
        <v>1451</v>
      </c>
      <c r="M19" s="1611">
        <f>ROUND(SUMIF(地价!B2:F2,E2,地价!B29:F29),0)</f>
        <v>0</v>
      </c>
      <c r="N19" s="1612" t="s">
        <v>1452</v>
      </c>
      <c r="O19" s="1613">
        <f>ROUNDDOWN(DATEDIF(E19,G19,"M")/3,0)</f>
        <v>24</v>
      </c>
      <c r="P19" s="1614"/>
      <c r="Q19" s="1673"/>
      <c r="R19" s="1631"/>
      <c r="S19" s="1631"/>
      <c r="T19" s="1631"/>
      <c r="U19" s="1631"/>
      <c r="V19" s="1631"/>
      <c r="W19" s="1631"/>
      <c r="X19" s="1631"/>
      <c r="Y19" s="1384"/>
      <c r="Z19" s="1384"/>
      <c r="AA19" s="1384"/>
      <c r="AB19" s="1384"/>
      <c r="AC19" s="1683"/>
      <c r="AD19" s="1684"/>
      <c r="AE19" s="1685"/>
      <c r="AF19" s="1381"/>
      <c r="AG19" s="1686"/>
      <c r="AH19" s="1686"/>
      <c r="AI19" s="1686"/>
    </row>
    <row r="20" spans="1:40" s="1379" customFormat="1" ht="27">
      <c r="A20" s="1459" t="s">
        <v>866</v>
      </c>
      <c r="B20" s="1473" t="s">
        <v>1453</v>
      </c>
      <c r="C20" s="1474" t="e">
        <f>ROUND(POWER(1+G20,J20-I20)*(POWER(1+G20,I20)-1)/(POWER(1+G20,J20)-1),4)</f>
        <v>#DIV/0!</v>
      </c>
      <c r="D20" s="1475" t="s">
        <v>1454</v>
      </c>
      <c r="E20" s="1476">
        <f ca="1">存贷款利率!I4/100</f>
        <v>4.3499999999999997E-2</v>
      </c>
      <c r="F20" s="1475" t="s">
        <v>1455</v>
      </c>
      <c r="G20" s="1477">
        <f>SUMIF(M26:P26,E2,M28:P28)</f>
        <v>0</v>
      </c>
      <c r="H20" s="1475" t="s">
        <v>1456</v>
      </c>
      <c r="I20" s="1615" t="e">
        <f>SUMIF('数据-取费表'!C6:C15,E2,'数据-取费表'!F6:F15)/COUNTIF('数据-取费表'!C6:C15,E2)</f>
        <v>#DIV/0!</v>
      </c>
      <c r="J20" s="1616">
        <f>IF(E2="住宅",70,IF(E2="商业",40,50))</f>
        <v>50</v>
      </c>
      <c r="K20" s="1617"/>
      <c r="L20" s="1618" t="s">
        <v>1457</v>
      </c>
      <c r="M20" s="1619">
        <f>ROUND(SUMPRODUCT((地价!A4:A29=YEAR(G19)&amp;"-"&amp;ROUNDUP(MONTH(G19)/3,0))*(地价!B2:F2=E2)*(地价!B4:F29)),0)</f>
        <v>0</v>
      </c>
      <c r="N20" s="1620" t="s">
        <v>1458</v>
      </c>
      <c r="O20" s="1621" t="s">
        <v>1459</v>
      </c>
      <c r="P20" s="1622" t="s">
        <v>1460</v>
      </c>
      <c r="Q20" s="1673"/>
      <c r="R20" s="1631"/>
      <c r="S20" s="1631"/>
      <c r="T20" s="1631"/>
      <c r="U20" s="1631"/>
      <c r="V20" s="1631"/>
      <c r="W20" s="1631"/>
      <c r="X20" s="1631"/>
      <c r="Y20" s="1683"/>
      <c r="Z20" s="1683"/>
      <c r="AA20" s="1683"/>
      <c r="AB20" s="1683"/>
      <c r="AC20" s="1683"/>
      <c r="AD20" s="1683"/>
    </row>
    <row r="21" spans="1:40" s="1379" customFormat="1" ht="14.25">
      <c r="A21" s="1478" t="s">
        <v>892</v>
      </c>
      <c r="B21" s="1479" t="s">
        <v>1461</v>
      </c>
      <c r="C21" s="1480">
        <f>IF(B21="容积率修正",IF(G3&lt;=10,D22,J22),C23)</f>
        <v>0</v>
      </c>
      <c r="D21" s="1481"/>
      <c r="E21" s="1481"/>
      <c r="F21" s="1481"/>
      <c r="G21" s="1481"/>
      <c r="H21" s="1481"/>
      <c r="I21" s="1481"/>
      <c r="J21" s="1623"/>
      <c r="K21" s="1465"/>
      <c r="L21" s="1481"/>
      <c r="M21" s="1481"/>
      <c r="N21" s="1624" t="s">
        <v>370</v>
      </c>
      <c r="O21" s="1625"/>
      <c r="P21" s="1626">
        <f>SUMPRODUCT((地价!A3:A29=YEAR(G19)&amp;"-"&amp;ROUNDUP(MONTH(G19)/3,0))*(地价!AD2:AH2=N21)*(地价!AD3:AH29))</f>
        <v>1.35E-2</v>
      </c>
      <c r="Q21" s="1673"/>
      <c r="R21" s="1631"/>
      <c r="S21" s="1631"/>
      <c r="T21" s="1631"/>
      <c r="U21" s="1631"/>
      <c r="V21" s="1631"/>
      <c r="W21" s="1631"/>
      <c r="X21" s="1631"/>
      <c r="Y21" s="1384"/>
      <c r="Z21" s="1384"/>
      <c r="AA21" s="1384"/>
      <c r="AB21" s="1384"/>
      <c r="AC21" s="1683"/>
      <c r="AD21" s="1683"/>
    </row>
    <row r="22" spans="1:40" s="1379" customFormat="1" ht="14.25">
      <c r="A22" s="1482" t="s">
        <v>1390</v>
      </c>
      <c r="B22" s="1483" t="s">
        <v>1462</v>
      </c>
      <c r="C22" s="1484" t="s">
        <v>1463</v>
      </c>
      <c r="D22" s="1484" t="b">
        <f>IF(E22=G22,F22,IF(G3&lt;=10,ROUND(F22+(H22-F22)*(G3-E22)/(G22-E22),4),"——"))</f>
        <v>0</v>
      </c>
      <c r="E22" s="1399">
        <f>ROUNDDOWN(G3,1)</f>
        <v>0</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0</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1464</v>
      </c>
      <c r="J22" s="1484" t="str">
        <f>IF(G3&gt;10,D113,"——")</f>
        <v>——</v>
      </c>
      <c r="K22" s="1627"/>
      <c r="L22" s="1481"/>
      <c r="M22" s="1481"/>
      <c r="N22" s="1624" t="s">
        <v>371</v>
      </c>
      <c r="O22" s="1625"/>
      <c r="P22" s="1626">
        <f>SUMPRODUCT((地价!A3:A29=YEAR(G19)&amp;"-"&amp;ROUNDUP(MONTH(G19)/3,0))*(地价!AD2:AH2=N22)*(地价!AD3:AH29))</f>
        <v>1.35E-2</v>
      </c>
      <c r="Q22" s="1673"/>
      <c r="R22" s="1631"/>
      <c r="S22" s="1631"/>
      <c r="T22" s="1631"/>
      <c r="U22" s="1631"/>
      <c r="V22" s="1631"/>
      <c r="W22" s="1631"/>
      <c r="X22" s="1631"/>
      <c r="Y22" s="1683"/>
      <c r="Z22" s="1683"/>
      <c r="AA22" s="1683"/>
      <c r="AB22" s="1683"/>
      <c r="AC22" s="1683"/>
      <c r="AD22" s="1683"/>
    </row>
    <row r="23" spans="1:40" ht="15">
      <c r="A23" s="1482" t="s">
        <v>1430</v>
      </c>
      <c r="B23" s="1483" t="s">
        <v>1465</v>
      </c>
      <c r="C23" s="1485">
        <f>ROUND(IF(G3&gt;1,IF(I3&lt;7,SUMPRODUCT((B93:B98=I3)*(C92:N92=G2)*(C93:N98)),SUMIF(C92:N92,G2,C100:N100)),IF(I3&lt;7,SUMPRODUCT((B102:B107=I3)*(C92:N92=G2)*(C102:N107)),SUMIF(C92:N92,G2,C109:N109))),4)</f>
        <v>0</v>
      </c>
      <c r="D23" s="1486"/>
      <c r="E23" s="1486"/>
      <c r="F23" s="1487"/>
      <c r="G23" s="1488"/>
      <c r="H23" s="1489"/>
      <c r="I23" s="1628"/>
      <c r="J23" s="1628"/>
      <c r="K23" s="1629"/>
      <c r="L23" s="1390"/>
      <c r="M23" s="1390"/>
      <c r="N23" s="1624" t="s">
        <v>369</v>
      </c>
      <c r="O23" s="1625"/>
      <c r="P23" s="1626">
        <f>SUMPRODUCT((地价!A3:A29=YEAR(G19)&amp;"-"&amp;ROUNDUP(MONTH(G19)/3,0))*(地价!AD2:AH2=N23)*(地价!AD3:AH29))</f>
        <v>2.0799999999999999E-2</v>
      </c>
      <c r="Q23" s="1673"/>
      <c r="R23" s="1631"/>
      <c r="S23" s="1631"/>
      <c r="T23" s="1631"/>
      <c r="U23" s="1631"/>
      <c r="V23" s="1631"/>
      <c r="W23" s="1631"/>
      <c r="X23" s="1631"/>
      <c r="Y23" s="1384"/>
      <c r="Z23" s="1384"/>
      <c r="AA23" s="1384"/>
      <c r="AB23" s="1384"/>
      <c r="AC23" s="1384"/>
      <c r="AE23" s="1381"/>
      <c r="AF23" s="1381"/>
      <c r="AG23" s="1381"/>
      <c r="AH23" s="1381"/>
      <c r="AI23" s="1381"/>
      <c r="AJ23" s="1383"/>
      <c r="AK23" s="1383"/>
      <c r="AL23" s="1383"/>
      <c r="AM23" s="1383"/>
    </row>
    <row r="24" spans="1:40" s="1379" customFormat="1" ht="15">
      <c r="A24" s="1490" t="s">
        <v>1466</v>
      </c>
      <c r="B24" s="1406" t="s">
        <v>1467</v>
      </c>
      <c r="C24" s="1491">
        <f>SUMIF(A44:A87,E2,B44:B87)</f>
        <v>0</v>
      </c>
      <c r="D24" s="1492"/>
      <c r="E24" s="1493"/>
      <c r="F24" s="1493"/>
      <c r="G24" s="1493"/>
      <c r="H24" s="1493"/>
      <c r="I24" s="1493"/>
      <c r="J24" s="1493"/>
      <c r="K24" s="1629"/>
      <c r="L24" s="1481"/>
      <c r="M24" s="1481"/>
      <c r="N24" s="1624" t="s">
        <v>164</v>
      </c>
      <c r="O24" s="1630"/>
      <c r="P24" s="1626">
        <f>SUMPRODUCT((地价!A3:A29=YEAR(G19)&amp;"-"&amp;ROUNDUP(MONTH(G19)/3,0))*(地价!AD2:AH2=N24)*(地价!AD3:AH29))</f>
        <v>1.3299999999999999E-2</v>
      </c>
      <c r="Q24" s="1673"/>
      <c r="R24" s="1631"/>
      <c r="S24" s="1631"/>
      <c r="T24" s="1631"/>
      <c r="U24" s="1631"/>
      <c r="V24" s="1631"/>
      <c r="W24" s="1631"/>
      <c r="X24" s="1631"/>
      <c r="Y24" s="1683"/>
      <c r="Z24" s="1683"/>
      <c r="AA24" s="1683"/>
      <c r="AB24" s="1683"/>
      <c r="AC24" s="1683"/>
      <c r="AD24" s="1683"/>
    </row>
    <row r="25" spans="1:40" ht="14.25">
      <c r="A25" s="1490" t="s">
        <v>1468</v>
      </c>
      <c r="B25" s="1494" t="s">
        <v>1469</v>
      </c>
      <c r="C25" s="1495"/>
      <c r="D25" s="1422"/>
      <c r="E25" s="1422"/>
      <c r="F25" s="1496"/>
      <c r="G25" s="1422"/>
      <c r="H25" s="1422"/>
      <c r="I25" s="1422"/>
      <c r="J25" s="1590"/>
      <c r="K25" s="1448"/>
      <c r="L25" s="1631"/>
      <c r="M25" s="1631"/>
      <c r="N25" s="1632" t="s">
        <v>987</v>
      </c>
      <c r="O25" s="1633"/>
      <c r="P25" s="1634">
        <f>SUMPRODUCT((地价!A3:A29=YEAR(G19)&amp;"-"&amp;ROUNDUP(MONTH(G19)/3,0))*(地价!AD2:AH2=N25)*(地价!AD3:AH29))</f>
        <v>1.9E-2</v>
      </c>
      <c r="Q25" s="1673"/>
      <c r="R25" s="1631"/>
      <c r="S25" s="1631"/>
      <c r="T25" s="1631"/>
      <c r="U25" s="1631"/>
      <c r="V25" s="1631"/>
      <c r="W25" s="1631"/>
      <c r="X25" s="1631"/>
      <c r="Y25" s="1384"/>
      <c r="Z25" s="1384"/>
      <c r="AA25" s="1384"/>
      <c r="AB25" s="1384"/>
      <c r="AC25" s="1384"/>
      <c r="AE25" s="1381"/>
      <c r="AF25" s="1381"/>
      <c r="AG25" s="1381"/>
      <c r="AH25" s="1381"/>
      <c r="AI25" s="1383"/>
      <c r="AJ25" s="1383"/>
      <c r="AK25" s="1383"/>
      <c r="AL25" s="1383"/>
      <c r="AM25" s="1383"/>
    </row>
    <row r="26" spans="1:40" ht="14.25">
      <c r="A26" s="1497"/>
      <c r="B26" s="1483" t="s">
        <v>1470</v>
      </c>
      <c r="C26" s="1498" t="e">
        <f>E29+SUM(E33:E39)</f>
        <v>#DIV/0!</v>
      </c>
      <c r="D26" s="1499"/>
      <c r="E26" s="1448"/>
      <c r="F26" s="1500"/>
      <c r="G26" s="1448"/>
      <c r="H26" s="1448"/>
      <c r="I26" s="1448"/>
      <c r="J26" s="1635"/>
      <c r="K26" s="1448"/>
      <c r="L26" s="1636" t="s">
        <v>345</v>
      </c>
      <c r="M26" s="1419" t="s">
        <v>370</v>
      </c>
      <c r="N26" s="1419" t="s">
        <v>371</v>
      </c>
      <c r="O26" s="1419" t="s">
        <v>369</v>
      </c>
      <c r="P26" s="1637" t="s">
        <v>164</v>
      </c>
      <c r="Q26" s="1673"/>
      <c r="R26" s="1631"/>
      <c r="S26" s="1631"/>
      <c r="T26" s="1631"/>
      <c r="U26" s="1631"/>
      <c r="V26" s="1631"/>
      <c r="W26" s="1631"/>
      <c r="X26" s="1631"/>
      <c r="Y26" s="1683"/>
      <c r="Z26" s="1683"/>
      <c r="AA26" s="1683"/>
      <c r="AB26" s="1683"/>
      <c r="AC26" s="1384"/>
      <c r="AE26" s="1381"/>
      <c r="AF26" s="1381"/>
      <c r="AG26" s="1381"/>
      <c r="AH26" s="1381"/>
      <c r="AI26" s="1383"/>
      <c r="AJ26" s="1383"/>
      <c r="AK26" s="1383"/>
      <c r="AL26" s="1383"/>
      <c r="AM26" s="1383"/>
    </row>
    <row r="27" spans="1:40" ht="14.25">
      <c r="A27" s="1497"/>
      <c r="B27" s="1501" t="s">
        <v>1471</v>
      </c>
      <c r="C27" s="1502" t="e">
        <f>E30+SUM(I33:I39)</f>
        <v>#DIV/0!</v>
      </c>
      <c r="D27" s="1503"/>
      <c r="E27" s="1504"/>
      <c r="F27" s="1505"/>
      <c r="G27" s="1504"/>
      <c r="H27" s="1504"/>
      <c r="I27" s="1504"/>
      <c r="J27" s="1638"/>
      <c r="K27" s="1448"/>
      <c r="L27" s="1639" t="s">
        <v>1472</v>
      </c>
      <c r="M27" s="1428">
        <v>0.25</v>
      </c>
      <c r="N27" s="1428">
        <v>0.2</v>
      </c>
      <c r="O27" s="1428">
        <v>0.15</v>
      </c>
      <c r="P27" s="1640">
        <v>0.1</v>
      </c>
      <c r="Q27" s="1631"/>
      <c r="R27" s="1673"/>
      <c r="S27" s="1673"/>
      <c r="T27" s="1673"/>
      <c r="U27" s="1673"/>
      <c r="V27" s="1673"/>
      <c r="W27" s="1631"/>
      <c r="X27" s="1631"/>
      <c r="Y27" s="1631"/>
      <c r="Z27" s="1631"/>
      <c r="AA27" s="1631"/>
      <c r="AB27" s="1631"/>
      <c r="AC27" s="1631"/>
    </row>
    <row r="28" spans="1:40" ht="14.25">
      <c r="A28" s="1506"/>
      <c r="B28" s="1507" t="s">
        <v>1473</v>
      </c>
      <c r="C28" s="1508" t="s">
        <v>1474</v>
      </c>
      <c r="D28" s="1508" t="s">
        <v>382</v>
      </c>
      <c r="E28" s="1509" t="s">
        <v>618</v>
      </c>
      <c r="F28" s="1510"/>
      <c r="G28" s="1437"/>
      <c r="H28" s="1437"/>
      <c r="I28" s="1437"/>
      <c r="J28" s="1593"/>
      <c r="K28" s="1448"/>
      <c r="L28" s="1641" t="s">
        <v>1455</v>
      </c>
      <c r="M28" s="1642">
        <f ca="1">ROUND($E$20*(1+M27),3)</f>
        <v>5.3999999999999999E-2</v>
      </c>
      <c r="N28" s="1642">
        <f ca="1">ROUND($E$20*(1+N27),3)</f>
        <v>5.1999999999999998E-2</v>
      </c>
      <c r="O28" s="1642">
        <f ca="1">ROUND($E$20*(1+O27),3)</f>
        <v>0.05</v>
      </c>
      <c r="P28" s="1643">
        <f ca="1">ROUND($E$20*(1+P27),3)</f>
        <v>4.8000000000000001E-2</v>
      </c>
      <c r="Q28" s="1631"/>
      <c r="R28" s="1673"/>
      <c r="S28" s="1673"/>
      <c r="T28" s="1673"/>
      <c r="U28" s="1673"/>
      <c r="V28" s="1673"/>
      <c r="W28" s="1631"/>
      <c r="X28" s="1631"/>
      <c r="Y28" s="1631"/>
      <c r="Z28" s="1631"/>
      <c r="AA28" s="1631"/>
      <c r="AB28" s="1631"/>
      <c r="AC28" s="1631"/>
      <c r="AD28" s="1683"/>
      <c r="AE28" s="1683"/>
      <c r="AF28" s="1683"/>
      <c r="AG28" s="1683"/>
    </row>
    <row r="29" spans="1:40" ht="14.25">
      <c r="A29" s="1511"/>
      <c r="B29" s="1512" t="s">
        <v>1475</v>
      </c>
      <c r="C29" s="1498" t="e">
        <f>ROUND(C5*C18*C19*C20*C21*C24,0)</f>
        <v>#DIV/0!</v>
      </c>
      <c r="D29" s="1513"/>
      <c r="E29" s="1514" t="e">
        <f>ROUND(C29*D29/10000,0)</f>
        <v>#DIV/0!</v>
      </c>
      <c r="F29" s="1515" t="s">
        <v>1476</v>
      </c>
      <c r="G29" s="1516"/>
      <c r="H29" s="1516"/>
      <c r="I29" s="1516"/>
      <c r="J29" s="1644"/>
      <c r="K29" s="1645"/>
      <c r="L29" s="1645"/>
      <c r="M29" s="1645"/>
      <c r="N29" s="1645"/>
      <c r="O29" s="1645"/>
      <c r="P29" s="1390"/>
      <c r="Q29" s="1631"/>
      <c r="R29" s="1631"/>
      <c r="S29" s="1631"/>
      <c r="T29" s="1631"/>
      <c r="U29" s="1631"/>
      <c r="V29" s="1631"/>
      <c r="W29" s="1673"/>
      <c r="X29" s="1673"/>
      <c r="Y29" s="1673"/>
      <c r="Z29" s="1673"/>
      <c r="AA29" s="1673"/>
      <c r="AB29" s="1631"/>
      <c r="AC29" s="1631"/>
      <c r="AD29" s="1631"/>
      <c r="AE29" s="1631"/>
      <c r="AF29" s="1631"/>
      <c r="AG29" s="1631"/>
      <c r="AH29" s="1631"/>
      <c r="AJ29" s="1384"/>
      <c r="AK29" s="1384"/>
      <c r="AL29" s="1384"/>
      <c r="AM29" s="1380"/>
      <c r="AN29" s="1380"/>
    </row>
    <row r="30" spans="1:40" ht="24">
      <c r="A30" s="1517"/>
      <c r="B30" s="1518" t="s">
        <v>1477</v>
      </c>
      <c r="C30" s="1458" t="e">
        <f>ROUND(IF(E2="工业",C29*M39,C29*M38),0)</f>
        <v>#DIV/0!</v>
      </c>
      <c r="D30" s="1519"/>
      <c r="E30" s="1514" t="e">
        <f>ROUND(C30*D30/10000,0)</f>
        <v>#DIV/0!</v>
      </c>
      <c r="F30" s="1520" t="s">
        <v>1478</v>
      </c>
      <c r="G30" s="1521"/>
      <c r="H30" s="1521"/>
      <c r="I30" s="1521"/>
      <c r="J30" s="1646"/>
      <c r="K30" s="1448"/>
      <c r="L30" s="1448"/>
      <c r="M30" s="1448"/>
      <c r="N30" s="1448"/>
      <c r="O30" s="1448"/>
      <c r="P30" s="1390"/>
      <c r="Q30" s="1653"/>
      <c r="R30" s="1653"/>
      <c r="S30" s="1653"/>
      <c r="T30" s="1653"/>
      <c r="U30" s="1653"/>
      <c r="V30" s="1653"/>
      <c r="W30" s="1674"/>
      <c r="X30" s="1674"/>
      <c r="Y30" s="1674"/>
      <c r="Z30" s="1674"/>
      <c r="AA30" s="1674"/>
      <c r="AB30" s="1653"/>
      <c r="AC30" s="1653"/>
      <c r="AD30" s="1653"/>
      <c r="AE30" s="1653"/>
      <c r="AF30" s="1653"/>
      <c r="AG30" s="1653"/>
      <c r="AH30" s="1653"/>
      <c r="AI30" s="1683"/>
      <c r="AJ30" s="1683"/>
      <c r="AK30" s="1683"/>
      <c r="AL30" s="1683"/>
      <c r="AM30" s="1380"/>
      <c r="AN30" s="1380"/>
    </row>
    <row r="31" spans="1:40">
      <c r="A31" s="1522"/>
      <c r="B31" s="1523" t="s">
        <v>1479</v>
      </c>
      <c r="C31" s="1524" t="s">
        <v>1480</v>
      </c>
      <c r="D31" s="1437"/>
      <c r="E31" s="1524"/>
      <c r="F31" s="1524"/>
      <c r="G31" s="1435" t="s">
        <v>1478</v>
      </c>
      <c r="H31" s="1437"/>
      <c r="I31" s="1647"/>
      <c r="J31" s="1593"/>
      <c r="K31" s="1448"/>
      <c r="L31" s="1448"/>
      <c r="M31" s="1448"/>
      <c r="N31" s="1448"/>
      <c r="O31" s="1448"/>
      <c r="P31" s="1390"/>
      <c r="Q31" s="1653"/>
      <c r="R31" s="1653"/>
      <c r="S31" s="1653"/>
      <c r="T31" s="1653"/>
      <c r="U31" s="1653"/>
      <c r="V31" s="1653"/>
      <c r="W31" s="1674"/>
      <c r="X31" s="1674"/>
      <c r="Y31" s="1674"/>
      <c r="Z31" s="1674"/>
      <c r="AA31" s="1674"/>
      <c r="AB31" s="1653"/>
      <c r="AC31" s="1653"/>
      <c r="AD31" s="1653"/>
      <c r="AE31" s="1653"/>
      <c r="AF31" s="1653"/>
      <c r="AG31" s="1653"/>
      <c r="AH31" s="1653"/>
      <c r="AJ31" s="1384"/>
      <c r="AK31" s="1384"/>
      <c r="AL31" s="1384"/>
      <c r="AM31" s="1380"/>
      <c r="AN31" s="1380"/>
    </row>
    <row r="32" spans="1:40" ht="24">
      <c r="A32" s="1511"/>
      <c r="B32" s="1525"/>
      <c r="C32" s="1526" t="s">
        <v>1474</v>
      </c>
      <c r="D32" s="1527" t="s">
        <v>382</v>
      </c>
      <c r="E32" s="1527" t="s">
        <v>618</v>
      </c>
      <c r="F32" s="1388" t="s">
        <v>1481</v>
      </c>
      <c r="G32" s="1528" t="s">
        <v>1474</v>
      </c>
      <c r="H32" s="1528" t="s">
        <v>382</v>
      </c>
      <c r="I32" s="1528" t="s">
        <v>618</v>
      </c>
      <c r="J32" s="1648"/>
      <c r="K32" s="1464"/>
      <c r="L32" s="1464"/>
      <c r="M32" s="1464"/>
      <c r="N32" s="1464"/>
      <c r="O32" s="1464"/>
      <c r="P32" s="1390"/>
      <c r="Q32" s="1653"/>
      <c r="R32" s="1653"/>
      <c r="S32" s="1653"/>
      <c r="T32" s="1653"/>
      <c r="U32" s="1653"/>
      <c r="V32" s="1653"/>
      <c r="W32" s="1674"/>
      <c r="X32" s="1674"/>
      <c r="Y32" s="1674"/>
      <c r="Z32" s="1674"/>
      <c r="AA32" s="1674"/>
      <c r="AB32" s="1653"/>
      <c r="AC32" s="1653"/>
      <c r="AD32" s="1653"/>
      <c r="AE32" s="1653"/>
      <c r="AF32" s="1653"/>
      <c r="AG32" s="1653"/>
      <c r="AH32" s="1653"/>
      <c r="AI32" s="1380"/>
      <c r="AJ32" s="1380"/>
      <c r="AK32" s="1380"/>
      <c r="AL32" s="1380"/>
      <c r="AM32" s="1380"/>
      <c r="AN32" s="1380"/>
    </row>
    <row r="33" spans="1:44" ht="12.75">
      <c r="A33" s="3392" t="s">
        <v>1482</v>
      </c>
      <c r="B33" s="1529" t="s">
        <v>1483</v>
      </c>
      <c r="C33" s="1498" t="e">
        <f>ROUND(D5*C19*C20*C24*F33,0)</f>
        <v>#DIV/0!</v>
      </c>
      <c r="D33" s="1530"/>
      <c r="E33" s="1429" t="e">
        <f>ROUND(C33*D33/10000,0)</f>
        <v>#DIV/0!</v>
      </c>
      <c r="F33" s="1429">
        <f>SUMIF(修正!A45:A56,G2,修正!B45:B56)</f>
        <v>0</v>
      </c>
      <c r="G33" s="1429" t="e">
        <f t="shared" ref="G33" si="6">ROUND(IF(E2="工业",C33*$M$39,C33*$M$38),0)</f>
        <v>#DIV/0!</v>
      </c>
      <c r="H33" s="1429">
        <f>D33</f>
        <v>0</v>
      </c>
      <c r="I33" s="1429" t="e">
        <f>ROUND(G33*H33/10000,0)</f>
        <v>#DIV/0!</v>
      </c>
      <c r="J33" s="1649"/>
      <c r="K33" s="1650"/>
      <c r="L33" s="1650"/>
      <c r="M33" s="1650"/>
      <c r="N33" s="1650"/>
      <c r="O33" s="1650"/>
      <c r="P33" s="1390"/>
      <c r="Q33" s="1653"/>
      <c r="R33" s="1653"/>
      <c r="S33" s="1653"/>
      <c r="T33" s="1653"/>
      <c r="U33" s="1653"/>
      <c r="V33" s="1653"/>
      <c r="W33" s="1674"/>
      <c r="X33" s="1674"/>
      <c r="Y33" s="1674"/>
      <c r="Z33" s="1674"/>
      <c r="AA33" s="1674"/>
      <c r="AB33" s="1653"/>
      <c r="AC33" s="1653"/>
      <c r="AD33" s="1653"/>
      <c r="AE33" s="1653"/>
      <c r="AF33" s="1653"/>
      <c r="AG33" s="1653"/>
      <c r="AH33" s="1674"/>
      <c r="AJ33" s="1384"/>
      <c r="AK33" s="1384"/>
      <c r="AL33" s="1384"/>
      <c r="AM33" s="1384"/>
      <c r="AN33" s="1384"/>
      <c r="AO33" s="1381"/>
      <c r="AP33" s="1381"/>
      <c r="AQ33" s="1381"/>
      <c r="AR33" s="1381"/>
    </row>
    <row r="34" spans="1:44" ht="12.75">
      <c r="A34" s="3393"/>
      <c r="B34" s="1439" t="s">
        <v>1484</v>
      </c>
      <c r="C34" s="1498" t="e">
        <f>ROUND(D5*C19*C20*C24*F34,0)</f>
        <v>#DIV/0!</v>
      </c>
      <c r="D34" s="1530"/>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9"/>
      <c r="K34" s="1650"/>
      <c r="L34" s="1650"/>
      <c r="M34" s="1650"/>
      <c r="N34" s="1650"/>
      <c r="O34" s="1650"/>
      <c r="P34" s="1390"/>
      <c r="Q34" s="1653"/>
      <c r="R34" s="1653"/>
      <c r="S34" s="1653"/>
      <c r="T34" s="1653"/>
      <c r="U34" s="1653"/>
      <c r="V34" s="1653"/>
      <c r="W34" s="1674"/>
      <c r="X34" s="1674"/>
      <c r="Y34" s="1674"/>
      <c r="Z34" s="1674"/>
      <c r="AA34" s="1674"/>
      <c r="AB34" s="1653"/>
      <c r="AC34" s="1653"/>
      <c r="AD34" s="1653"/>
      <c r="AE34" s="1653"/>
      <c r="AF34" s="1653"/>
      <c r="AG34" s="1653"/>
      <c r="AH34" s="1674"/>
      <c r="AJ34" s="1384"/>
      <c r="AK34" s="1384"/>
      <c r="AL34" s="1384"/>
      <c r="AM34" s="1384"/>
      <c r="AN34" s="1384"/>
      <c r="AO34" s="1381"/>
      <c r="AP34" s="1381"/>
      <c r="AQ34" s="1381"/>
      <c r="AR34" s="1381"/>
    </row>
    <row r="35" spans="1:44" ht="12.75">
      <c r="A35" s="3393"/>
      <c r="B35" s="1439" t="s">
        <v>1485</v>
      </c>
      <c r="C35" s="1498" t="e">
        <f>ROUND(D5*C19*C20*C24*F35,0)</f>
        <v>#DIV/0!</v>
      </c>
      <c r="D35" s="1530"/>
      <c r="E35" s="1429" t="e">
        <f t="shared" si="7"/>
        <v>#DIV/0!</v>
      </c>
      <c r="F35" s="1429">
        <f>SUMIF(修正!A45:A56,G2,修正!D45:D56)</f>
        <v>0</v>
      </c>
      <c r="G35" s="1429" t="e">
        <f>ROUND(IF(E2="工业",C35*$M$39,C35*$M$38),0)</f>
        <v>#DIV/0!</v>
      </c>
      <c r="H35" s="1429">
        <f t="shared" si="8"/>
        <v>0</v>
      </c>
      <c r="I35" s="1429" t="e">
        <f t="shared" si="9"/>
        <v>#DIV/0!</v>
      </c>
      <c r="J35" s="1649"/>
      <c r="K35" s="1650"/>
      <c r="L35" s="1650"/>
      <c r="M35" s="1650"/>
      <c r="N35" s="1650"/>
      <c r="O35" s="1650"/>
      <c r="P35" s="1390"/>
      <c r="Q35" s="1653"/>
      <c r="R35" s="1653"/>
      <c r="S35" s="1653"/>
      <c r="T35" s="1653"/>
      <c r="U35" s="1653"/>
      <c r="V35" s="1653"/>
      <c r="W35" s="1674"/>
      <c r="X35" s="1674"/>
      <c r="Y35" s="1674"/>
      <c r="Z35" s="1674"/>
      <c r="AA35" s="1674"/>
      <c r="AB35" s="1653"/>
      <c r="AC35" s="1653"/>
      <c r="AD35" s="1653"/>
      <c r="AE35" s="1653"/>
      <c r="AF35" s="1653"/>
      <c r="AG35" s="1653"/>
      <c r="AH35" s="1674"/>
      <c r="AJ35" s="1384"/>
      <c r="AK35" s="1384"/>
      <c r="AL35" s="1384"/>
      <c r="AM35" s="1384"/>
      <c r="AN35" s="1384"/>
      <c r="AO35" s="1381"/>
      <c r="AP35" s="1381"/>
      <c r="AQ35" s="1381"/>
      <c r="AR35" s="1381"/>
    </row>
    <row r="36" spans="1:44" ht="12.75">
      <c r="A36" s="3394"/>
      <c r="B36" s="1439" t="s">
        <v>1486</v>
      </c>
      <c r="C36" s="1498" t="e">
        <f>ROUND(D5*C19*C20*C24*F36,0)</f>
        <v>#DIV/0!</v>
      </c>
      <c r="D36" s="1530"/>
      <c r="E36" s="1429" t="e">
        <f t="shared" si="7"/>
        <v>#DIV/0!</v>
      </c>
      <c r="F36" s="1429">
        <f>SUMIF(修正!A45:A56,G2,修正!E45:E56)</f>
        <v>0</v>
      </c>
      <c r="G36" s="1429" t="e">
        <f>ROUND(IF(E2="工业",C36*$M$39,C36*$M$38),0)</f>
        <v>#DIV/0!</v>
      </c>
      <c r="H36" s="1429">
        <f t="shared" si="8"/>
        <v>0</v>
      </c>
      <c r="I36" s="1429" t="e">
        <f t="shared" si="9"/>
        <v>#DIV/0!</v>
      </c>
      <c r="J36" s="1649"/>
      <c r="K36" s="1650"/>
      <c r="L36" s="1650"/>
      <c r="M36" s="1650"/>
      <c r="N36" s="1650"/>
      <c r="O36" s="1650"/>
      <c r="P36" s="1390"/>
      <c r="Q36" s="1653"/>
      <c r="R36" s="1653"/>
      <c r="S36" s="1653"/>
      <c r="T36" s="1653"/>
      <c r="U36" s="1653"/>
      <c r="V36" s="1653"/>
      <c r="W36" s="1674"/>
      <c r="X36" s="1674"/>
      <c r="Y36" s="1674"/>
      <c r="Z36" s="1674"/>
      <c r="AA36" s="1674"/>
      <c r="AB36" s="1653"/>
      <c r="AC36" s="1653"/>
      <c r="AD36" s="1653"/>
      <c r="AE36" s="1653"/>
      <c r="AF36" s="1653"/>
      <c r="AG36" s="1653"/>
      <c r="AH36" s="1674"/>
      <c r="AJ36" s="1384"/>
      <c r="AK36" s="1384"/>
      <c r="AL36" s="1384"/>
      <c r="AM36" s="1384"/>
      <c r="AN36" s="1384"/>
      <c r="AO36" s="1381"/>
      <c r="AP36" s="1381"/>
      <c r="AQ36" s="1381"/>
      <c r="AR36" s="1381"/>
    </row>
    <row r="37" spans="1:44" ht="12.75">
      <c r="A37" s="1531"/>
      <c r="B37" s="1439" t="s">
        <v>1487</v>
      </c>
      <c r="C37" s="1429" t="e">
        <f>ROUND(D5*C19*C20*C24*F37,0)</f>
        <v>#DIV/0!</v>
      </c>
      <c r="D37" s="1530"/>
      <c r="E37" s="1429" t="e">
        <f t="shared" si="7"/>
        <v>#DIV/0!</v>
      </c>
      <c r="F37" s="1498">
        <f>SUMIF(修正!A45:A56,G2,修正!F45:F56)</f>
        <v>0</v>
      </c>
      <c r="G37" s="1429" t="e">
        <f>ROUND(IF(E2="工业",C37*$M$39,C37*$M$38),0)</f>
        <v>#DIV/0!</v>
      </c>
      <c r="H37" s="1429">
        <f t="shared" si="8"/>
        <v>0</v>
      </c>
      <c r="I37" s="1429" t="e">
        <f t="shared" si="9"/>
        <v>#DIV/0!</v>
      </c>
      <c r="J37" s="1649"/>
      <c r="K37" s="1390"/>
      <c r="L37" s="1651" t="s">
        <v>1488</v>
      </c>
      <c r="M37" s="1652"/>
      <c r="N37" s="1653"/>
      <c r="O37" s="1653"/>
      <c r="P37" s="1653"/>
      <c r="Q37" s="1653"/>
      <c r="R37" s="1674"/>
      <c r="S37" s="1674"/>
      <c r="T37" s="1674"/>
      <c r="U37" s="1674"/>
      <c r="V37" s="1674"/>
      <c r="W37" s="1653"/>
      <c r="X37" s="1653"/>
      <c r="Y37" s="1653"/>
      <c r="Z37" s="1653"/>
      <c r="AA37" s="1653"/>
      <c r="AB37" s="1653"/>
      <c r="AC37" s="1674"/>
    </row>
    <row r="38" spans="1:44" ht="12.75">
      <c r="A38" s="1531"/>
      <c r="B38" s="1439" t="s">
        <v>1489</v>
      </c>
      <c r="C38" s="1429" t="e">
        <f>ROUND(D5*C19*C41*C24*F38,0)</f>
        <v>#DIV/0!</v>
      </c>
      <c r="D38" s="1530"/>
      <c r="E38" s="1429" t="e">
        <f t="shared" si="7"/>
        <v>#DIV/0!</v>
      </c>
      <c r="F38" s="1498">
        <f>SUMIF(修正!A45:A56,G2,修正!G45:G56)</f>
        <v>0</v>
      </c>
      <c r="G38" s="1429" t="e">
        <f>ROUND(IF(E2="工业",C38*$M$39,C38*$M$38),0)</f>
        <v>#DIV/0!</v>
      </c>
      <c r="H38" s="1429">
        <f t="shared" si="8"/>
        <v>0</v>
      </c>
      <c r="I38" s="1429" t="e">
        <f t="shared" si="9"/>
        <v>#DIV/0!</v>
      </c>
      <c r="J38" s="1649"/>
      <c r="K38" s="1390"/>
      <c r="L38" s="1654" t="s">
        <v>1490</v>
      </c>
      <c r="M38" s="1655">
        <v>0.25</v>
      </c>
      <c r="N38" s="1653"/>
      <c r="O38" s="1653"/>
      <c r="P38" s="1653"/>
      <c r="Q38" s="1653"/>
      <c r="R38" s="1674"/>
      <c r="S38" s="1674"/>
      <c r="T38" s="1674"/>
      <c r="U38" s="1674"/>
      <c r="V38" s="1674"/>
      <c r="W38" s="1653"/>
      <c r="X38" s="1653"/>
      <c r="Y38" s="1653"/>
      <c r="Z38" s="1653"/>
      <c r="AA38" s="1653"/>
      <c r="AB38" s="1653"/>
      <c r="AC38" s="1674"/>
    </row>
    <row r="39" spans="1:44" ht="12.75">
      <c r="A39" s="1517"/>
      <c r="B39" s="1532" t="s">
        <v>376</v>
      </c>
      <c r="C39" s="1458" t="e">
        <f>ROUND(D5*C19*C41*C24*F39,0)</f>
        <v>#DIV/0!</v>
      </c>
      <c r="D39" s="1533"/>
      <c r="E39" s="1458" t="e">
        <f t="shared" si="7"/>
        <v>#DIV/0!</v>
      </c>
      <c r="F39" s="1534">
        <f>SUMIF(修正!A45:A56,G2,修正!H45:H56)</f>
        <v>0</v>
      </c>
      <c r="G39" s="1458" t="e">
        <f>ROUND(IF(E2="工业",C39*$M$39,C39*$M$38),0)</f>
        <v>#DIV/0!</v>
      </c>
      <c r="H39" s="1458">
        <f t="shared" si="8"/>
        <v>0</v>
      </c>
      <c r="I39" s="1458" t="e">
        <f t="shared" si="9"/>
        <v>#DIV/0!</v>
      </c>
      <c r="J39" s="1656"/>
      <c r="K39" s="1390"/>
      <c r="L39" s="1657" t="s">
        <v>1491</v>
      </c>
      <c r="M39" s="1658">
        <v>0.15</v>
      </c>
      <c r="N39" s="1653"/>
      <c r="O39" s="1653"/>
      <c r="P39" s="1653"/>
      <c r="Q39" s="1653"/>
      <c r="R39" s="1674"/>
      <c r="S39" s="1674"/>
      <c r="T39" s="1674"/>
      <c r="U39" s="1674"/>
      <c r="V39" s="1674"/>
      <c r="W39" s="1653"/>
      <c r="X39" s="1653"/>
      <c r="Y39" s="1653"/>
      <c r="Z39" s="1653"/>
      <c r="AA39" s="1653"/>
      <c r="AB39" s="1653"/>
      <c r="AC39" s="1674"/>
    </row>
    <row r="40" spans="1:44" s="1380" customFormat="1">
      <c r="B40" s="1535"/>
      <c r="C40" s="1535"/>
      <c r="D40" s="1535"/>
      <c r="E40" s="1535"/>
      <c r="F40" s="1535"/>
      <c r="G40" s="1535"/>
      <c r="H40" s="1535"/>
      <c r="I40" s="1535"/>
      <c r="J40" s="1535"/>
      <c r="K40" s="1535"/>
      <c r="L40" s="1535"/>
      <c r="M40" s="1535"/>
      <c r="N40" s="1535"/>
      <c r="O40" s="1535"/>
      <c r="P40" s="1535"/>
      <c r="Q40" s="1535"/>
      <c r="R40" s="1675"/>
      <c r="S40" s="1675"/>
      <c r="T40" s="1675"/>
      <c r="U40" s="1675"/>
      <c r="V40" s="1675"/>
      <c r="W40" s="1535"/>
      <c r="X40" s="1535"/>
      <c r="Y40" s="1535"/>
      <c r="Z40" s="1535"/>
      <c r="AA40" s="1535"/>
      <c r="AB40" s="1535"/>
      <c r="AC40" s="1675"/>
      <c r="AD40" s="1384"/>
      <c r="AE40" s="1384"/>
      <c r="AF40" s="1384"/>
      <c r="AG40" s="1384"/>
      <c r="AH40" s="1384"/>
      <c r="AI40" s="1384"/>
      <c r="AJ40" s="1384"/>
      <c r="AK40" s="1384"/>
      <c r="AL40" s="1384"/>
      <c r="AM40" s="1384"/>
    </row>
    <row r="41" spans="1:44" s="1380" customFormat="1" ht="12.75">
      <c r="A41" s="1384"/>
      <c r="B41" s="1536" t="s">
        <v>1492</v>
      </c>
      <c r="C41" s="977" t="e">
        <f>ROUND(POWER(1+E41,H41-G41)*(POWER(1+E41,G41)-1)/(POWER(1+E41,H41)-1),4)</f>
        <v>#DIV/0!</v>
      </c>
      <c r="D41" s="1537" t="s">
        <v>1493</v>
      </c>
      <c r="E41" s="1538">
        <f>G20</f>
        <v>0</v>
      </c>
      <c r="F41" s="1537" t="s">
        <v>1494</v>
      </c>
      <c r="G41" s="1539"/>
      <c r="H41" s="1537">
        <v>50</v>
      </c>
      <c r="I41" s="1535"/>
      <c r="J41" s="1535"/>
      <c r="K41" s="1535"/>
      <c r="L41" s="1535"/>
      <c r="M41" s="1535"/>
      <c r="N41" s="1535"/>
      <c r="O41" s="1535"/>
      <c r="P41" s="1535"/>
      <c r="Q41" s="1535"/>
      <c r="R41" s="1675"/>
      <c r="S41" s="1675"/>
      <c r="T41" s="1675"/>
      <c r="U41" s="1675"/>
      <c r="V41" s="1675"/>
      <c r="W41" s="1535"/>
      <c r="X41" s="1535"/>
      <c r="Y41" s="1535"/>
      <c r="Z41" s="1535"/>
      <c r="AA41" s="1535"/>
      <c r="AB41" s="1535"/>
      <c r="AC41" s="1675"/>
      <c r="AD41" s="1384"/>
      <c r="AE41" s="1384"/>
      <c r="AF41" s="1384"/>
      <c r="AG41" s="1384"/>
      <c r="AH41" s="1384"/>
      <c r="AI41" s="1384"/>
      <c r="AJ41" s="1384"/>
      <c r="AK41" s="1384"/>
      <c r="AL41" s="1384"/>
      <c r="AM41" s="1384"/>
    </row>
    <row r="42" spans="1:44" s="1380" customFormat="1">
      <c r="A42" s="1384"/>
      <c r="B42" s="1540"/>
      <c r="C42" s="1535"/>
      <c r="D42" s="1535"/>
      <c r="E42" s="1535"/>
      <c r="F42" s="1535"/>
      <c r="G42" s="1535"/>
      <c r="H42" s="1535"/>
      <c r="I42" s="1535"/>
      <c r="J42" s="1535"/>
      <c r="K42" s="1535"/>
      <c r="L42" s="1535"/>
      <c r="M42" s="1535"/>
      <c r="N42" s="1535"/>
      <c r="O42" s="1535"/>
      <c r="P42" s="1535"/>
      <c r="Q42" s="1535"/>
      <c r="R42" s="1675"/>
      <c r="S42" s="1675"/>
      <c r="T42" s="1675"/>
      <c r="U42" s="1675"/>
      <c r="V42" s="1675"/>
      <c r="W42" s="1535"/>
      <c r="X42" s="1535"/>
      <c r="Y42" s="1535"/>
      <c r="Z42" s="1535"/>
      <c r="AA42" s="1535"/>
      <c r="AB42" s="1535"/>
      <c r="AC42" s="1675"/>
      <c r="AD42" s="1384"/>
      <c r="AE42" s="1384"/>
      <c r="AF42" s="1384"/>
      <c r="AG42" s="1384"/>
      <c r="AH42" s="1384"/>
      <c r="AI42" s="1384"/>
      <c r="AJ42" s="1384"/>
      <c r="AK42" s="1384"/>
      <c r="AL42" s="1384"/>
      <c r="AM42" s="1384"/>
    </row>
    <row r="43" spans="1:44" s="1380" customFormat="1">
      <c r="A43" s="1384"/>
      <c r="B43" s="1540"/>
      <c r="C43" s="1535"/>
      <c r="D43" s="1535"/>
      <c r="E43" s="1535"/>
      <c r="F43" s="1535"/>
      <c r="G43" s="1535"/>
      <c r="H43" s="1535"/>
      <c r="I43" s="1535"/>
      <c r="J43" s="1535"/>
      <c r="K43" s="1535"/>
      <c r="L43" s="1535"/>
      <c r="M43" s="1535"/>
      <c r="N43" s="1535"/>
      <c r="O43" s="1535"/>
      <c r="P43" s="1535"/>
      <c r="Q43" s="1535"/>
      <c r="R43" s="1675"/>
      <c r="S43" s="1675"/>
      <c r="T43" s="1675"/>
      <c r="U43" s="1675"/>
      <c r="V43" s="1675"/>
      <c r="W43" s="1535"/>
      <c r="X43" s="1535"/>
      <c r="Y43" s="1535"/>
      <c r="Z43" s="1535"/>
      <c r="AA43" s="1535"/>
      <c r="AB43" s="1535"/>
      <c r="AC43" s="1675"/>
      <c r="AD43" s="1384"/>
      <c r="AE43" s="1384"/>
      <c r="AF43" s="1384"/>
      <c r="AG43" s="1384"/>
      <c r="AH43" s="1384"/>
      <c r="AI43" s="1384"/>
      <c r="AJ43" s="1384"/>
      <c r="AK43" s="1384"/>
      <c r="AL43" s="1384"/>
      <c r="AM43" s="1384"/>
    </row>
    <row r="44" spans="1:44" s="1380" customFormat="1" ht="14.25">
      <c r="A44" s="1541" t="s">
        <v>1495</v>
      </c>
      <c r="B44" s="1542"/>
      <c r="C44" s="1543"/>
      <c r="D44" s="1544"/>
      <c r="E44" s="1544"/>
      <c r="F44" s="1545"/>
      <c r="G44" s="1301"/>
      <c r="H44" s="1545"/>
      <c r="I44" s="1301"/>
      <c r="J44" s="1301"/>
      <c r="K44" s="1301"/>
      <c r="L44" s="1301"/>
      <c r="M44" s="1301"/>
      <c r="O44" s="1535"/>
      <c r="P44" s="1535"/>
      <c r="Q44" s="1535"/>
      <c r="R44" s="1675"/>
      <c r="S44" s="1675"/>
      <c r="T44" s="1675"/>
      <c r="U44" s="1675"/>
      <c r="V44" s="1675"/>
      <c r="W44" s="1535"/>
      <c r="X44" s="1535"/>
      <c r="Y44" s="1535"/>
      <c r="Z44" s="1535"/>
      <c r="AA44" s="1535"/>
      <c r="AB44" s="1535"/>
      <c r="AC44" s="1675"/>
      <c r="AD44" s="1384"/>
      <c r="AE44" s="1384"/>
      <c r="AF44" s="1384"/>
      <c r="AG44" s="1384"/>
      <c r="AH44" s="1384"/>
      <c r="AI44" s="1384"/>
      <c r="AJ44" s="1384"/>
      <c r="AK44" s="1384"/>
      <c r="AL44" s="1384"/>
      <c r="AM44" s="1384"/>
    </row>
    <row r="45" spans="1:44" s="1380" customFormat="1" ht="15">
      <c r="A45" s="1546" t="s">
        <v>370</v>
      </c>
      <c r="B45" s="1547">
        <f>1+E47</f>
        <v>1</v>
      </c>
      <c r="C45" s="1548"/>
      <c r="D45" s="1549"/>
      <c r="E45" s="1550"/>
      <c r="F45" s="1551"/>
      <c r="G45" s="1545"/>
      <c r="H45" s="1545"/>
      <c r="I45" s="1301"/>
      <c r="J45" s="1301"/>
      <c r="K45" s="1301"/>
      <c r="L45" s="1301"/>
      <c r="M45" s="1301"/>
      <c r="O45" s="1535"/>
      <c r="P45" s="1535"/>
      <c r="Q45" s="1535"/>
      <c r="R45" s="1675"/>
      <c r="S45" s="1675"/>
      <c r="T45" s="1675"/>
      <c r="U45" s="1675"/>
      <c r="V45" s="1675"/>
      <c r="W45" s="1535"/>
      <c r="X45" s="1535"/>
      <c r="Y45" s="1535"/>
      <c r="Z45" s="1535"/>
      <c r="AA45" s="1535"/>
      <c r="AB45" s="1535"/>
      <c r="AC45" s="1675"/>
      <c r="AD45" s="1384"/>
      <c r="AE45" s="1384"/>
      <c r="AF45" s="1384"/>
      <c r="AG45" s="1384"/>
      <c r="AH45" s="1384"/>
      <c r="AI45" s="1384"/>
      <c r="AJ45" s="1384"/>
      <c r="AK45" s="1384"/>
      <c r="AL45" s="1384"/>
      <c r="AM45" s="1384"/>
    </row>
    <row r="46" spans="1:44" s="1380" customFormat="1" ht="24">
      <c r="A46" s="1349" t="s">
        <v>1496</v>
      </c>
      <c r="B46" s="1552" t="s">
        <v>1497</v>
      </c>
      <c r="C46" s="1553" t="s">
        <v>1498</v>
      </c>
      <c r="D46" s="1554" t="s">
        <v>1499</v>
      </c>
      <c r="E46" s="1555" t="s">
        <v>1500</v>
      </c>
      <c r="F46" s="1556" t="s">
        <v>1501</v>
      </c>
      <c r="G46" s="1554" t="s">
        <v>1502</v>
      </c>
      <c r="H46" s="1557" t="s">
        <v>1503</v>
      </c>
      <c r="I46" s="1554" t="s">
        <v>1504</v>
      </c>
      <c r="J46" s="1659" t="s">
        <v>250</v>
      </c>
      <c r="K46" s="1659" t="s">
        <v>262</v>
      </c>
      <c r="L46" s="1659" t="s">
        <v>272</v>
      </c>
      <c r="M46" s="1659" t="s">
        <v>282</v>
      </c>
      <c r="N46" s="1659" t="s">
        <v>289</v>
      </c>
      <c r="P46" s="1535"/>
      <c r="Q46" s="1535"/>
      <c r="R46" s="1675"/>
      <c r="S46" s="1675"/>
      <c r="T46" s="1675"/>
      <c r="U46" s="1675"/>
      <c r="V46" s="1675"/>
      <c r="W46" s="1535"/>
      <c r="X46" s="1535"/>
      <c r="Y46" s="1535"/>
      <c r="Z46" s="1535"/>
      <c r="AA46" s="1535"/>
      <c r="AB46" s="1535"/>
      <c r="AC46" s="1535"/>
      <c r="AD46" s="1675"/>
      <c r="AE46" s="1384"/>
      <c r="AF46" s="1384"/>
      <c r="AG46" s="1384"/>
      <c r="AH46" s="1384"/>
      <c r="AI46" s="1384"/>
      <c r="AJ46" s="1384"/>
      <c r="AK46" s="1384"/>
      <c r="AL46" s="1384"/>
      <c r="AM46" s="1384"/>
      <c r="AN46" s="1384"/>
    </row>
    <row r="47" spans="1:44" s="1380" customFormat="1" ht="36">
      <c r="A47" s="1349" t="s">
        <v>1505</v>
      </c>
      <c r="B47" s="1558" t="str">
        <f>估价对象房地状况!C16</f>
        <v>估价对象位于XX商圈，周边商业氛围成熟，人流量大，商业繁华度好</v>
      </c>
      <c r="C47" s="1559"/>
      <c r="D47" s="1560">
        <f t="shared" ref="D47:D55" si="10">SUMIF($J$46:$N$46,C47,J47:N47)</f>
        <v>0</v>
      </c>
      <c r="E47" s="1561">
        <f>ROUND(SUM(D47:D55),4)</f>
        <v>0</v>
      </c>
      <c r="F47" s="1562" t="str">
        <f>IF(E2="商业",SUMIF(L1:L12,G2,N1:N12),"——")</f>
        <v>——</v>
      </c>
      <c r="G47" s="1563"/>
      <c r="H47" s="1564" t="str">
        <f t="shared" ref="H47:H55" si="11">IFERROR(ROUNDDOWN(($F$47*I47/2),4),"——")</f>
        <v>——</v>
      </c>
      <c r="I47" s="1660">
        <v>0.33</v>
      </c>
      <c r="J47" s="1661">
        <f t="shared" ref="J47:J55" si="12">K47+$G47</f>
        <v>0</v>
      </c>
      <c r="K47" s="1661">
        <f t="shared" ref="K47:K55" si="13">$L47+$G47</f>
        <v>0</v>
      </c>
      <c r="L47" s="1661">
        <v>0</v>
      </c>
      <c r="M47" s="1661">
        <f t="shared" ref="M47:N55" si="14">L47-$G47</f>
        <v>0</v>
      </c>
      <c r="N47" s="1661">
        <f t="shared" si="14"/>
        <v>0</v>
      </c>
      <c r="P47" s="1535"/>
      <c r="Q47" s="1535"/>
      <c r="R47" s="1675"/>
      <c r="S47" s="1675"/>
      <c r="T47" s="1675"/>
      <c r="U47" s="1675"/>
      <c r="V47" s="1675"/>
      <c r="W47" s="1535"/>
      <c r="X47" s="1535"/>
      <c r="Y47" s="1535"/>
      <c r="Z47" s="1535"/>
      <c r="AA47" s="1535"/>
      <c r="AB47" s="1535"/>
      <c r="AC47" s="1535"/>
      <c r="AD47" s="1675"/>
      <c r="AE47" s="1384"/>
      <c r="AF47" s="1384"/>
      <c r="AG47" s="1384"/>
      <c r="AH47" s="1384"/>
      <c r="AI47" s="1384"/>
      <c r="AJ47" s="1384"/>
      <c r="AK47" s="1384"/>
      <c r="AL47" s="1384"/>
      <c r="AM47" s="1384"/>
      <c r="AN47" s="1384"/>
    </row>
    <row r="48" spans="1:44" s="1380" customFormat="1" ht="48">
      <c r="A48" s="1349" t="s">
        <v>667</v>
      </c>
      <c r="B48" s="1552" t="str">
        <f>估价对象房地状况!C18</f>
        <v>估价对象周边道路状况、公共交通通达情况、停车便捷程度，综合评价交通便捷度较好</v>
      </c>
      <c r="C48" s="1559"/>
      <c r="D48" s="1560">
        <f t="shared" si="10"/>
        <v>0</v>
      </c>
      <c r="E48" s="1565"/>
      <c r="F48" s="1562"/>
      <c r="G48" s="1563"/>
      <c r="H48" s="1564" t="str">
        <f t="shared" si="11"/>
        <v>——</v>
      </c>
      <c r="I48" s="1660">
        <v>0.25</v>
      </c>
      <c r="J48" s="1661">
        <f t="shared" si="12"/>
        <v>0</v>
      </c>
      <c r="K48" s="1661">
        <f t="shared" si="13"/>
        <v>0</v>
      </c>
      <c r="L48" s="1661">
        <v>0</v>
      </c>
      <c r="M48" s="1661">
        <f t="shared" si="14"/>
        <v>0</v>
      </c>
      <c r="N48" s="1661">
        <f t="shared" si="14"/>
        <v>0</v>
      </c>
      <c r="P48" s="1535"/>
      <c r="Q48" s="1535"/>
      <c r="R48" s="1675"/>
      <c r="S48" s="1675"/>
      <c r="T48" s="1675"/>
      <c r="U48" s="1675"/>
      <c r="V48" s="1675"/>
      <c r="W48" s="1535"/>
      <c r="X48" s="1535"/>
      <c r="Y48" s="1535"/>
      <c r="Z48" s="1535"/>
      <c r="AA48" s="1535"/>
      <c r="AB48" s="1535"/>
      <c r="AC48" s="1535"/>
      <c r="AD48" s="1675"/>
      <c r="AE48" s="1384"/>
      <c r="AF48" s="1384"/>
      <c r="AG48" s="1384"/>
      <c r="AH48" s="1384"/>
      <c r="AI48" s="1384"/>
      <c r="AJ48" s="1384"/>
      <c r="AK48" s="1384"/>
      <c r="AL48" s="1384"/>
      <c r="AM48" s="1384"/>
      <c r="AN48" s="1384"/>
    </row>
    <row r="49" spans="1:40" s="1380" customFormat="1" ht="24">
      <c r="A49" s="1349" t="s">
        <v>679</v>
      </c>
      <c r="B49" s="1552">
        <f>估价对象房地状况!C19</f>
        <v>0</v>
      </c>
      <c r="C49" s="1559"/>
      <c r="D49" s="1560">
        <f t="shared" si="10"/>
        <v>0</v>
      </c>
      <c r="E49" s="1565"/>
      <c r="F49" s="1562"/>
      <c r="G49" s="1563"/>
      <c r="H49" s="1564" t="str">
        <f t="shared" si="11"/>
        <v>——</v>
      </c>
      <c r="I49" s="1660">
        <v>0.05</v>
      </c>
      <c r="J49" s="1661">
        <f t="shared" si="12"/>
        <v>0</v>
      </c>
      <c r="K49" s="1661">
        <f t="shared" si="13"/>
        <v>0</v>
      </c>
      <c r="L49" s="1661">
        <v>0</v>
      </c>
      <c r="M49" s="1661">
        <f t="shared" si="14"/>
        <v>0</v>
      </c>
      <c r="N49" s="1661">
        <f t="shared" si="14"/>
        <v>0</v>
      </c>
      <c r="P49" s="1535"/>
      <c r="Q49" s="1535"/>
      <c r="R49" s="1675"/>
      <c r="S49" s="1675"/>
      <c r="T49" s="1675"/>
      <c r="U49" s="1675"/>
      <c r="V49" s="1675"/>
      <c r="W49" s="1535"/>
      <c r="X49" s="1535"/>
      <c r="Y49" s="1535"/>
      <c r="Z49" s="1535"/>
      <c r="AA49" s="1535"/>
      <c r="AB49" s="1535"/>
      <c r="AC49" s="1535"/>
      <c r="AD49" s="1675"/>
      <c r="AE49" s="1384"/>
      <c r="AF49" s="1384"/>
      <c r="AG49" s="1384"/>
      <c r="AH49" s="1384"/>
      <c r="AI49" s="1384"/>
      <c r="AJ49" s="1384"/>
      <c r="AK49" s="1384"/>
      <c r="AL49" s="1384"/>
      <c r="AM49" s="1384"/>
      <c r="AN49" s="1384"/>
    </row>
    <row r="50" spans="1:40" s="1380" customFormat="1" ht="36">
      <c r="A50" s="1349" t="s">
        <v>1506</v>
      </c>
      <c r="B50" s="1566" t="s">
        <v>1507</v>
      </c>
      <c r="C50" s="1559"/>
      <c r="D50" s="1560">
        <f t="shared" si="10"/>
        <v>0</v>
      </c>
      <c r="E50" s="1565"/>
      <c r="F50" s="1562"/>
      <c r="G50" s="1563"/>
      <c r="H50" s="1564" t="str">
        <f t="shared" si="11"/>
        <v>——</v>
      </c>
      <c r="I50" s="1660">
        <v>0.05</v>
      </c>
      <c r="J50" s="1661">
        <f t="shared" si="12"/>
        <v>0</v>
      </c>
      <c r="K50" s="1661">
        <f t="shared" si="13"/>
        <v>0</v>
      </c>
      <c r="L50" s="1661">
        <v>0</v>
      </c>
      <c r="M50" s="1661">
        <f t="shared" si="14"/>
        <v>0</v>
      </c>
      <c r="N50" s="1661">
        <f t="shared" si="14"/>
        <v>0</v>
      </c>
      <c r="P50" s="1535"/>
      <c r="Q50" s="1535"/>
      <c r="R50" s="1675"/>
      <c r="S50" s="1675"/>
      <c r="T50" s="1675"/>
      <c r="U50" s="1675"/>
      <c r="V50" s="1675"/>
      <c r="W50" s="1535"/>
      <c r="X50" s="1535"/>
      <c r="Y50" s="1535"/>
      <c r="Z50" s="1535"/>
      <c r="AA50" s="1535"/>
      <c r="AB50" s="1535"/>
      <c r="AC50" s="1535"/>
      <c r="AD50" s="1675"/>
      <c r="AE50" s="1384"/>
      <c r="AF50" s="1384"/>
      <c r="AG50" s="1384"/>
      <c r="AH50" s="1384"/>
      <c r="AI50" s="1384"/>
      <c r="AJ50" s="1384"/>
      <c r="AK50" s="1384"/>
      <c r="AL50" s="1384"/>
      <c r="AM50" s="1384"/>
      <c r="AN50" s="1384"/>
    </row>
    <row r="51" spans="1:40" s="1380" customFormat="1" ht="24">
      <c r="A51" s="1349" t="s">
        <v>1508</v>
      </c>
      <c r="B51" s="1552">
        <f>估价对象房地状况!C24</f>
        <v>0</v>
      </c>
      <c r="C51" s="1559"/>
      <c r="D51" s="1560">
        <f t="shared" si="10"/>
        <v>0</v>
      </c>
      <c r="E51" s="1565"/>
      <c r="F51" s="1562"/>
      <c r="G51" s="1563"/>
      <c r="H51" s="1564" t="str">
        <f t="shared" si="11"/>
        <v>——</v>
      </c>
      <c r="I51" s="1660">
        <v>0.08</v>
      </c>
      <c r="J51" s="1661">
        <f t="shared" si="12"/>
        <v>0</v>
      </c>
      <c r="K51" s="1661">
        <f t="shared" si="13"/>
        <v>0</v>
      </c>
      <c r="L51" s="1661">
        <v>0</v>
      </c>
      <c r="M51" s="1661">
        <f t="shared" si="14"/>
        <v>0</v>
      </c>
      <c r="N51" s="1661">
        <f t="shared" si="14"/>
        <v>0</v>
      </c>
      <c r="P51" s="1535"/>
      <c r="Q51" s="1535"/>
      <c r="R51" s="1675"/>
      <c r="S51" s="1675"/>
      <c r="T51" s="1675"/>
      <c r="U51" s="1675"/>
      <c r="V51" s="1675"/>
      <c r="W51" s="1535"/>
      <c r="X51" s="1535"/>
      <c r="Y51" s="1535"/>
      <c r="Z51" s="1535"/>
      <c r="AA51" s="1535"/>
      <c r="AB51" s="1535"/>
      <c r="AC51" s="1535"/>
      <c r="AD51" s="1675"/>
      <c r="AE51" s="1384"/>
      <c r="AF51" s="1384"/>
      <c r="AG51" s="1384"/>
      <c r="AH51" s="1384"/>
      <c r="AI51" s="1384"/>
      <c r="AJ51" s="1384"/>
      <c r="AK51" s="1384"/>
      <c r="AL51" s="1384"/>
      <c r="AM51" s="1384"/>
      <c r="AN51" s="1384"/>
    </row>
    <row r="52" spans="1:40" s="1380" customFormat="1" ht="24">
      <c r="A52" s="1349" t="s">
        <v>1509</v>
      </c>
      <c r="B52" s="1567" t="s">
        <v>1510</v>
      </c>
      <c r="C52" s="1559"/>
      <c r="D52" s="1560">
        <f t="shared" si="10"/>
        <v>0</v>
      </c>
      <c r="E52" s="1565"/>
      <c r="F52" s="1562"/>
      <c r="G52" s="1563"/>
      <c r="H52" s="1564" t="str">
        <f t="shared" si="11"/>
        <v>——</v>
      </c>
      <c r="I52" s="1660">
        <v>0.03</v>
      </c>
      <c r="J52" s="1661">
        <f t="shared" si="12"/>
        <v>0</v>
      </c>
      <c r="K52" s="1661">
        <f t="shared" si="13"/>
        <v>0</v>
      </c>
      <c r="L52" s="1661">
        <v>0</v>
      </c>
      <c r="M52" s="1661">
        <f t="shared" si="14"/>
        <v>0</v>
      </c>
      <c r="N52" s="1661">
        <f t="shared" si="14"/>
        <v>0</v>
      </c>
      <c r="P52" s="1535"/>
      <c r="Q52" s="1535"/>
      <c r="R52" s="1675"/>
      <c r="S52" s="1675"/>
      <c r="T52" s="1675"/>
      <c r="U52" s="1675"/>
      <c r="V52" s="1675"/>
      <c r="W52" s="1535"/>
      <c r="X52" s="1535"/>
      <c r="Y52" s="1535"/>
      <c r="Z52" s="1535"/>
      <c r="AA52" s="1535"/>
      <c r="AB52" s="1535"/>
      <c r="AC52" s="1535"/>
      <c r="AD52" s="1675"/>
      <c r="AE52" s="1384"/>
      <c r="AF52" s="1384"/>
      <c r="AG52" s="1384"/>
      <c r="AH52" s="1384"/>
      <c r="AI52" s="1384"/>
      <c r="AJ52" s="1384"/>
      <c r="AK52" s="1384"/>
      <c r="AL52" s="1384"/>
      <c r="AM52" s="1384"/>
      <c r="AN52" s="1384"/>
    </row>
    <row r="53" spans="1:40" s="1380" customFormat="1" ht="24">
      <c r="A53" s="1568" t="s">
        <v>1511</v>
      </c>
      <c r="B53" s="1569" t="str">
        <f>估价对象房地状况!C21</f>
        <v>估价对象所在区域公共配套设施齐备情况</v>
      </c>
      <c r="C53" s="1559"/>
      <c r="D53" s="1560">
        <f t="shared" si="10"/>
        <v>0</v>
      </c>
      <c r="E53" s="1565"/>
      <c r="F53" s="1562"/>
      <c r="G53" s="1563"/>
      <c r="H53" s="1564" t="str">
        <f t="shared" si="11"/>
        <v>——</v>
      </c>
      <c r="I53" s="1660">
        <v>0.05</v>
      </c>
      <c r="J53" s="1661">
        <f t="shared" si="12"/>
        <v>0</v>
      </c>
      <c r="K53" s="1661">
        <f t="shared" si="13"/>
        <v>0</v>
      </c>
      <c r="L53" s="1661">
        <v>0</v>
      </c>
      <c r="M53" s="1661">
        <f t="shared" si="14"/>
        <v>0</v>
      </c>
      <c r="N53" s="1661">
        <f t="shared" si="14"/>
        <v>0</v>
      </c>
      <c r="P53" s="1535"/>
      <c r="Q53" s="1535"/>
      <c r="R53" s="1675"/>
      <c r="S53" s="1675"/>
      <c r="T53" s="1675"/>
      <c r="U53" s="1675"/>
      <c r="V53" s="1675"/>
      <c r="W53" s="1535"/>
      <c r="X53" s="1535"/>
      <c r="Y53" s="1535"/>
      <c r="Z53" s="1535"/>
      <c r="AA53" s="1535"/>
      <c r="AB53" s="1535"/>
      <c r="AC53" s="1535"/>
      <c r="AD53" s="1675"/>
      <c r="AE53" s="1384"/>
      <c r="AF53" s="1384"/>
      <c r="AG53" s="1384"/>
      <c r="AH53" s="1384"/>
      <c r="AI53" s="1384"/>
      <c r="AJ53" s="1384"/>
      <c r="AK53" s="1384"/>
      <c r="AL53" s="1384"/>
      <c r="AM53" s="1384"/>
      <c r="AN53" s="1384"/>
    </row>
    <row r="54" spans="1:40" s="1380" customFormat="1" ht="24">
      <c r="A54" s="1568" t="s">
        <v>1512</v>
      </c>
      <c r="B54" s="1552" t="str">
        <f>估价对象房地状况!C22</f>
        <v>估价对象所在区域基础设施水平</v>
      </c>
      <c r="C54" s="1559"/>
      <c r="D54" s="1560">
        <f t="shared" si="10"/>
        <v>0</v>
      </c>
      <c r="E54" s="1565"/>
      <c r="F54" s="1562"/>
      <c r="G54" s="1563"/>
      <c r="H54" s="1564" t="str">
        <f t="shared" si="11"/>
        <v>——</v>
      </c>
      <c r="I54" s="1660">
        <v>0.1</v>
      </c>
      <c r="J54" s="1661">
        <f t="shared" si="12"/>
        <v>0</v>
      </c>
      <c r="K54" s="1661">
        <f t="shared" si="13"/>
        <v>0</v>
      </c>
      <c r="L54" s="1661">
        <v>0</v>
      </c>
      <c r="M54" s="1661">
        <f t="shared" si="14"/>
        <v>0</v>
      </c>
      <c r="N54" s="1661">
        <f t="shared" si="14"/>
        <v>0</v>
      </c>
      <c r="P54" s="1535"/>
      <c r="Q54" s="1535"/>
      <c r="R54" s="1675"/>
      <c r="S54" s="1675"/>
      <c r="T54" s="1675"/>
      <c r="U54" s="1675"/>
      <c r="V54" s="1675"/>
      <c r="W54" s="1535"/>
      <c r="X54" s="1535"/>
      <c r="Y54" s="1535"/>
      <c r="Z54" s="1535"/>
      <c r="AA54" s="1535"/>
      <c r="AB54" s="1535"/>
      <c r="AC54" s="1535"/>
      <c r="AD54" s="1675"/>
      <c r="AE54" s="1384"/>
      <c r="AF54" s="1384"/>
      <c r="AG54" s="1384"/>
      <c r="AH54" s="1384"/>
      <c r="AI54" s="1384"/>
      <c r="AJ54" s="1384"/>
      <c r="AK54" s="1384"/>
      <c r="AL54" s="1384"/>
      <c r="AM54" s="1384"/>
      <c r="AN54" s="1384"/>
    </row>
    <row r="55" spans="1:40" s="1380" customFormat="1" ht="24">
      <c r="A55" s="1570" t="s">
        <v>1513</v>
      </c>
      <c r="B55" s="1571" t="str">
        <f>估价对象房地状况!C20</f>
        <v>区域自然环境：；人文环境；综合评价环境状况一般</v>
      </c>
      <c r="C55" s="1559"/>
      <c r="D55" s="1560">
        <f t="shared" si="10"/>
        <v>0</v>
      </c>
      <c r="E55" s="1572"/>
      <c r="F55" s="1562"/>
      <c r="G55" s="1563"/>
      <c r="H55" s="1564" t="str">
        <f t="shared" si="11"/>
        <v>——</v>
      </c>
      <c r="I55" s="1662">
        <v>0.06</v>
      </c>
      <c r="J55" s="1661">
        <f t="shared" si="12"/>
        <v>0</v>
      </c>
      <c r="K55" s="1661">
        <f t="shared" si="13"/>
        <v>0</v>
      </c>
      <c r="L55" s="1661">
        <v>0</v>
      </c>
      <c r="M55" s="1661">
        <f t="shared" si="14"/>
        <v>0</v>
      </c>
      <c r="N55" s="1661">
        <f t="shared" si="14"/>
        <v>0</v>
      </c>
      <c r="P55" s="1535"/>
      <c r="Q55" s="1535"/>
      <c r="R55" s="1675"/>
      <c r="S55" s="1675"/>
      <c r="T55" s="1675"/>
      <c r="U55" s="1675"/>
      <c r="V55" s="1675"/>
      <c r="W55" s="1535"/>
      <c r="X55" s="1535"/>
      <c r="Y55" s="1535"/>
      <c r="Z55" s="1535"/>
      <c r="AA55" s="1535"/>
      <c r="AB55" s="1535"/>
      <c r="AC55" s="1535"/>
      <c r="AD55" s="1675"/>
      <c r="AE55" s="1384"/>
      <c r="AF55" s="1384"/>
      <c r="AG55" s="1384"/>
      <c r="AH55" s="1384"/>
      <c r="AI55" s="1384"/>
      <c r="AJ55" s="1384"/>
      <c r="AK55" s="1384"/>
      <c r="AL55" s="1384"/>
      <c r="AM55" s="1384"/>
      <c r="AN55" s="1384"/>
    </row>
    <row r="56" spans="1:40" s="1380" customFormat="1" ht="15">
      <c r="A56" s="1546" t="s">
        <v>371</v>
      </c>
      <c r="B56" s="1547">
        <f>1+E58</f>
        <v>1</v>
      </c>
      <c r="C56" s="1573"/>
      <c r="D56" s="1549"/>
      <c r="E56" s="1550"/>
      <c r="F56" s="1551"/>
      <c r="G56" s="1545"/>
      <c r="H56" s="1545"/>
      <c r="I56" s="1545"/>
      <c r="J56" s="1301"/>
      <c r="K56" s="1301"/>
      <c r="L56" s="1301"/>
      <c r="M56" s="1301"/>
      <c r="N56" s="1301"/>
      <c r="P56" s="1535"/>
      <c r="Q56" s="1535"/>
      <c r="R56" s="1675"/>
      <c r="S56" s="1675"/>
      <c r="T56" s="1675"/>
      <c r="U56" s="1675"/>
      <c r="V56" s="1675"/>
      <c r="W56" s="1535"/>
      <c r="X56" s="1535"/>
      <c r="Y56" s="1535"/>
      <c r="Z56" s="1535"/>
      <c r="AA56" s="1535"/>
      <c r="AB56" s="1535"/>
      <c r="AC56" s="1535"/>
      <c r="AD56" s="1675"/>
      <c r="AE56" s="1384"/>
      <c r="AF56" s="1384"/>
      <c r="AG56" s="1384"/>
      <c r="AH56" s="1384"/>
      <c r="AI56" s="1384"/>
      <c r="AJ56" s="1384"/>
      <c r="AK56" s="1384"/>
      <c r="AL56" s="1384"/>
      <c r="AM56" s="1384"/>
      <c r="AN56" s="1384"/>
    </row>
    <row r="57" spans="1:40" s="1380" customFormat="1" ht="24">
      <c r="A57" s="1349" t="s">
        <v>1496</v>
      </c>
      <c r="B57" s="1552"/>
      <c r="C57" s="1553" t="s">
        <v>1498</v>
      </c>
      <c r="D57" s="1554" t="s">
        <v>1499</v>
      </c>
      <c r="E57" s="1555" t="s">
        <v>1500</v>
      </c>
      <c r="F57" s="1556" t="s">
        <v>1501</v>
      </c>
      <c r="G57" s="1554" t="s">
        <v>1502</v>
      </c>
      <c r="H57" s="1557" t="s">
        <v>1503</v>
      </c>
      <c r="I57" s="1554" t="s">
        <v>1504</v>
      </c>
      <c r="J57" s="1659" t="s">
        <v>250</v>
      </c>
      <c r="K57" s="1659" t="s">
        <v>262</v>
      </c>
      <c r="L57" s="1659" t="s">
        <v>272</v>
      </c>
      <c r="M57" s="1659" t="s">
        <v>282</v>
      </c>
      <c r="N57" s="1659" t="s">
        <v>289</v>
      </c>
      <c r="P57" s="1535"/>
      <c r="Q57" s="1535"/>
      <c r="R57" s="1675"/>
      <c r="S57" s="1675"/>
      <c r="T57" s="1675"/>
      <c r="U57" s="1675"/>
      <c r="V57" s="1675"/>
      <c r="W57" s="1535"/>
      <c r="X57" s="1535"/>
      <c r="Y57" s="1535"/>
      <c r="Z57" s="1535"/>
      <c r="AA57" s="1535"/>
      <c r="AB57" s="1535"/>
      <c r="AC57" s="1535"/>
      <c r="AD57" s="1675"/>
      <c r="AE57" s="1384"/>
      <c r="AF57" s="1384"/>
      <c r="AG57" s="1384"/>
      <c r="AH57" s="1384"/>
      <c r="AI57" s="1384"/>
      <c r="AJ57" s="1384"/>
      <c r="AK57" s="1384"/>
      <c r="AL57" s="1384"/>
      <c r="AM57" s="1384"/>
      <c r="AN57" s="1384"/>
    </row>
    <row r="58" spans="1:40" s="1380" customFormat="1" ht="36">
      <c r="A58" s="1349" t="s">
        <v>669</v>
      </c>
      <c r="B58" s="1558" t="str">
        <f>估价对象房地状况!C17</f>
        <v>估价对象位于XX商圈，周边办公楼项目较多，入驻率高，办公集聚程度较好</v>
      </c>
      <c r="C58" s="1559"/>
      <c r="D58" s="1560">
        <f t="shared" ref="D58:D66" si="15">SUMIF($J$57:$N$57,C58,J58:N58)</f>
        <v>0</v>
      </c>
      <c r="E58" s="1561">
        <f>ROUND(SUM(D58:D66),4)</f>
        <v>0</v>
      </c>
      <c r="F58" s="1562" t="str">
        <f>IF(E2="办公",SUMIF(L1:L12,G2,N1:N12),"——")</f>
        <v>——</v>
      </c>
      <c r="G58" s="1563"/>
      <c r="H58" s="1564" t="str">
        <f>IFERROR(ROUNDDOWN($F$58*I58/2,4),"——")</f>
        <v>——</v>
      </c>
      <c r="I58" s="1660">
        <v>0.24</v>
      </c>
      <c r="J58" s="1661">
        <f t="shared" ref="J58:J66" si="16">K58+$G58</f>
        <v>0</v>
      </c>
      <c r="K58" s="1661">
        <f t="shared" ref="K58:K66" si="17">$L58+$G58</f>
        <v>0</v>
      </c>
      <c r="L58" s="1661">
        <v>0</v>
      </c>
      <c r="M58" s="1661">
        <f t="shared" ref="M58:N66" si="18">L58-$G58</f>
        <v>0</v>
      </c>
      <c r="N58" s="1661">
        <f t="shared" si="18"/>
        <v>0</v>
      </c>
      <c r="P58" s="1535"/>
      <c r="Q58" s="1535"/>
      <c r="R58" s="1675"/>
      <c r="S58" s="1675"/>
      <c r="T58" s="1675"/>
      <c r="U58" s="1675"/>
      <c r="V58" s="1675"/>
      <c r="W58" s="1535"/>
      <c r="X58" s="1535"/>
      <c r="Y58" s="1535"/>
      <c r="Z58" s="1535"/>
      <c r="AA58" s="1535"/>
      <c r="AB58" s="1535"/>
      <c r="AC58" s="1535"/>
      <c r="AD58" s="1675"/>
      <c r="AE58" s="1384"/>
      <c r="AF58" s="1384"/>
      <c r="AG58" s="1384"/>
      <c r="AH58" s="1384"/>
      <c r="AI58" s="1384"/>
      <c r="AJ58" s="1384"/>
      <c r="AK58" s="1384"/>
      <c r="AL58" s="1384"/>
      <c r="AM58" s="1384"/>
      <c r="AN58" s="1384"/>
    </row>
    <row r="59" spans="1:40" s="1380" customFormat="1" ht="48">
      <c r="A59" s="1349" t="s">
        <v>667</v>
      </c>
      <c r="B59" s="1552" t="str">
        <f>估价对象房地状况!C18</f>
        <v>估价对象周边道路状况、公共交通通达情况、停车便捷程度，综合评价交通便捷度较好</v>
      </c>
      <c r="C59" s="1559"/>
      <c r="D59" s="1560">
        <f t="shared" si="15"/>
        <v>0</v>
      </c>
      <c r="E59" s="1565"/>
      <c r="F59" s="1562"/>
      <c r="G59" s="1563"/>
      <c r="H59" s="1574" t="str">
        <f t="shared" ref="H59:H66" si="19">IFERROR($F$58*I59/2,"——")</f>
        <v>——</v>
      </c>
      <c r="I59" s="1660">
        <v>0.3</v>
      </c>
      <c r="J59" s="1661">
        <f t="shared" si="16"/>
        <v>0</v>
      </c>
      <c r="K59" s="1661">
        <f t="shared" si="17"/>
        <v>0</v>
      </c>
      <c r="L59" s="1661">
        <v>0</v>
      </c>
      <c r="M59" s="1661">
        <f t="shared" si="18"/>
        <v>0</v>
      </c>
      <c r="N59" s="1661">
        <f t="shared" si="18"/>
        <v>0</v>
      </c>
      <c r="P59" s="1535"/>
      <c r="Q59" s="1535"/>
      <c r="R59" s="1675"/>
      <c r="S59" s="1675"/>
      <c r="T59" s="1675"/>
      <c r="U59" s="1675"/>
      <c r="V59" s="1675"/>
      <c r="W59" s="1535"/>
      <c r="X59" s="1535"/>
      <c r="Y59" s="1535"/>
      <c r="Z59" s="1535"/>
      <c r="AA59" s="1535"/>
      <c r="AB59" s="1535"/>
      <c r="AC59" s="1535"/>
      <c r="AD59" s="1675"/>
      <c r="AE59" s="1384"/>
      <c r="AF59" s="1384"/>
      <c r="AG59" s="1384"/>
      <c r="AH59" s="1384"/>
      <c r="AI59" s="1384"/>
      <c r="AJ59" s="1384"/>
      <c r="AK59" s="1384"/>
      <c r="AL59" s="1384"/>
      <c r="AM59" s="1384"/>
      <c r="AN59" s="1384"/>
    </row>
    <row r="60" spans="1:40" s="1380" customFormat="1" ht="24">
      <c r="A60" s="1349" t="s">
        <v>679</v>
      </c>
      <c r="B60" s="1552">
        <f>估价对象房地状况!C19</f>
        <v>0</v>
      </c>
      <c r="C60" s="1559"/>
      <c r="D60" s="1560">
        <f t="shared" si="15"/>
        <v>0</v>
      </c>
      <c r="E60" s="1565"/>
      <c r="F60" s="1562"/>
      <c r="G60" s="1563"/>
      <c r="H60" s="1574" t="str">
        <f t="shared" si="19"/>
        <v>——</v>
      </c>
      <c r="I60" s="1660">
        <v>0.08</v>
      </c>
      <c r="J60" s="1661">
        <f t="shared" si="16"/>
        <v>0</v>
      </c>
      <c r="K60" s="1661">
        <f t="shared" si="17"/>
        <v>0</v>
      </c>
      <c r="L60" s="1661">
        <v>0</v>
      </c>
      <c r="M60" s="1661">
        <f t="shared" si="18"/>
        <v>0</v>
      </c>
      <c r="N60" s="1661">
        <f t="shared" si="18"/>
        <v>0</v>
      </c>
      <c r="P60" s="1535"/>
      <c r="Q60" s="1535"/>
      <c r="R60" s="1675"/>
      <c r="S60" s="1675"/>
      <c r="T60" s="1675"/>
      <c r="U60" s="1675"/>
      <c r="V60" s="1675"/>
      <c r="W60" s="1535"/>
      <c r="X60" s="1535"/>
      <c r="Y60" s="1535"/>
      <c r="Z60" s="1535"/>
      <c r="AA60" s="1535"/>
      <c r="AB60" s="1535"/>
      <c r="AC60" s="1535"/>
      <c r="AD60" s="1675"/>
      <c r="AE60" s="1384"/>
      <c r="AF60" s="1384"/>
      <c r="AG60" s="1384"/>
      <c r="AH60" s="1384"/>
      <c r="AI60" s="1384"/>
      <c r="AJ60" s="1384"/>
      <c r="AK60" s="1384"/>
      <c r="AL60" s="1384"/>
      <c r="AM60" s="1384"/>
      <c r="AN60" s="1384"/>
    </row>
    <row r="61" spans="1:40" s="1380" customFormat="1" ht="36">
      <c r="A61" s="1349" t="s">
        <v>1506</v>
      </c>
      <c r="B61" s="1566" t="s">
        <v>1507</v>
      </c>
      <c r="C61" s="1559"/>
      <c r="D61" s="1560">
        <f t="shared" si="15"/>
        <v>0</v>
      </c>
      <c r="E61" s="1565"/>
      <c r="F61" s="1562"/>
      <c r="G61" s="1563"/>
      <c r="H61" s="1574" t="str">
        <f t="shared" si="19"/>
        <v>——</v>
      </c>
      <c r="I61" s="1660">
        <v>0.04</v>
      </c>
      <c r="J61" s="1661">
        <f t="shared" si="16"/>
        <v>0</v>
      </c>
      <c r="K61" s="1661">
        <f t="shared" si="17"/>
        <v>0</v>
      </c>
      <c r="L61" s="1661">
        <v>0</v>
      </c>
      <c r="M61" s="1661">
        <f t="shared" si="18"/>
        <v>0</v>
      </c>
      <c r="N61" s="1661">
        <f t="shared" si="18"/>
        <v>0</v>
      </c>
      <c r="P61" s="1535"/>
      <c r="Q61" s="1535"/>
      <c r="R61" s="1675"/>
      <c r="S61" s="1675"/>
      <c r="T61" s="1675"/>
      <c r="U61" s="1675"/>
      <c r="V61" s="1675"/>
      <c r="W61" s="1535"/>
      <c r="X61" s="1535"/>
      <c r="Y61" s="1535"/>
      <c r="Z61" s="1535"/>
      <c r="AA61" s="1535"/>
      <c r="AB61" s="1535"/>
      <c r="AC61" s="1535"/>
      <c r="AD61" s="1675"/>
      <c r="AE61" s="1384"/>
      <c r="AF61" s="1384"/>
      <c r="AG61" s="1384"/>
      <c r="AH61" s="1384"/>
      <c r="AI61" s="1384"/>
      <c r="AJ61" s="1384"/>
      <c r="AK61" s="1384"/>
      <c r="AL61" s="1384"/>
      <c r="AM61" s="1384"/>
      <c r="AN61" s="1384"/>
    </row>
    <row r="62" spans="1:40" s="1380" customFormat="1" ht="24">
      <c r="A62" s="1349" t="s">
        <v>1508</v>
      </c>
      <c r="B62" s="1552">
        <f>估价对象房地状况!C24</f>
        <v>0</v>
      </c>
      <c r="C62" s="1559"/>
      <c r="D62" s="1560">
        <f t="shared" si="15"/>
        <v>0</v>
      </c>
      <c r="E62" s="1565"/>
      <c r="F62" s="1562"/>
      <c r="G62" s="1563"/>
      <c r="H62" s="1574" t="str">
        <f t="shared" si="19"/>
        <v>——</v>
      </c>
      <c r="I62" s="1660">
        <v>0.05</v>
      </c>
      <c r="J62" s="1661">
        <f t="shared" si="16"/>
        <v>0</v>
      </c>
      <c r="K62" s="1661">
        <f t="shared" si="17"/>
        <v>0</v>
      </c>
      <c r="L62" s="1661">
        <v>0</v>
      </c>
      <c r="M62" s="1661">
        <f t="shared" si="18"/>
        <v>0</v>
      </c>
      <c r="N62" s="1661">
        <f t="shared" si="18"/>
        <v>0</v>
      </c>
      <c r="P62" s="1535"/>
      <c r="Q62" s="1535"/>
      <c r="R62" s="1675"/>
      <c r="S62" s="1675"/>
      <c r="T62" s="1675"/>
      <c r="U62" s="1675"/>
      <c r="V62" s="1675"/>
      <c r="W62" s="1535"/>
      <c r="X62" s="1535"/>
      <c r="Y62" s="1535"/>
      <c r="Z62" s="1535"/>
      <c r="AA62" s="1535"/>
      <c r="AB62" s="1535"/>
      <c r="AC62" s="1535"/>
      <c r="AD62" s="1675"/>
      <c r="AE62" s="1384"/>
      <c r="AF62" s="1384"/>
      <c r="AG62" s="1384"/>
      <c r="AH62" s="1384"/>
      <c r="AI62" s="1384"/>
      <c r="AJ62" s="1384"/>
      <c r="AK62" s="1384"/>
      <c r="AL62" s="1384"/>
      <c r="AM62" s="1384"/>
      <c r="AN62" s="1384"/>
    </row>
    <row r="63" spans="1:40" s="1380" customFormat="1" ht="24">
      <c r="A63" s="1349" t="s">
        <v>1509</v>
      </c>
      <c r="B63" s="1567" t="s">
        <v>1510</v>
      </c>
      <c r="C63" s="1559"/>
      <c r="D63" s="1560">
        <f t="shared" si="15"/>
        <v>0</v>
      </c>
      <c r="E63" s="1565"/>
      <c r="F63" s="1562"/>
      <c r="G63" s="1563"/>
      <c r="H63" s="1574" t="str">
        <f t="shared" si="19"/>
        <v>——</v>
      </c>
      <c r="I63" s="1660">
        <v>0.05</v>
      </c>
      <c r="J63" s="1661">
        <f t="shared" si="16"/>
        <v>0</v>
      </c>
      <c r="K63" s="1661">
        <f t="shared" si="17"/>
        <v>0</v>
      </c>
      <c r="L63" s="1661">
        <v>0</v>
      </c>
      <c r="M63" s="1661">
        <f t="shared" si="18"/>
        <v>0</v>
      </c>
      <c r="N63" s="1661">
        <f t="shared" si="18"/>
        <v>0</v>
      </c>
      <c r="P63" s="1535"/>
      <c r="Q63" s="1535"/>
      <c r="R63" s="1675"/>
      <c r="S63" s="1675"/>
      <c r="T63" s="1675"/>
      <c r="U63" s="1675"/>
      <c r="V63" s="1675"/>
      <c r="W63" s="1535"/>
      <c r="X63" s="1535"/>
      <c r="Y63" s="1535"/>
      <c r="Z63" s="1535"/>
      <c r="AA63" s="1535"/>
      <c r="AB63" s="1535"/>
      <c r="AC63" s="1535"/>
      <c r="AD63" s="1675"/>
      <c r="AE63" s="1384"/>
      <c r="AF63" s="1384"/>
      <c r="AG63" s="1384"/>
      <c r="AH63" s="1384"/>
      <c r="AI63" s="1384"/>
      <c r="AJ63" s="1384"/>
      <c r="AK63" s="1384"/>
      <c r="AL63" s="1384"/>
      <c r="AM63" s="1384"/>
      <c r="AN63" s="1384"/>
    </row>
    <row r="64" spans="1:40" s="1380" customFormat="1" ht="24">
      <c r="A64" s="1349" t="s">
        <v>1511</v>
      </c>
      <c r="B64" s="1569" t="str">
        <f>估价对象房地状况!C21</f>
        <v>估价对象所在区域公共配套设施齐备情况</v>
      </c>
      <c r="C64" s="1559"/>
      <c r="D64" s="1560">
        <f t="shared" si="15"/>
        <v>0</v>
      </c>
      <c r="E64" s="1565"/>
      <c r="F64" s="1562"/>
      <c r="G64" s="1563"/>
      <c r="H64" s="1574" t="str">
        <f t="shared" si="19"/>
        <v>——</v>
      </c>
      <c r="I64" s="1660">
        <v>0.06</v>
      </c>
      <c r="J64" s="1661">
        <f t="shared" si="16"/>
        <v>0</v>
      </c>
      <c r="K64" s="1661">
        <f t="shared" si="17"/>
        <v>0</v>
      </c>
      <c r="L64" s="1661">
        <v>0</v>
      </c>
      <c r="M64" s="1661">
        <f t="shared" si="18"/>
        <v>0</v>
      </c>
      <c r="N64" s="1661">
        <f t="shared" si="18"/>
        <v>0</v>
      </c>
      <c r="P64" s="1535"/>
      <c r="Q64" s="1535"/>
      <c r="R64" s="1675"/>
      <c r="S64" s="1675"/>
      <c r="T64" s="1675"/>
      <c r="U64" s="1675"/>
      <c r="V64" s="1675"/>
      <c r="W64" s="1535"/>
      <c r="X64" s="1535"/>
      <c r="Y64" s="1535"/>
      <c r="Z64" s="1535"/>
      <c r="AA64" s="1535"/>
      <c r="AB64" s="1535"/>
      <c r="AC64" s="1535"/>
      <c r="AD64" s="1675"/>
      <c r="AE64" s="1384"/>
      <c r="AF64" s="1384"/>
      <c r="AG64" s="1384"/>
      <c r="AH64" s="1384"/>
      <c r="AI64" s="1384"/>
      <c r="AJ64" s="1384"/>
      <c r="AK64" s="1384"/>
      <c r="AL64" s="1384"/>
      <c r="AM64" s="1384"/>
      <c r="AN64" s="1384"/>
    </row>
    <row r="65" spans="1:40" s="1380" customFormat="1" ht="24">
      <c r="A65" s="1349" t="s">
        <v>1512</v>
      </c>
      <c r="B65" s="1569" t="str">
        <f>估价对象房地状况!C22</f>
        <v>估价对象所在区域基础设施水平</v>
      </c>
      <c r="C65" s="1559"/>
      <c r="D65" s="1560">
        <f t="shared" si="15"/>
        <v>0</v>
      </c>
      <c r="E65" s="1565"/>
      <c r="F65" s="1562"/>
      <c r="G65" s="1563"/>
      <c r="H65" s="1574" t="str">
        <f t="shared" si="19"/>
        <v>——</v>
      </c>
      <c r="I65" s="1660">
        <v>0.12</v>
      </c>
      <c r="J65" s="1661">
        <f t="shared" si="16"/>
        <v>0</v>
      </c>
      <c r="K65" s="1661">
        <f t="shared" si="17"/>
        <v>0</v>
      </c>
      <c r="L65" s="1661">
        <v>0</v>
      </c>
      <c r="M65" s="1661">
        <f t="shared" si="18"/>
        <v>0</v>
      </c>
      <c r="N65" s="1661">
        <f t="shared" si="18"/>
        <v>0</v>
      </c>
      <c r="P65" s="1535"/>
      <c r="Q65" s="1535"/>
      <c r="R65" s="1675"/>
      <c r="S65" s="1675"/>
      <c r="T65" s="1675"/>
      <c r="U65" s="1675"/>
      <c r="V65" s="1675"/>
      <c r="W65" s="1535"/>
      <c r="X65" s="1535"/>
      <c r="Y65" s="1535"/>
      <c r="Z65" s="1535"/>
      <c r="AA65" s="1535"/>
      <c r="AB65" s="1535"/>
      <c r="AC65" s="1535"/>
      <c r="AD65" s="1675"/>
      <c r="AE65" s="1384"/>
      <c r="AF65" s="1384"/>
      <c r="AG65" s="1384"/>
      <c r="AH65" s="1384"/>
      <c r="AI65" s="1384"/>
      <c r="AJ65" s="1384"/>
      <c r="AK65" s="1384"/>
      <c r="AL65" s="1384"/>
      <c r="AM65" s="1384"/>
      <c r="AN65" s="1384"/>
    </row>
    <row r="66" spans="1:40" s="1380" customFormat="1" ht="24">
      <c r="A66" s="1570" t="s">
        <v>1513</v>
      </c>
      <c r="B66" s="1688" t="str">
        <f>估价对象房地状况!C20</f>
        <v>区域自然环境：；人文环境；综合评价环境状况一般</v>
      </c>
      <c r="C66" s="1559"/>
      <c r="D66" s="1560">
        <f t="shared" si="15"/>
        <v>0</v>
      </c>
      <c r="E66" s="1572"/>
      <c r="F66" s="1562"/>
      <c r="G66" s="1563"/>
      <c r="H66" s="1574" t="str">
        <f t="shared" si="19"/>
        <v>——</v>
      </c>
      <c r="I66" s="1662">
        <v>0.06</v>
      </c>
      <c r="J66" s="1661">
        <f t="shared" si="16"/>
        <v>0</v>
      </c>
      <c r="K66" s="1661">
        <f t="shared" si="17"/>
        <v>0</v>
      </c>
      <c r="L66" s="1661">
        <v>0</v>
      </c>
      <c r="M66" s="1661">
        <f t="shared" si="18"/>
        <v>0</v>
      </c>
      <c r="N66" s="1661">
        <f t="shared" si="18"/>
        <v>0</v>
      </c>
      <c r="P66" s="1535"/>
      <c r="Q66" s="1535"/>
      <c r="R66" s="1675"/>
      <c r="S66" s="1675"/>
      <c r="T66" s="1675"/>
      <c r="U66" s="1675"/>
      <c r="V66" s="1675"/>
      <c r="W66" s="1535"/>
      <c r="X66" s="1535"/>
      <c r="Y66" s="1535"/>
      <c r="Z66" s="1535"/>
      <c r="AA66" s="1535"/>
      <c r="AB66" s="1535"/>
      <c r="AC66" s="1535"/>
      <c r="AD66" s="1675"/>
      <c r="AE66" s="1384"/>
      <c r="AF66" s="1384"/>
      <c r="AG66" s="1384"/>
      <c r="AH66" s="1384"/>
      <c r="AI66" s="1384"/>
      <c r="AJ66" s="1384"/>
      <c r="AK66" s="1384"/>
      <c r="AL66" s="1384"/>
      <c r="AM66" s="1384"/>
      <c r="AN66" s="1384"/>
    </row>
    <row r="67" spans="1:40" s="1380" customFormat="1" ht="15">
      <c r="A67" s="1546" t="s">
        <v>369</v>
      </c>
      <c r="B67" s="1547">
        <f>1+E69</f>
        <v>1</v>
      </c>
      <c r="C67" s="1573"/>
      <c r="D67" s="1549"/>
      <c r="E67" s="1550"/>
      <c r="F67" s="1551"/>
      <c r="G67" s="1545"/>
      <c r="H67" s="1545"/>
      <c r="I67" s="1545"/>
      <c r="J67" s="1301"/>
      <c r="K67" s="1301"/>
      <c r="L67" s="1301"/>
      <c r="M67" s="1301"/>
      <c r="N67" s="1301"/>
      <c r="P67" s="1535"/>
      <c r="Q67" s="1535"/>
      <c r="R67" s="1675"/>
      <c r="S67" s="1675"/>
      <c r="T67" s="1675"/>
      <c r="U67" s="1675"/>
      <c r="V67" s="1675"/>
      <c r="W67" s="1535"/>
      <c r="X67" s="1535"/>
      <c r="Y67" s="1535"/>
      <c r="Z67" s="1535"/>
      <c r="AA67" s="1535"/>
      <c r="AB67" s="1535"/>
      <c r="AC67" s="1535"/>
      <c r="AD67" s="1675"/>
      <c r="AE67" s="1384"/>
      <c r="AF67" s="1384"/>
      <c r="AG67" s="1384"/>
      <c r="AH67" s="1384"/>
      <c r="AI67" s="1384"/>
      <c r="AJ67" s="1384"/>
      <c r="AK67" s="1384"/>
      <c r="AL67" s="1384"/>
      <c r="AM67" s="1384"/>
      <c r="AN67" s="1384"/>
    </row>
    <row r="68" spans="1:40" s="1380" customFormat="1" ht="24">
      <c r="A68" s="1349" t="s">
        <v>1496</v>
      </c>
      <c r="B68" s="1552"/>
      <c r="C68" s="1553" t="s">
        <v>1498</v>
      </c>
      <c r="D68" s="1554" t="s">
        <v>1499</v>
      </c>
      <c r="E68" s="1555" t="s">
        <v>1500</v>
      </c>
      <c r="F68" s="1556" t="s">
        <v>1501</v>
      </c>
      <c r="G68" s="1554" t="s">
        <v>1502</v>
      </c>
      <c r="H68" s="1557" t="s">
        <v>1503</v>
      </c>
      <c r="I68" s="1554" t="s">
        <v>1504</v>
      </c>
      <c r="J68" s="1659" t="s">
        <v>250</v>
      </c>
      <c r="K68" s="1659" t="s">
        <v>262</v>
      </c>
      <c r="L68" s="1659" t="s">
        <v>272</v>
      </c>
      <c r="M68" s="1659" t="s">
        <v>282</v>
      </c>
      <c r="N68" s="1659" t="s">
        <v>289</v>
      </c>
      <c r="P68" s="1535"/>
      <c r="Q68" s="1535"/>
      <c r="R68" s="1675"/>
      <c r="S68" s="1675"/>
      <c r="T68" s="1675"/>
      <c r="U68" s="1675"/>
      <c r="V68" s="1675"/>
      <c r="W68" s="1535"/>
      <c r="X68" s="1535"/>
      <c r="Y68" s="1535"/>
      <c r="Z68" s="1535"/>
      <c r="AA68" s="1535"/>
      <c r="AB68" s="1535"/>
      <c r="AC68" s="1535"/>
      <c r="AD68" s="1675"/>
      <c r="AE68" s="1384"/>
      <c r="AF68" s="1384"/>
      <c r="AG68" s="1384"/>
      <c r="AH68" s="1384"/>
      <c r="AI68" s="1384"/>
      <c r="AJ68" s="1384"/>
      <c r="AK68" s="1384"/>
      <c r="AL68" s="1384"/>
      <c r="AM68" s="1384"/>
      <c r="AN68" s="1384"/>
    </row>
    <row r="69" spans="1:40" s="1380" customFormat="1" ht="48">
      <c r="A69" s="1349" t="s">
        <v>661</v>
      </c>
      <c r="B69" s="1558" t="str">
        <f>估价对象房地状况!C15</f>
        <v>估价对象周边居住用地比例、居住小区规模和社区发展完善程度，综合评价居住社区成熟度一般</v>
      </c>
      <c r="C69" s="1689"/>
      <c r="D69" s="1560">
        <f t="shared" ref="D69:D77" si="20">SUMIF($J$68:$N$68,C69,J69:N69)</f>
        <v>0</v>
      </c>
      <c r="E69" s="1561">
        <f>ROUND(SUM(D69:D77),4)</f>
        <v>0</v>
      </c>
      <c r="F69" s="1562" t="str">
        <f>IF(E2="住宅",SUMIF(L1:L12,G2,N1:N12),"——")</f>
        <v>——</v>
      </c>
      <c r="G69" s="1690"/>
      <c r="H69" s="1691" t="str">
        <f t="shared" ref="H69:H77" si="21">IFERROR(ROUNDDOWN($F$69*I69/2,4),"——")</f>
        <v>——</v>
      </c>
      <c r="I69" s="1660">
        <v>0.14000000000000001</v>
      </c>
      <c r="J69" s="1661">
        <f t="shared" ref="J69:J77" si="22">K69+$G69</f>
        <v>0</v>
      </c>
      <c r="K69" s="1661">
        <f t="shared" ref="K69:K77" si="23">$L69+$G69</f>
        <v>0</v>
      </c>
      <c r="L69" s="1661">
        <v>0</v>
      </c>
      <c r="M69" s="1661">
        <f t="shared" ref="M69:N77" si="24">L69-$G69</f>
        <v>0</v>
      </c>
      <c r="N69" s="1661">
        <f t="shared" si="24"/>
        <v>0</v>
      </c>
      <c r="P69" s="1535"/>
      <c r="Q69" s="1535"/>
      <c r="R69" s="1675"/>
      <c r="S69" s="1675"/>
      <c r="T69" s="1675"/>
      <c r="U69" s="1675"/>
      <c r="V69" s="1675"/>
      <c r="W69" s="1535"/>
      <c r="X69" s="1535"/>
      <c r="Y69" s="1535"/>
      <c r="Z69" s="1535"/>
      <c r="AA69" s="1535"/>
      <c r="AB69" s="1535"/>
      <c r="AC69" s="1535"/>
      <c r="AD69" s="1675"/>
      <c r="AE69" s="1384"/>
      <c r="AF69" s="1384"/>
      <c r="AG69" s="1384"/>
      <c r="AH69" s="1384"/>
      <c r="AI69" s="1384"/>
      <c r="AJ69" s="1384"/>
      <c r="AK69" s="1384"/>
      <c r="AL69" s="1384"/>
      <c r="AM69" s="1384"/>
      <c r="AN69" s="1384"/>
    </row>
    <row r="70" spans="1:40" s="1380" customFormat="1" ht="48">
      <c r="A70" s="1349" t="s">
        <v>667</v>
      </c>
      <c r="B70" s="1552" t="str">
        <f>估价对象房地状况!C18</f>
        <v>估价对象周边道路状况、公共交通通达情况、停车便捷程度，综合评价交通便捷度较好</v>
      </c>
      <c r="C70" s="1689"/>
      <c r="D70" s="1560">
        <f t="shared" si="20"/>
        <v>0</v>
      </c>
      <c r="E70" s="1692"/>
      <c r="F70" s="1693"/>
      <c r="G70" s="1690"/>
      <c r="H70" s="1691" t="str">
        <f t="shared" si="21"/>
        <v>——</v>
      </c>
      <c r="I70" s="1660">
        <v>0.3</v>
      </c>
      <c r="J70" s="1661">
        <f t="shared" si="22"/>
        <v>0</v>
      </c>
      <c r="K70" s="1661">
        <f t="shared" si="23"/>
        <v>0</v>
      </c>
      <c r="L70" s="1661">
        <v>0</v>
      </c>
      <c r="M70" s="1661">
        <f t="shared" si="24"/>
        <v>0</v>
      </c>
      <c r="N70" s="1661">
        <f t="shared" si="24"/>
        <v>0</v>
      </c>
      <c r="P70" s="1535"/>
      <c r="Q70" s="1535"/>
      <c r="R70" s="1675"/>
      <c r="S70" s="1675"/>
      <c r="T70" s="1675"/>
      <c r="U70" s="1675"/>
      <c r="V70" s="1675"/>
      <c r="W70" s="1535"/>
      <c r="X70" s="1535"/>
      <c r="Y70" s="1535"/>
      <c r="Z70" s="1535"/>
      <c r="AA70" s="1535"/>
      <c r="AB70" s="1535"/>
      <c r="AC70" s="1535"/>
      <c r="AD70" s="1675"/>
      <c r="AE70" s="1384"/>
      <c r="AF70" s="1384"/>
      <c r="AG70" s="1384"/>
      <c r="AH70" s="1384"/>
      <c r="AI70" s="1384"/>
      <c r="AJ70" s="1384"/>
      <c r="AK70" s="1384"/>
      <c r="AL70" s="1384"/>
      <c r="AM70" s="1384"/>
      <c r="AN70" s="1384"/>
    </row>
    <row r="71" spans="1:40" s="1380" customFormat="1" ht="24">
      <c r="A71" s="1349" t="s">
        <v>679</v>
      </c>
      <c r="B71" s="1552">
        <f>估价对象房地状况!C19</f>
        <v>0</v>
      </c>
      <c r="C71" s="1689"/>
      <c r="D71" s="1560">
        <f t="shared" si="20"/>
        <v>0</v>
      </c>
      <c r="E71" s="1692"/>
      <c r="F71" s="1693"/>
      <c r="G71" s="1690"/>
      <c r="H71" s="1691" t="str">
        <f t="shared" si="21"/>
        <v>——</v>
      </c>
      <c r="I71" s="1660">
        <v>0.08</v>
      </c>
      <c r="J71" s="1661">
        <f t="shared" si="22"/>
        <v>0</v>
      </c>
      <c r="K71" s="1661">
        <f t="shared" si="23"/>
        <v>0</v>
      </c>
      <c r="L71" s="1661">
        <v>0</v>
      </c>
      <c r="M71" s="1661">
        <f t="shared" si="24"/>
        <v>0</v>
      </c>
      <c r="N71" s="1661">
        <f t="shared" si="24"/>
        <v>0</v>
      </c>
      <c r="P71" s="1535"/>
      <c r="Q71" s="1535"/>
      <c r="R71" s="1675"/>
      <c r="S71" s="1675"/>
      <c r="T71" s="1675"/>
      <c r="U71" s="1675"/>
      <c r="V71" s="1675"/>
      <c r="W71" s="1535"/>
      <c r="X71" s="1535"/>
      <c r="Y71" s="1535"/>
      <c r="Z71" s="1535"/>
      <c r="AA71" s="1535"/>
      <c r="AB71" s="1535"/>
      <c r="AC71" s="1535"/>
      <c r="AD71" s="1675"/>
      <c r="AE71" s="1384"/>
      <c r="AF71" s="1384"/>
      <c r="AG71" s="1384"/>
      <c r="AH71" s="1384"/>
      <c r="AI71" s="1384"/>
      <c r="AJ71" s="1384"/>
      <c r="AK71" s="1384"/>
      <c r="AL71" s="1384"/>
      <c r="AM71" s="1384"/>
      <c r="AN71" s="1384"/>
    </row>
    <row r="72" spans="1:40" s="1380" customFormat="1" ht="14.25">
      <c r="A72" s="1349" t="s">
        <v>1514</v>
      </c>
      <c r="B72" s="1552">
        <f>估价对象房地状况!C24</f>
        <v>0</v>
      </c>
      <c r="C72" s="1689"/>
      <c r="D72" s="1560">
        <f t="shared" si="20"/>
        <v>0</v>
      </c>
      <c r="E72" s="1692"/>
      <c r="F72" s="1693"/>
      <c r="G72" s="1690"/>
      <c r="H72" s="1691" t="str">
        <f t="shared" si="21"/>
        <v>——</v>
      </c>
      <c r="I72" s="1660">
        <v>0.04</v>
      </c>
      <c r="J72" s="1661">
        <f t="shared" si="22"/>
        <v>0</v>
      </c>
      <c r="K72" s="1661">
        <f t="shared" si="23"/>
        <v>0</v>
      </c>
      <c r="L72" s="1661">
        <v>0</v>
      </c>
      <c r="M72" s="1661">
        <f t="shared" si="24"/>
        <v>0</v>
      </c>
      <c r="N72" s="1661">
        <f t="shared" si="24"/>
        <v>0</v>
      </c>
      <c r="P72" s="1535"/>
      <c r="Q72" s="1535"/>
      <c r="R72" s="1675"/>
      <c r="S72" s="1675"/>
      <c r="T72" s="1675"/>
      <c r="U72" s="1675"/>
      <c r="V72" s="1675"/>
      <c r="W72" s="1535"/>
      <c r="X72" s="1535"/>
      <c r="Y72" s="1535"/>
      <c r="Z72" s="1535"/>
      <c r="AA72" s="1535"/>
      <c r="AB72" s="1535"/>
      <c r="AC72" s="1535"/>
      <c r="AD72" s="1675"/>
      <c r="AE72" s="1384"/>
      <c r="AF72" s="1384"/>
      <c r="AG72" s="1384"/>
      <c r="AH72" s="1384"/>
      <c r="AI72" s="1384"/>
      <c r="AJ72" s="1384"/>
      <c r="AK72" s="1384"/>
      <c r="AL72" s="1384"/>
      <c r="AM72" s="1384"/>
      <c r="AN72" s="1384"/>
    </row>
    <row r="73" spans="1:40" s="1380" customFormat="1" ht="24">
      <c r="A73" s="1349" t="s">
        <v>1511</v>
      </c>
      <c r="B73" s="1569" t="str">
        <f>估价对象房地状况!C21</f>
        <v>估价对象所在区域公共配套设施齐备情况</v>
      </c>
      <c r="C73" s="1689"/>
      <c r="D73" s="1560">
        <f t="shared" si="20"/>
        <v>0</v>
      </c>
      <c r="E73" s="1692"/>
      <c r="F73" s="1693"/>
      <c r="G73" s="1690"/>
      <c r="H73" s="1691" t="str">
        <f t="shared" si="21"/>
        <v>——</v>
      </c>
      <c r="I73" s="1660">
        <v>0.08</v>
      </c>
      <c r="J73" s="1661">
        <f t="shared" si="22"/>
        <v>0</v>
      </c>
      <c r="K73" s="1661">
        <f t="shared" si="23"/>
        <v>0</v>
      </c>
      <c r="L73" s="1661">
        <v>0</v>
      </c>
      <c r="M73" s="1661">
        <f t="shared" si="24"/>
        <v>0</v>
      </c>
      <c r="N73" s="1661">
        <f t="shared" si="24"/>
        <v>0</v>
      </c>
      <c r="P73" s="1535"/>
      <c r="Q73" s="1535"/>
      <c r="R73" s="1675"/>
      <c r="S73" s="1675"/>
      <c r="T73" s="1675"/>
      <c r="U73" s="1675"/>
      <c r="V73" s="1675"/>
      <c r="W73" s="1535"/>
      <c r="X73" s="1535"/>
      <c r="Y73" s="1535"/>
      <c r="Z73" s="1535"/>
      <c r="AA73" s="1535"/>
      <c r="AB73" s="1535"/>
      <c r="AC73" s="1535"/>
      <c r="AD73" s="1675"/>
      <c r="AE73" s="1384"/>
      <c r="AF73" s="1384"/>
      <c r="AG73" s="1384"/>
      <c r="AH73" s="1384"/>
      <c r="AI73" s="1384"/>
      <c r="AJ73" s="1384"/>
      <c r="AK73" s="1384"/>
      <c r="AL73" s="1384"/>
      <c r="AM73" s="1384"/>
      <c r="AN73" s="1384"/>
    </row>
    <row r="74" spans="1:40" s="1380" customFormat="1" ht="24">
      <c r="A74" s="1349" t="s">
        <v>1512</v>
      </c>
      <c r="B74" s="1569" t="str">
        <f>估价对象房地状况!C22</f>
        <v>估价对象所在区域基础设施水平</v>
      </c>
      <c r="C74" s="1689"/>
      <c r="D74" s="1560">
        <f t="shared" si="20"/>
        <v>0</v>
      </c>
      <c r="E74" s="1692"/>
      <c r="F74" s="1693"/>
      <c r="G74" s="1690"/>
      <c r="H74" s="1691" t="str">
        <f t="shared" si="21"/>
        <v>——</v>
      </c>
      <c r="I74" s="1660">
        <v>0.12</v>
      </c>
      <c r="J74" s="1661">
        <f t="shared" si="22"/>
        <v>0</v>
      </c>
      <c r="K74" s="1661">
        <f t="shared" si="23"/>
        <v>0</v>
      </c>
      <c r="L74" s="1661">
        <v>0</v>
      </c>
      <c r="M74" s="1661">
        <f t="shared" si="24"/>
        <v>0</v>
      </c>
      <c r="N74" s="1661">
        <f t="shared" si="24"/>
        <v>0</v>
      </c>
      <c r="P74" s="1535"/>
      <c r="Q74" s="1535"/>
      <c r="R74" s="1675"/>
      <c r="S74" s="1675"/>
      <c r="T74" s="1675"/>
      <c r="U74" s="1675"/>
      <c r="V74" s="1675"/>
      <c r="W74" s="1535"/>
      <c r="X74" s="1535"/>
      <c r="Y74" s="1535"/>
      <c r="Z74" s="1535"/>
      <c r="AA74" s="1535"/>
      <c r="AB74" s="1535"/>
      <c r="AC74" s="1535"/>
      <c r="AD74" s="1675"/>
      <c r="AE74" s="1384"/>
      <c r="AF74" s="1384"/>
      <c r="AG74" s="1384"/>
      <c r="AH74" s="1384"/>
      <c r="AI74" s="1384"/>
      <c r="AJ74" s="1384"/>
      <c r="AK74" s="1384"/>
      <c r="AL74" s="1384"/>
      <c r="AM74" s="1384"/>
      <c r="AN74" s="1384"/>
    </row>
    <row r="75" spans="1:40" s="1380" customFormat="1" ht="24">
      <c r="A75" s="1349" t="s">
        <v>1509</v>
      </c>
      <c r="B75" s="1567" t="s">
        <v>1510</v>
      </c>
      <c r="C75" s="1689"/>
      <c r="D75" s="1560">
        <f t="shared" si="20"/>
        <v>0</v>
      </c>
      <c r="E75" s="1692"/>
      <c r="F75" s="1693"/>
      <c r="G75" s="1690"/>
      <c r="H75" s="1691" t="str">
        <f t="shared" si="21"/>
        <v>——</v>
      </c>
      <c r="I75" s="1660">
        <v>0.05</v>
      </c>
      <c r="J75" s="1661">
        <f t="shared" si="22"/>
        <v>0</v>
      </c>
      <c r="K75" s="1661">
        <f t="shared" si="23"/>
        <v>0</v>
      </c>
      <c r="L75" s="1661">
        <v>0</v>
      </c>
      <c r="M75" s="1661">
        <f t="shared" si="24"/>
        <v>0</v>
      </c>
      <c r="N75" s="1661">
        <f t="shared" si="24"/>
        <v>0</v>
      </c>
      <c r="P75" s="1535"/>
      <c r="Q75" s="1535"/>
      <c r="R75" s="1675"/>
      <c r="S75" s="1675"/>
      <c r="T75" s="1675"/>
      <c r="U75" s="1675"/>
      <c r="V75" s="1675"/>
      <c r="W75" s="1535"/>
      <c r="X75" s="1535"/>
      <c r="Y75" s="1535"/>
      <c r="Z75" s="1535"/>
      <c r="AA75" s="1535"/>
      <c r="AB75" s="1535"/>
      <c r="AC75" s="1535"/>
      <c r="AD75" s="1675"/>
      <c r="AE75" s="1384"/>
      <c r="AF75" s="1384"/>
      <c r="AG75" s="1384"/>
      <c r="AH75" s="1384"/>
      <c r="AI75" s="1384"/>
      <c r="AJ75" s="1384"/>
      <c r="AK75" s="1384"/>
      <c r="AL75" s="1384"/>
      <c r="AM75" s="1384"/>
      <c r="AN75" s="1384"/>
    </row>
    <row r="76" spans="1:40" ht="24">
      <c r="A76" s="1349" t="s">
        <v>1513</v>
      </c>
      <c r="B76" s="1558" t="str">
        <f>估价对象房地状况!C20</f>
        <v>区域自然环境：；人文环境；综合评价环境状况一般</v>
      </c>
      <c r="C76" s="1689"/>
      <c r="D76" s="1560">
        <f t="shared" si="20"/>
        <v>0</v>
      </c>
      <c r="E76" s="1692"/>
      <c r="F76" s="1693"/>
      <c r="G76" s="1690"/>
      <c r="H76" s="1691" t="str">
        <f t="shared" si="21"/>
        <v>——</v>
      </c>
      <c r="I76" s="1660">
        <v>0.15</v>
      </c>
      <c r="J76" s="1661">
        <f t="shared" si="22"/>
        <v>0</v>
      </c>
      <c r="K76" s="1661">
        <f t="shared" si="23"/>
        <v>0</v>
      </c>
      <c r="L76" s="1661">
        <v>0</v>
      </c>
      <c r="M76" s="1661">
        <f t="shared" si="24"/>
        <v>0</v>
      </c>
      <c r="N76" s="1661">
        <f t="shared" si="24"/>
        <v>0</v>
      </c>
      <c r="P76" s="1720"/>
      <c r="Q76" s="1720"/>
      <c r="R76" s="1726"/>
      <c r="S76" s="1726"/>
      <c r="T76" s="1726"/>
      <c r="U76" s="1726"/>
      <c r="V76" s="1726"/>
      <c r="W76" s="1720"/>
      <c r="X76" s="1720"/>
      <c r="Y76" s="1720"/>
      <c r="Z76" s="1720"/>
      <c r="AA76" s="1720"/>
      <c r="AB76" s="1720"/>
      <c r="AC76" s="1720"/>
      <c r="AD76" s="1726"/>
      <c r="AJ76" s="1384"/>
      <c r="AN76" s="1381"/>
    </row>
    <row r="77" spans="1:40" ht="24">
      <c r="A77" s="1570" t="s">
        <v>1515</v>
      </c>
      <c r="B77" s="1694"/>
      <c r="C77" s="1689"/>
      <c r="D77" s="1560">
        <f t="shared" si="20"/>
        <v>0</v>
      </c>
      <c r="E77" s="1634"/>
      <c r="F77" s="1693"/>
      <c r="G77" s="1690"/>
      <c r="H77" s="1691" t="str">
        <f t="shared" si="21"/>
        <v>——</v>
      </c>
      <c r="I77" s="1662">
        <v>0.04</v>
      </c>
      <c r="J77" s="1661">
        <f t="shared" si="22"/>
        <v>0</v>
      </c>
      <c r="K77" s="1661">
        <f t="shared" si="23"/>
        <v>0</v>
      </c>
      <c r="L77" s="1661">
        <v>0</v>
      </c>
      <c r="M77" s="1661">
        <f t="shared" si="24"/>
        <v>0</v>
      </c>
      <c r="N77" s="1661">
        <f t="shared" si="24"/>
        <v>0</v>
      </c>
      <c r="AC77" s="1383"/>
      <c r="AD77" s="1381"/>
      <c r="AJ77" s="1384"/>
      <c r="AN77" s="1381"/>
    </row>
    <row r="78" spans="1:40" ht="15">
      <c r="A78" s="1546" t="s">
        <v>164</v>
      </c>
      <c r="B78" s="1547">
        <f>1+E80</f>
        <v>1</v>
      </c>
      <c r="C78" s="1573"/>
      <c r="D78" s="1549"/>
      <c r="E78" s="1550"/>
      <c r="F78" s="1551"/>
      <c r="G78" s="1545"/>
      <c r="H78" s="1545"/>
      <c r="I78" s="1545"/>
      <c r="J78" s="1301"/>
      <c r="K78" s="1301"/>
      <c r="L78" s="1301"/>
      <c r="M78" s="1301"/>
      <c r="N78" s="1301"/>
      <c r="AC78" s="1383"/>
      <c r="AD78" s="1381"/>
      <c r="AJ78" s="1384"/>
      <c r="AN78" s="1381"/>
    </row>
    <row r="79" spans="1:40" ht="24">
      <c r="A79" s="1349" t="s">
        <v>1496</v>
      </c>
      <c r="B79" s="1552"/>
      <c r="C79" s="1553" t="s">
        <v>1498</v>
      </c>
      <c r="D79" s="1554" t="s">
        <v>1499</v>
      </c>
      <c r="E79" s="1555" t="s">
        <v>1500</v>
      </c>
      <c r="F79" s="1556" t="s">
        <v>1501</v>
      </c>
      <c r="G79" s="1554" t="s">
        <v>1502</v>
      </c>
      <c r="H79" s="1557" t="s">
        <v>1503</v>
      </c>
      <c r="I79" s="1554" t="s">
        <v>1504</v>
      </c>
      <c r="J79" s="1659" t="s">
        <v>250</v>
      </c>
      <c r="K79" s="1659" t="s">
        <v>262</v>
      </c>
      <c r="L79" s="1659" t="s">
        <v>272</v>
      </c>
      <c r="M79" s="1659" t="s">
        <v>282</v>
      </c>
      <c r="N79" s="1659" t="s">
        <v>289</v>
      </c>
      <c r="AC79" s="1383"/>
      <c r="AD79" s="1381"/>
      <c r="AJ79" s="1384"/>
      <c r="AN79" s="1381"/>
    </row>
    <row r="80" spans="1:40" ht="36">
      <c r="A80" s="1349" t="s">
        <v>663</v>
      </c>
      <c r="B80" s="1552" t="str">
        <f>估价对象房地状况!G15</f>
        <v>估价对象位于XX开发区，园区建设成熟度XX，产业集聚程度XX</v>
      </c>
      <c r="C80" s="1559"/>
      <c r="D80" s="1560">
        <f t="shared" ref="D80:D87" si="25">SUMIF($J$79:$N$79,C80,J80:N80)</f>
        <v>0</v>
      </c>
      <c r="E80" s="1561">
        <f>ROUND(SUM(D80:D87),4)</f>
        <v>0</v>
      </c>
      <c r="F80" s="1562" t="str">
        <f>IF(E2="工业",SUMIF(L1:L12,G2,N1:N12),"——")</f>
        <v>——</v>
      </c>
      <c r="G80" s="1563"/>
      <c r="H80" s="1564" t="str">
        <f t="shared" ref="H80:H87" si="26">IFERROR(ROUNDDOWN($F$80*I80/2,4),"——")</f>
        <v>——</v>
      </c>
      <c r="I80" s="1660">
        <v>0.26</v>
      </c>
      <c r="J80" s="1661">
        <f t="shared" ref="J80:J87" si="27">K80+$G80</f>
        <v>0</v>
      </c>
      <c r="K80" s="1661">
        <f t="shared" ref="K80:K87" si="28">$L80+$G80</f>
        <v>0</v>
      </c>
      <c r="L80" s="1661">
        <v>0</v>
      </c>
      <c r="M80" s="1661">
        <f t="shared" ref="M80:N87" si="29">L80-$G80</f>
        <v>0</v>
      </c>
      <c r="N80" s="1661">
        <f t="shared" si="29"/>
        <v>0</v>
      </c>
      <c r="AC80" s="1383"/>
      <c r="AD80" s="1381"/>
      <c r="AJ80" s="1384"/>
      <c r="AN80" s="1381"/>
    </row>
    <row r="81" spans="1:40" ht="48">
      <c r="A81" s="1349" t="s">
        <v>667</v>
      </c>
      <c r="B81" s="1552" t="str">
        <f>估价对象房地状况!G16</f>
        <v>估价对象周边道路状况、公共交通通达情况、停车便捷程度，综合评价交通便捷度较好</v>
      </c>
      <c r="C81" s="1559"/>
      <c r="D81" s="1560">
        <f t="shared" si="25"/>
        <v>0</v>
      </c>
      <c r="E81" s="1692"/>
      <c r="F81" s="1693"/>
      <c r="G81" s="1563"/>
      <c r="H81" s="1564" t="str">
        <f t="shared" si="26"/>
        <v>——</v>
      </c>
      <c r="I81" s="1660">
        <v>0.33</v>
      </c>
      <c r="J81" s="1661">
        <f t="shared" si="27"/>
        <v>0</v>
      </c>
      <c r="K81" s="1661">
        <f t="shared" si="28"/>
        <v>0</v>
      </c>
      <c r="L81" s="1661">
        <v>0</v>
      </c>
      <c r="M81" s="1661">
        <f t="shared" si="29"/>
        <v>0</v>
      </c>
      <c r="N81" s="1661">
        <f t="shared" si="29"/>
        <v>0</v>
      </c>
      <c r="AC81" s="1383"/>
      <c r="AD81" s="1381"/>
      <c r="AJ81" s="1384"/>
      <c r="AN81" s="1381"/>
    </row>
    <row r="82" spans="1:40" ht="24">
      <c r="A82" s="1349" t="s">
        <v>679</v>
      </c>
      <c r="B82" s="1552">
        <f>估价对象房地状况!G17</f>
        <v>0</v>
      </c>
      <c r="C82" s="1559"/>
      <c r="D82" s="1560">
        <f t="shared" si="25"/>
        <v>0</v>
      </c>
      <c r="E82" s="1692"/>
      <c r="F82" s="1693"/>
      <c r="G82" s="1563"/>
      <c r="H82" s="1564" t="str">
        <f t="shared" si="26"/>
        <v>——</v>
      </c>
      <c r="I82" s="1660">
        <v>0.05</v>
      </c>
      <c r="J82" s="1661">
        <f t="shared" si="27"/>
        <v>0</v>
      </c>
      <c r="K82" s="1661">
        <f t="shared" si="28"/>
        <v>0</v>
      </c>
      <c r="L82" s="1661">
        <v>0</v>
      </c>
      <c r="M82" s="1661">
        <f t="shared" si="29"/>
        <v>0</v>
      </c>
      <c r="N82" s="1661">
        <f t="shared" si="29"/>
        <v>0</v>
      </c>
      <c r="AC82" s="1383"/>
      <c r="AD82" s="1381"/>
      <c r="AJ82" s="1384"/>
      <c r="AN82" s="1381"/>
    </row>
    <row r="83" spans="1:40" ht="14.25">
      <c r="A83" s="1349" t="s">
        <v>1514</v>
      </c>
      <c r="B83" s="1552">
        <f>估价对象房地状况!G22</f>
        <v>0</v>
      </c>
      <c r="C83" s="1559"/>
      <c r="D83" s="1560">
        <f t="shared" si="25"/>
        <v>0</v>
      </c>
      <c r="E83" s="1692"/>
      <c r="F83" s="1693"/>
      <c r="G83" s="1563"/>
      <c r="H83" s="1564" t="str">
        <f t="shared" si="26"/>
        <v>——</v>
      </c>
      <c r="I83" s="1660">
        <v>0.04</v>
      </c>
      <c r="J83" s="1661">
        <f t="shared" si="27"/>
        <v>0</v>
      </c>
      <c r="K83" s="1661">
        <f t="shared" si="28"/>
        <v>0</v>
      </c>
      <c r="L83" s="1661">
        <v>0</v>
      </c>
      <c r="M83" s="1661">
        <f t="shared" si="29"/>
        <v>0</v>
      </c>
      <c r="N83" s="1661">
        <f t="shared" si="29"/>
        <v>0</v>
      </c>
      <c r="AC83" s="1383"/>
      <c r="AD83" s="1381"/>
      <c r="AJ83" s="1384"/>
      <c r="AN83" s="1381"/>
    </row>
    <row r="84" spans="1:40" ht="24">
      <c r="A84" s="1349" t="s">
        <v>1511</v>
      </c>
      <c r="B84" s="1569" t="str">
        <f>估价对象房地状况!G19</f>
        <v>估价对象所在区域公共配套设施齐备情况</v>
      </c>
      <c r="C84" s="1559"/>
      <c r="D84" s="1560">
        <f t="shared" si="25"/>
        <v>0</v>
      </c>
      <c r="E84" s="1692"/>
      <c r="F84" s="1693"/>
      <c r="G84" s="1563"/>
      <c r="H84" s="1564" t="str">
        <f t="shared" si="26"/>
        <v>——</v>
      </c>
      <c r="I84" s="1660">
        <v>0.06</v>
      </c>
      <c r="J84" s="1661">
        <f t="shared" si="27"/>
        <v>0</v>
      </c>
      <c r="K84" s="1661">
        <f t="shared" si="28"/>
        <v>0</v>
      </c>
      <c r="L84" s="1661">
        <v>0</v>
      </c>
      <c r="M84" s="1661">
        <f t="shared" si="29"/>
        <v>0</v>
      </c>
      <c r="N84" s="1661">
        <f t="shared" si="29"/>
        <v>0</v>
      </c>
      <c r="AC84" s="1383"/>
      <c r="AD84" s="1381"/>
      <c r="AJ84" s="1384"/>
      <c r="AN84" s="1381"/>
    </row>
    <row r="85" spans="1:40" ht="24">
      <c r="A85" s="1349" t="s">
        <v>1512</v>
      </c>
      <c r="B85" s="1569" t="str">
        <f>估价对象房地状况!G20</f>
        <v>估价对象所在区域基础设施水平</v>
      </c>
      <c r="C85" s="1559"/>
      <c r="D85" s="1560">
        <f t="shared" si="25"/>
        <v>0</v>
      </c>
      <c r="E85" s="1692"/>
      <c r="F85" s="1693"/>
      <c r="G85" s="1563"/>
      <c r="H85" s="1564" t="str">
        <f t="shared" si="26"/>
        <v>——</v>
      </c>
      <c r="I85" s="1660">
        <v>0.15</v>
      </c>
      <c r="J85" s="1661">
        <f t="shared" si="27"/>
        <v>0</v>
      </c>
      <c r="K85" s="1661">
        <f t="shared" si="28"/>
        <v>0</v>
      </c>
      <c r="L85" s="1661">
        <v>0</v>
      </c>
      <c r="M85" s="1661">
        <f t="shared" si="29"/>
        <v>0</v>
      </c>
      <c r="N85" s="1661">
        <f t="shared" si="29"/>
        <v>0</v>
      </c>
      <c r="AC85" s="1383"/>
      <c r="AD85" s="1381"/>
      <c r="AJ85" s="1384"/>
      <c r="AN85" s="1381"/>
    </row>
    <row r="86" spans="1:40" ht="24">
      <c r="A86" s="1349" t="s">
        <v>1509</v>
      </c>
      <c r="B86" s="1567" t="s">
        <v>1510</v>
      </c>
      <c r="C86" s="1559"/>
      <c r="D86" s="1560">
        <f t="shared" si="25"/>
        <v>0</v>
      </c>
      <c r="E86" s="1692"/>
      <c r="F86" s="1693"/>
      <c r="G86" s="1563"/>
      <c r="H86" s="1564" t="str">
        <f t="shared" si="26"/>
        <v>——</v>
      </c>
      <c r="I86" s="1660">
        <v>0.05</v>
      </c>
      <c r="J86" s="1661">
        <f t="shared" si="27"/>
        <v>0</v>
      </c>
      <c r="K86" s="1661">
        <f t="shared" si="28"/>
        <v>0</v>
      </c>
      <c r="L86" s="1661">
        <v>0</v>
      </c>
      <c r="M86" s="1661">
        <f t="shared" si="29"/>
        <v>0</v>
      </c>
      <c r="N86" s="1661">
        <f t="shared" si="29"/>
        <v>0</v>
      </c>
      <c r="AC86" s="1383"/>
      <c r="AD86" s="1381"/>
      <c r="AJ86" s="1384"/>
      <c r="AN86" s="1381"/>
    </row>
    <row r="87" spans="1:40" ht="36">
      <c r="A87" s="1570" t="s">
        <v>673</v>
      </c>
      <c r="B87" s="1695" t="str">
        <f>估价对象房地状况!G18</f>
        <v>该园区内是否有污染型企业，绿化情况，卫生条件，整体环境状况判断</v>
      </c>
      <c r="C87" s="1559"/>
      <c r="D87" s="1560">
        <f t="shared" si="25"/>
        <v>0</v>
      </c>
      <c r="E87" s="1634"/>
      <c r="F87" s="1693"/>
      <c r="G87" s="1563"/>
      <c r="H87" s="1564" t="str">
        <f t="shared" si="26"/>
        <v>——</v>
      </c>
      <c r="I87" s="1662">
        <v>0.06</v>
      </c>
      <c r="J87" s="1661">
        <f t="shared" si="27"/>
        <v>0</v>
      </c>
      <c r="K87" s="1661">
        <f t="shared" si="28"/>
        <v>0</v>
      </c>
      <c r="L87" s="1661">
        <v>0</v>
      </c>
      <c r="M87" s="1661">
        <f t="shared" si="29"/>
        <v>0</v>
      </c>
      <c r="N87" s="1661">
        <f t="shared" si="29"/>
        <v>0</v>
      </c>
      <c r="AC87" s="1383"/>
      <c r="AD87" s="1381"/>
      <c r="AJ87" s="1384"/>
      <c r="AN87" s="1381"/>
    </row>
    <row r="90" spans="1:40">
      <c r="A90" s="3385" t="s">
        <v>1516</v>
      </c>
      <c r="B90" s="3385"/>
      <c r="C90" s="3385"/>
      <c r="D90" s="3385"/>
      <c r="E90" s="3385"/>
      <c r="F90" s="3385"/>
      <c r="G90" s="3385"/>
      <c r="H90" s="3385"/>
      <c r="I90" s="3385"/>
      <c r="J90" s="3385"/>
      <c r="K90" s="1378"/>
      <c r="L90" s="1378"/>
      <c r="M90" s="1378"/>
      <c r="N90" s="1378"/>
    </row>
    <row r="91" spans="1:40">
      <c r="A91" s="3395" t="s">
        <v>345</v>
      </c>
      <c r="B91" s="3395" t="s">
        <v>1517</v>
      </c>
      <c r="C91" s="1696" t="s">
        <v>1375</v>
      </c>
      <c r="D91" s="1697"/>
      <c r="E91" s="1697"/>
      <c r="F91" s="1697"/>
      <c r="G91" s="1697"/>
      <c r="H91" s="1697"/>
      <c r="I91" s="1697"/>
      <c r="J91" s="1721"/>
      <c r="K91" s="1364"/>
      <c r="L91" s="1364"/>
      <c r="M91" s="1364"/>
      <c r="N91" s="1364"/>
    </row>
    <row r="92" spans="1:40">
      <c r="A92" s="3395"/>
      <c r="B92" s="3395"/>
      <c r="C92" s="1360" t="s">
        <v>240</v>
      </c>
      <c r="D92" s="1360" t="s">
        <v>253</v>
      </c>
      <c r="E92" s="1360" t="s">
        <v>265</v>
      </c>
      <c r="F92" s="1360" t="s">
        <v>275</v>
      </c>
      <c r="G92" s="1360" t="s">
        <v>284</v>
      </c>
      <c r="H92" s="1360" t="s">
        <v>292</v>
      </c>
      <c r="I92" s="1360" t="s">
        <v>297</v>
      </c>
      <c r="J92" s="1360" t="s">
        <v>302</v>
      </c>
      <c r="K92" s="1360" t="s">
        <v>305</v>
      </c>
      <c r="L92" s="1360" t="s">
        <v>308</v>
      </c>
      <c r="M92" s="1360" t="s">
        <v>311</v>
      </c>
      <c r="N92" s="1360" t="s">
        <v>314</v>
      </c>
    </row>
    <row r="93" spans="1:40">
      <c r="A93" s="3396" t="s">
        <v>1518</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40">
      <c r="A94" s="3397"/>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40">
      <c r="A95" s="3397"/>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40">
      <c r="A96" s="3397"/>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397"/>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397"/>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397"/>
      <c r="B99" s="1698" t="s">
        <v>1519</v>
      </c>
      <c r="C99" s="1700">
        <f>$I$3</f>
        <v>8</v>
      </c>
      <c r="D99" s="1700">
        <f t="shared" ref="D99:N99" si="30">$I$3</f>
        <v>8</v>
      </c>
      <c r="E99" s="1700">
        <f t="shared" si="30"/>
        <v>8</v>
      </c>
      <c r="F99" s="1700">
        <f t="shared" si="30"/>
        <v>8</v>
      </c>
      <c r="G99" s="1700">
        <f t="shared" si="30"/>
        <v>8</v>
      </c>
      <c r="H99" s="1700">
        <f t="shared" si="30"/>
        <v>8</v>
      </c>
      <c r="I99" s="1700">
        <f t="shared" si="30"/>
        <v>8</v>
      </c>
      <c r="J99" s="1700">
        <f t="shared" si="30"/>
        <v>8</v>
      </c>
      <c r="K99" s="1700">
        <f t="shared" si="30"/>
        <v>8</v>
      </c>
      <c r="L99" s="1700">
        <f t="shared" si="30"/>
        <v>8</v>
      </c>
      <c r="M99" s="1700">
        <f t="shared" si="30"/>
        <v>8</v>
      </c>
      <c r="N99" s="1700">
        <f t="shared" si="30"/>
        <v>8</v>
      </c>
    </row>
    <row r="100" spans="1:14">
      <c r="A100" s="3398"/>
      <c r="B100" s="1698">
        <v>7</v>
      </c>
      <c r="C100" s="1701">
        <f>(-0.163*(C99^2)-0.59*C99+7617)*(10^(-4))</f>
        <v>0.76018479999999999</v>
      </c>
      <c r="D100" s="1701">
        <f>(-0.163*(D99^2)-0.59*D99+7617)*(10^(-4))</f>
        <v>0.76018479999999999</v>
      </c>
      <c r="E100" s="1701">
        <f>(-0.161*(E99^2)-7.509*E99+6533)*(10^(-4))</f>
        <v>0.64626240000000001</v>
      </c>
      <c r="F100" s="1701">
        <f>(-0.161*(F99^2)-7.509*F99+6533)*(10^(-4))</f>
        <v>0.64626240000000001</v>
      </c>
      <c r="G100" s="1701">
        <f>(-0.161*(G99^2)-7.509*G99+6533)*(10^(-4))</f>
        <v>0.64626240000000001</v>
      </c>
      <c r="H100" s="1701">
        <f>(-0.161*(H99^2)-7.509*H99+6533)*(10^(-4))</f>
        <v>0.64626240000000001</v>
      </c>
      <c r="I100" s="1701">
        <f>(-0.161*(I99^2)-7.509*I99+6533)*(10^(-4))</f>
        <v>0.64626240000000001</v>
      </c>
      <c r="J100" s="1701">
        <f>(-0.214*(J99^2)-21.991*J99+4665)*(10^(-4))</f>
        <v>0.44753759999999998</v>
      </c>
      <c r="K100" s="1701">
        <f>(-0.214*(K99^2)-21.991*K99+4665)*(10^(-4))</f>
        <v>0.44753759999999998</v>
      </c>
      <c r="L100" s="1701">
        <f>(-0.214*(L99^2)-21.991*L99+4665)*(10^(-4))</f>
        <v>0.44753759999999998</v>
      </c>
      <c r="M100" s="1701">
        <f>(-0.214*(M99^2)-21.991*M99+4665)*(10^(-4))</f>
        <v>0.44753759999999998</v>
      </c>
      <c r="N100" s="1701">
        <f>(-0.214*(N99^2)-21.991*N99+4665)*(10^(-4))</f>
        <v>0.44753759999999998</v>
      </c>
    </row>
    <row r="101" spans="1:14">
      <c r="A101" s="3396" t="s">
        <v>1520</v>
      </c>
      <c r="B101" s="1702" t="s">
        <v>105</v>
      </c>
      <c r="C101" s="1703">
        <f>$G$3</f>
        <v>0</v>
      </c>
      <c r="D101" s="1703">
        <f t="shared" ref="D101:N101" si="31">$G$3</f>
        <v>0</v>
      </c>
      <c r="E101" s="1703">
        <f t="shared" si="31"/>
        <v>0</v>
      </c>
      <c r="F101" s="1703">
        <f t="shared" si="31"/>
        <v>0</v>
      </c>
      <c r="G101" s="1703">
        <f t="shared" si="31"/>
        <v>0</v>
      </c>
      <c r="H101" s="1703">
        <f t="shared" si="31"/>
        <v>0</v>
      </c>
      <c r="I101" s="1703">
        <f t="shared" si="31"/>
        <v>0</v>
      </c>
      <c r="J101" s="1703">
        <f t="shared" si="31"/>
        <v>0</v>
      </c>
      <c r="K101" s="1703">
        <f t="shared" si="31"/>
        <v>0</v>
      </c>
      <c r="L101" s="1703">
        <f t="shared" si="31"/>
        <v>0</v>
      </c>
      <c r="M101" s="1703">
        <f t="shared" si="31"/>
        <v>0</v>
      </c>
      <c r="N101" s="1703">
        <f t="shared" si="31"/>
        <v>0</v>
      </c>
    </row>
    <row r="102" spans="1:14">
      <c r="A102" s="3397"/>
      <c r="B102" s="1698">
        <v>1</v>
      </c>
      <c r="C102" s="1699" t="e">
        <f>1.9362/C101</f>
        <v>#DIV/0!</v>
      </c>
      <c r="D102" s="1699" t="e">
        <f>1.9362/D101</f>
        <v>#DIV/0!</v>
      </c>
      <c r="E102" s="1699" t="e">
        <f>1.8629/E101</f>
        <v>#DIV/0!</v>
      </c>
      <c r="F102" s="1699" t="e">
        <f>1.8629/F101</f>
        <v>#DIV/0!</v>
      </c>
      <c r="G102" s="1699" t="e">
        <f>1.8629/G101</f>
        <v>#DIV/0!</v>
      </c>
      <c r="H102" s="1699" t="e">
        <f>1.8629/H101</f>
        <v>#DIV/0!</v>
      </c>
      <c r="I102" s="1699" t="e">
        <f>1.8629/I101</f>
        <v>#DIV/0!</v>
      </c>
      <c r="J102" s="1699" t="e">
        <f>1.942/J101</f>
        <v>#DIV/0!</v>
      </c>
      <c r="K102" s="1699" t="e">
        <f>1.942/K101</f>
        <v>#DIV/0!</v>
      </c>
      <c r="L102" s="1699" t="e">
        <f>1.942/L101</f>
        <v>#DIV/0!</v>
      </c>
      <c r="M102" s="1699" t="e">
        <f>1.942/M101</f>
        <v>#DIV/0!</v>
      </c>
      <c r="N102" s="1699" t="e">
        <f>1.942/N101</f>
        <v>#DIV/0!</v>
      </c>
    </row>
    <row r="103" spans="1:14">
      <c r="A103" s="3397"/>
      <c r="B103" s="1698">
        <v>2</v>
      </c>
      <c r="C103" s="1699" t="e">
        <f>1.4198/C101</f>
        <v>#DIV/0!</v>
      </c>
      <c r="D103" s="1699" t="e">
        <f>1.4198/D101</f>
        <v>#DIV/0!</v>
      </c>
      <c r="E103" s="1699" t="e">
        <f>1.3372/E101</f>
        <v>#DIV/0!</v>
      </c>
      <c r="F103" s="1699" t="e">
        <f>1.3372/F101</f>
        <v>#DIV/0!</v>
      </c>
      <c r="G103" s="1699" t="e">
        <f>1.3372/G101</f>
        <v>#DIV/0!</v>
      </c>
      <c r="H103" s="1699" t="e">
        <f>1.3372/H101</f>
        <v>#DIV/0!</v>
      </c>
      <c r="I103" s="1699" t="e">
        <f>1.3372/I101</f>
        <v>#DIV/0!</v>
      </c>
      <c r="J103" s="1699" t="e">
        <f>1.2799/J101</f>
        <v>#DIV/0!</v>
      </c>
      <c r="K103" s="1699" t="e">
        <f>1.2799/K101</f>
        <v>#DIV/0!</v>
      </c>
      <c r="L103" s="1699" t="e">
        <f>1.2799/L101</f>
        <v>#DIV/0!</v>
      </c>
      <c r="M103" s="1699" t="e">
        <f>1.2799/M101</f>
        <v>#DIV/0!</v>
      </c>
      <c r="N103" s="1699" t="e">
        <f>1.2799/N101</f>
        <v>#DIV/0!</v>
      </c>
    </row>
    <row r="104" spans="1:14">
      <c r="A104" s="3397"/>
      <c r="B104" s="1698">
        <v>3</v>
      </c>
      <c r="C104" s="1699" t="e">
        <f>1.1594/C101</f>
        <v>#DIV/0!</v>
      </c>
      <c r="D104" s="1699" t="e">
        <f>1.1594/D101</f>
        <v>#DIV/0!</v>
      </c>
      <c r="E104" s="1699" t="e">
        <f>1.0788/E101</f>
        <v>#DIV/0!</v>
      </c>
      <c r="F104" s="1699" t="e">
        <f>1.0788/F101</f>
        <v>#DIV/0!</v>
      </c>
      <c r="G104" s="1699" t="e">
        <f>1.0788/G101</f>
        <v>#DIV/0!</v>
      </c>
      <c r="H104" s="1699" t="e">
        <f>1.0788/H101</f>
        <v>#DIV/0!</v>
      </c>
      <c r="I104" s="1699" t="e">
        <f>1.0788/I101</f>
        <v>#DIV/0!</v>
      </c>
      <c r="J104" s="1699" t="e">
        <f>1.0072/J101</f>
        <v>#DIV/0!</v>
      </c>
      <c r="K104" s="1699" t="e">
        <f>1.0072/K101</f>
        <v>#DIV/0!</v>
      </c>
      <c r="L104" s="1699" t="e">
        <f>1.0072/L101</f>
        <v>#DIV/0!</v>
      </c>
      <c r="M104" s="1699" t="e">
        <f>1.0072/M101</f>
        <v>#DIV/0!</v>
      </c>
      <c r="N104" s="1699" t="e">
        <f>1.0072/N101</f>
        <v>#DIV/0!</v>
      </c>
    </row>
    <row r="105" spans="1:14">
      <c r="A105" s="3397"/>
      <c r="B105" s="1698">
        <v>4</v>
      </c>
      <c r="C105" s="1699" t="e">
        <f>0.9622/C101</f>
        <v>#DIV/0!</v>
      </c>
      <c r="D105" s="1699" t="e">
        <f>0.9622/D101</f>
        <v>#DIV/0!</v>
      </c>
      <c r="E105" s="1699" t="e">
        <f>0.8656/E101</f>
        <v>#DIV/0!</v>
      </c>
      <c r="F105" s="1699" t="e">
        <f>0.8656/F101</f>
        <v>#DIV/0!</v>
      </c>
      <c r="G105" s="1699" t="e">
        <f>0.8656/G101</f>
        <v>#DIV/0!</v>
      </c>
      <c r="H105" s="1699" t="e">
        <f>0.8656/H101</f>
        <v>#DIV/0!</v>
      </c>
      <c r="I105" s="1699" t="e">
        <f>0.8656/I101</f>
        <v>#DIV/0!</v>
      </c>
      <c r="J105" s="1699" t="e">
        <f>0.7525/J101</f>
        <v>#DIV/0!</v>
      </c>
      <c r="K105" s="1699" t="e">
        <f>0.7525/K101</f>
        <v>#DIV/0!</v>
      </c>
      <c r="L105" s="1699" t="e">
        <f>0.7525/L101</f>
        <v>#DIV/0!</v>
      </c>
      <c r="M105" s="1699" t="e">
        <f>0.7525/M101</f>
        <v>#DIV/0!</v>
      </c>
      <c r="N105" s="1699" t="e">
        <f>0.7525/N101</f>
        <v>#DIV/0!</v>
      </c>
    </row>
    <row r="106" spans="1:14">
      <c r="A106" s="3397"/>
      <c r="B106" s="1698">
        <v>5</v>
      </c>
      <c r="C106" s="1699" t="e">
        <f>0.8417/C101</f>
        <v>#DIV/0!</v>
      </c>
      <c r="D106" s="1699" t="e">
        <f>0.8417/D101</f>
        <v>#DIV/0!</v>
      </c>
      <c r="E106" s="1699" t="e">
        <f>0.7371/E101</f>
        <v>#DIV/0!</v>
      </c>
      <c r="F106" s="1699" t="e">
        <f>0.7371/F101</f>
        <v>#DIV/0!</v>
      </c>
      <c r="G106" s="1699" t="e">
        <f>0.7371/G101</f>
        <v>#DIV/0!</v>
      </c>
      <c r="H106" s="1699" t="e">
        <f>0.7371/H101</f>
        <v>#DIV/0!</v>
      </c>
      <c r="I106" s="1699" t="e">
        <f>0.7371/I101</f>
        <v>#DIV/0!</v>
      </c>
      <c r="J106" s="1699" t="e">
        <f>0.5659/J101</f>
        <v>#DIV/0!</v>
      </c>
      <c r="K106" s="1699" t="e">
        <f>0.5659/K101</f>
        <v>#DIV/0!</v>
      </c>
      <c r="L106" s="1699" t="e">
        <f>0.5659/L101</f>
        <v>#DIV/0!</v>
      </c>
      <c r="M106" s="1699" t="e">
        <f>0.5659/M101</f>
        <v>#DIV/0!</v>
      </c>
      <c r="N106" s="1699" t="e">
        <f>0.5659/N101</f>
        <v>#DIV/0!</v>
      </c>
    </row>
    <row r="107" spans="1:14">
      <c r="A107" s="3397"/>
      <c r="B107" s="1698">
        <v>6</v>
      </c>
      <c r="C107" s="1699" t="e">
        <f>0.7608/C101</f>
        <v>#DIV/0!</v>
      </c>
      <c r="D107" s="1699" t="e">
        <f>0.7608/D101</f>
        <v>#DIV/0!</v>
      </c>
      <c r="E107" s="1699" t="e">
        <f>0.6482/E101</f>
        <v>#DIV/0!</v>
      </c>
      <c r="F107" s="1699" t="e">
        <f>0.6482/F101</f>
        <v>#DIV/0!</v>
      </c>
      <c r="G107" s="1699" t="e">
        <f>0.6482/G101</f>
        <v>#DIV/0!</v>
      </c>
      <c r="H107" s="1699" t="e">
        <f>0.6482/H101</f>
        <v>#DIV/0!</v>
      </c>
      <c r="I107" s="1699" t="e">
        <f>0.6482/I101</f>
        <v>#DIV/0!</v>
      </c>
      <c r="J107" s="1699" t="e">
        <f>0.4525/J101</f>
        <v>#DIV/0!</v>
      </c>
      <c r="K107" s="1699" t="e">
        <f>0.4525/K101</f>
        <v>#DIV/0!</v>
      </c>
      <c r="L107" s="1699" t="e">
        <f>0.4525/L101</f>
        <v>#DIV/0!</v>
      </c>
      <c r="M107" s="1699" t="e">
        <f>0.4525/M101</f>
        <v>#DIV/0!</v>
      </c>
      <c r="N107" s="1699" t="e">
        <f>0.4525/N101</f>
        <v>#DIV/0!</v>
      </c>
    </row>
    <row r="108" spans="1:14">
      <c r="A108" s="3397"/>
      <c r="B108" s="3399" t="s">
        <v>1521</v>
      </c>
      <c r="C108" s="1700">
        <f>C99</f>
        <v>8</v>
      </c>
      <c r="D108" s="1700">
        <f t="shared" ref="D108:N108" si="32">D99</f>
        <v>8</v>
      </c>
      <c r="E108" s="1700">
        <f t="shared" si="32"/>
        <v>8</v>
      </c>
      <c r="F108" s="1700">
        <f t="shared" si="32"/>
        <v>8</v>
      </c>
      <c r="G108" s="1700">
        <f t="shared" si="32"/>
        <v>8</v>
      </c>
      <c r="H108" s="1700">
        <f t="shared" si="32"/>
        <v>8</v>
      </c>
      <c r="I108" s="1700">
        <f t="shared" si="32"/>
        <v>8</v>
      </c>
      <c r="J108" s="1700">
        <f t="shared" si="32"/>
        <v>8</v>
      </c>
      <c r="K108" s="1700">
        <f t="shared" si="32"/>
        <v>8</v>
      </c>
      <c r="L108" s="1700">
        <f t="shared" si="32"/>
        <v>8</v>
      </c>
      <c r="M108" s="1700">
        <f t="shared" si="32"/>
        <v>8</v>
      </c>
      <c r="N108" s="1700">
        <f t="shared" si="32"/>
        <v>8</v>
      </c>
    </row>
    <row r="109" spans="1:14">
      <c r="A109" s="3398"/>
      <c r="B109" s="3400"/>
      <c r="C109" s="1701" t="e">
        <f>(-0.163*(C108^2)-0.59*C108+7617)*(10^(-4))/C101</f>
        <v>#DIV/0!</v>
      </c>
      <c r="D109" s="1701" t="e">
        <f>(-0.163*(D108^2)-0.59*D108+7617)*(10^(-4))/D101</f>
        <v>#DIV/0!</v>
      </c>
      <c r="E109" s="1701" t="e">
        <f>(-0.161*(E108^2)-7.509*E108+6533)*(10^(-4))/E101</f>
        <v>#DIV/0!</v>
      </c>
      <c r="F109" s="1701" t="e">
        <f>(-0.161*(F108^2)-7.509*F108+6533)*(10^(-4))/F101</f>
        <v>#DIV/0!</v>
      </c>
      <c r="G109" s="1701" t="e">
        <f>(-0.161*(G108^2)-7.509*G108+6533)*(10^(-4))/G101</f>
        <v>#DIV/0!</v>
      </c>
      <c r="H109" s="1701" t="e">
        <f>(-0.161*(H108^2)-7.509*H108+6533)*(10^(-4))/H101</f>
        <v>#DIV/0!</v>
      </c>
      <c r="I109" s="1701" t="e">
        <f>(-0.161*(I108^2)-7.509*I108+6533)*(10^(-4))/I101</f>
        <v>#DIV/0!</v>
      </c>
      <c r="J109" s="1701" t="e">
        <f>(-0.214*(J108^2)-21.991*J108+4665)*(10^(-4))/J101</f>
        <v>#DIV/0!</v>
      </c>
      <c r="K109" s="1701" t="e">
        <f>(-0.214*(K108^2)-21.991*K108+4665)*(10^(-4))/K101</f>
        <v>#DIV/0!</v>
      </c>
      <c r="L109" s="1701" t="e">
        <f>(-0.214*(L108^2)-21.991*L108+4665)*(10^(-4))/L101</f>
        <v>#DIV/0!</v>
      </c>
      <c r="M109" s="1701" t="e">
        <f>(-0.214*(M108^2)-21.991*M108+4665)*(10^(-4))/M101</f>
        <v>#DIV/0!</v>
      </c>
      <c r="N109" s="1701" t="e">
        <f>(-0.214*(N108^2)-21.991*N108+4665)*(10^(-4))/N101</f>
        <v>#DIV/0!</v>
      </c>
    </row>
    <row r="110" spans="1:14">
      <c r="A110" s="3386" t="s">
        <v>1522</v>
      </c>
      <c r="B110" s="3386"/>
      <c r="C110" s="3386"/>
      <c r="D110" s="3386"/>
      <c r="E110" s="3386"/>
      <c r="F110" s="3386"/>
      <c r="G110" s="3386"/>
      <c r="H110" s="3386"/>
      <c r="I110" s="3386"/>
      <c r="J110" s="3386"/>
      <c r="K110" s="1704"/>
      <c r="L110" s="1704"/>
      <c r="M110" s="1704"/>
      <c r="N110" s="1704"/>
    </row>
    <row r="113" spans="1:13" ht="24.75">
      <c r="A113" s="1705" t="s">
        <v>1523</v>
      </c>
      <c r="B113" s="1706">
        <f>G3</f>
        <v>0</v>
      </c>
      <c r="C113" s="1707" t="s">
        <v>1524</v>
      </c>
      <c r="D113" s="1708">
        <f>SUMPRODUCT((A115:A118=F113)*(B114:M114=H113)*B115:M118)</f>
        <v>0</v>
      </c>
      <c r="E113" s="1709" t="s">
        <v>345</v>
      </c>
      <c r="F113" s="1710">
        <f>E2</f>
        <v>0</v>
      </c>
      <c r="G113" s="1709" t="s">
        <v>217</v>
      </c>
      <c r="H113" s="1710">
        <f>G2</f>
        <v>0</v>
      </c>
      <c r="I113" s="1709"/>
      <c r="J113" s="1288"/>
      <c r="K113" s="1288"/>
      <c r="L113" s="1288"/>
      <c r="M113" s="1288"/>
    </row>
    <row r="114" spans="1:13" ht="12.75">
      <c r="A114" s="1711"/>
      <c r="B114" s="1712" t="s">
        <v>240</v>
      </c>
      <c r="C114" s="1712" t="s">
        <v>253</v>
      </c>
      <c r="D114" s="1712" t="s">
        <v>265</v>
      </c>
      <c r="E114" s="1713" t="s">
        <v>275</v>
      </c>
      <c r="F114" s="1713" t="s">
        <v>284</v>
      </c>
      <c r="G114" s="1713" t="s">
        <v>292</v>
      </c>
      <c r="H114" s="1714" t="s">
        <v>297</v>
      </c>
      <c r="I114" s="1714" t="s">
        <v>302</v>
      </c>
      <c r="J114" s="1722" t="s">
        <v>305</v>
      </c>
      <c r="K114" s="1722" t="s">
        <v>308</v>
      </c>
      <c r="L114" s="1722" t="s">
        <v>311</v>
      </c>
      <c r="M114" s="1723" t="s">
        <v>314</v>
      </c>
    </row>
    <row r="115" spans="1:13" ht="12.75">
      <c r="A115" s="1715" t="s">
        <v>1525</v>
      </c>
      <c r="B115" s="1716">
        <f>ROUND(0.9335-0.0094*B113,4)</f>
        <v>0.9335</v>
      </c>
      <c r="C115" s="1716">
        <f>B115</f>
        <v>0.9335</v>
      </c>
      <c r="D115" s="1716">
        <f>ROUND(0.8331-0.0109*B113,4)</f>
        <v>0.83309999999999995</v>
      </c>
      <c r="E115" s="1716">
        <f>D115</f>
        <v>0.83309999999999995</v>
      </c>
      <c r="F115" s="1716">
        <f>E115</f>
        <v>0.83309999999999995</v>
      </c>
      <c r="G115" s="1716">
        <f>F115</f>
        <v>0.83309999999999995</v>
      </c>
      <c r="H115" s="1716">
        <f>G115</f>
        <v>0.83309999999999995</v>
      </c>
      <c r="I115" s="1716">
        <f>ROUND(0.689-0.0155*B113,4)</f>
        <v>0.68899999999999995</v>
      </c>
      <c r="J115" s="1716">
        <f t="shared" ref="J115:M118" si="33">I115</f>
        <v>0.68899999999999995</v>
      </c>
      <c r="K115" s="1716">
        <f t="shared" si="33"/>
        <v>0.68899999999999995</v>
      </c>
      <c r="L115" s="1716">
        <f t="shared" si="33"/>
        <v>0.68899999999999995</v>
      </c>
      <c r="M115" s="1724">
        <f t="shared" si="33"/>
        <v>0.68899999999999995</v>
      </c>
    </row>
    <row r="116" spans="1:13" ht="12.75">
      <c r="A116" s="1715" t="s">
        <v>1526</v>
      </c>
      <c r="B116" s="1716">
        <f>ROUND(0.949-0.012*B113,4)</f>
        <v>0.94899999999999995</v>
      </c>
      <c r="C116" s="1716">
        <f>B116</f>
        <v>0.94899999999999995</v>
      </c>
      <c r="D116" s="1716">
        <f>ROUND(0.8567-0.013*B113,4)</f>
        <v>0.85670000000000002</v>
      </c>
      <c r="E116" s="1716">
        <f t="shared" ref="E116:H117" si="34">D116</f>
        <v>0.85670000000000002</v>
      </c>
      <c r="F116" s="1716">
        <f t="shared" si="34"/>
        <v>0.85670000000000002</v>
      </c>
      <c r="G116" s="1716">
        <f t="shared" si="34"/>
        <v>0.85670000000000002</v>
      </c>
      <c r="H116" s="1716">
        <f t="shared" si="34"/>
        <v>0.85670000000000002</v>
      </c>
      <c r="I116" s="1716">
        <f>ROUND(0.7694-0.014*B113,4)</f>
        <v>0.76939999999999997</v>
      </c>
      <c r="J116" s="1716">
        <f t="shared" si="33"/>
        <v>0.76939999999999997</v>
      </c>
      <c r="K116" s="1716">
        <f t="shared" si="33"/>
        <v>0.76939999999999997</v>
      </c>
      <c r="L116" s="1716">
        <f t="shared" si="33"/>
        <v>0.76939999999999997</v>
      </c>
      <c r="M116" s="1724">
        <f t="shared" si="33"/>
        <v>0.76939999999999997</v>
      </c>
    </row>
    <row r="117" spans="1:13" ht="12.75">
      <c r="A117" s="1717" t="s">
        <v>369</v>
      </c>
      <c r="B117" s="1716">
        <f>ROUND(0.8808-0.006*B113,4)</f>
        <v>0.88080000000000003</v>
      </c>
      <c r="C117" s="1716">
        <f>B117</f>
        <v>0.88080000000000003</v>
      </c>
      <c r="D117" s="1716">
        <f>ROUND(0.8748-0.008*B113,4)</f>
        <v>0.87480000000000002</v>
      </c>
      <c r="E117" s="1716">
        <f t="shared" si="34"/>
        <v>0.87480000000000002</v>
      </c>
      <c r="F117" s="1716">
        <f t="shared" si="34"/>
        <v>0.87480000000000002</v>
      </c>
      <c r="G117" s="1716">
        <f t="shared" si="34"/>
        <v>0.87480000000000002</v>
      </c>
      <c r="H117" s="1716">
        <f t="shared" si="34"/>
        <v>0.87480000000000002</v>
      </c>
      <c r="I117" s="1716">
        <f>ROUND(0.7412-0.0095*B113,4)</f>
        <v>0.74119999999999997</v>
      </c>
      <c r="J117" s="1716">
        <f t="shared" si="33"/>
        <v>0.74119999999999997</v>
      </c>
      <c r="K117" s="1716">
        <f t="shared" si="33"/>
        <v>0.74119999999999997</v>
      </c>
      <c r="L117" s="1716">
        <f t="shared" si="33"/>
        <v>0.74119999999999997</v>
      </c>
      <c r="M117" s="1724">
        <f t="shared" si="33"/>
        <v>0.74119999999999997</v>
      </c>
    </row>
    <row r="118" spans="1:13" ht="12.75">
      <c r="A118" s="1718" t="s">
        <v>1527</v>
      </c>
      <c r="B118" s="1719">
        <f>ROUND(0.7275-0.01*B113,4)</f>
        <v>0.72750000000000004</v>
      </c>
      <c r="C118" s="1719">
        <f>B118</f>
        <v>0.72750000000000004</v>
      </c>
      <c r="D118" s="1719">
        <f>ROUND(0.7043-0.012*B113,4)</f>
        <v>0.70430000000000004</v>
      </c>
      <c r="E118" s="1719">
        <f>D118</f>
        <v>0.70430000000000004</v>
      </c>
      <c r="F118" s="1719">
        <f>E118</f>
        <v>0.70430000000000004</v>
      </c>
      <c r="G118" s="1719">
        <f>ROUND(0.6299-0.0122*B113,4)</f>
        <v>0.62990000000000002</v>
      </c>
      <c r="H118" s="1719">
        <f>G118</f>
        <v>0.62990000000000002</v>
      </c>
      <c r="I118" s="1719">
        <f>ROUND(0.5667-0.0136*B113,4)</f>
        <v>0.56669999999999998</v>
      </c>
      <c r="J118" s="1719">
        <f t="shared" si="33"/>
        <v>0.56669999999999998</v>
      </c>
      <c r="K118" s="1719">
        <f t="shared" si="33"/>
        <v>0.56669999999999998</v>
      </c>
      <c r="L118" s="1719">
        <f t="shared" si="33"/>
        <v>0.56669999999999998</v>
      </c>
      <c r="M118" s="1725">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217</v>
      </c>
      <c r="B1" s="1331" t="s">
        <v>240</v>
      </c>
      <c r="C1" s="1331" t="s">
        <v>253</v>
      </c>
      <c r="D1" s="1331" t="s">
        <v>265</v>
      </c>
      <c r="E1" s="1331" t="s">
        <v>275</v>
      </c>
      <c r="F1" s="1331" t="s">
        <v>284</v>
      </c>
      <c r="G1" s="1331" t="s">
        <v>292</v>
      </c>
      <c r="H1" s="1331" t="s">
        <v>297</v>
      </c>
      <c r="I1" s="1331" t="s">
        <v>302</v>
      </c>
      <c r="J1" s="1331" t="s">
        <v>305</v>
      </c>
      <c r="K1" s="1331" t="s">
        <v>308</v>
      </c>
      <c r="L1" s="1331" t="s">
        <v>311</v>
      </c>
      <c r="M1" s="1333" t="s">
        <v>314</v>
      </c>
    </row>
    <row r="2" spans="1:13" ht="19.5" customHeight="1">
      <c r="A2" s="1338" t="s">
        <v>370</v>
      </c>
      <c r="B2" s="1339">
        <v>3.5</v>
      </c>
      <c r="C2" s="1339">
        <v>3.5</v>
      </c>
      <c r="D2" s="1340">
        <v>2.5</v>
      </c>
      <c r="E2" s="1340">
        <v>2.5</v>
      </c>
      <c r="F2" s="1340">
        <v>2.5</v>
      </c>
      <c r="G2" s="1340">
        <v>2.5</v>
      </c>
      <c r="H2" s="1340">
        <v>2.5</v>
      </c>
      <c r="I2" s="1339">
        <v>2</v>
      </c>
      <c r="J2" s="1339">
        <v>2</v>
      </c>
      <c r="K2" s="1339">
        <v>2</v>
      </c>
      <c r="L2" s="1339">
        <v>2</v>
      </c>
      <c r="M2" s="1372">
        <v>2</v>
      </c>
    </row>
    <row r="3" spans="1:13" ht="19.5" customHeight="1">
      <c r="A3" s="1341" t="s">
        <v>371</v>
      </c>
      <c r="B3" s="1342">
        <v>3.5</v>
      </c>
      <c r="C3" s="1342">
        <v>3.5</v>
      </c>
      <c r="D3" s="1343">
        <v>2.5</v>
      </c>
      <c r="E3" s="1343">
        <v>2.5</v>
      </c>
      <c r="F3" s="1343">
        <v>2.5</v>
      </c>
      <c r="G3" s="1343">
        <v>2.5</v>
      </c>
      <c r="H3" s="1343">
        <v>2.5</v>
      </c>
      <c r="I3" s="1342">
        <v>2</v>
      </c>
      <c r="J3" s="1342">
        <v>2</v>
      </c>
      <c r="K3" s="1342">
        <v>2</v>
      </c>
      <c r="L3" s="1342">
        <v>2</v>
      </c>
      <c r="M3" s="1373">
        <v>2</v>
      </c>
    </row>
    <row r="4" spans="1:13" ht="19.5" customHeight="1">
      <c r="A4" s="1341" t="s">
        <v>369</v>
      </c>
      <c r="B4" s="1343">
        <v>2.5</v>
      </c>
      <c r="C4" s="1343">
        <v>2.5</v>
      </c>
      <c r="D4" s="1343">
        <v>2.5</v>
      </c>
      <c r="E4" s="1343">
        <v>2.5</v>
      </c>
      <c r="F4" s="1343">
        <v>2.5</v>
      </c>
      <c r="G4" s="1343">
        <v>2.5</v>
      </c>
      <c r="H4" s="1343">
        <v>2.5</v>
      </c>
      <c r="I4" s="1342">
        <v>1.5</v>
      </c>
      <c r="J4" s="1342">
        <v>1.5</v>
      </c>
      <c r="K4" s="1342">
        <v>1.5</v>
      </c>
      <c r="L4" s="1342">
        <v>1.5</v>
      </c>
      <c r="M4" s="1373">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4">
        <v>1</v>
      </c>
    </row>
    <row r="6" spans="1:13" ht="19.5" customHeight="1">
      <c r="A6" s="1347" t="s">
        <v>1528</v>
      </c>
      <c r="B6" s="1348">
        <v>80</v>
      </c>
      <c r="C6" s="1348">
        <v>80</v>
      </c>
      <c r="D6" s="1348">
        <v>65</v>
      </c>
      <c r="E6" s="1348">
        <v>65</v>
      </c>
      <c r="F6" s="1348">
        <v>65</v>
      </c>
      <c r="G6" s="1348">
        <v>65</v>
      </c>
      <c r="H6" s="1348">
        <v>65</v>
      </c>
      <c r="I6" s="1348">
        <v>50</v>
      </c>
      <c r="J6" s="1348">
        <v>50</v>
      </c>
      <c r="K6" s="1348">
        <v>50</v>
      </c>
      <c r="L6" s="1348">
        <v>50</v>
      </c>
      <c r="M6" s="1375">
        <v>50</v>
      </c>
    </row>
    <row r="7" spans="1:13" ht="19.5" customHeight="1">
      <c r="A7" s="1349" t="s">
        <v>1529</v>
      </c>
      <c r="B7" s="1350">
        <v>70</v>
      </c>
      <c r="C7" s="1350">
        <v>70</v>
      </c>
      <c r="D7" s="1350">
        <v>55</v>
      </c>
      <c r="E7" s="1350">
        <v>55</v>
      </c>
      <c r="F7" s="1350">
        <v>55</v>
      </c>
      <c r="G7" s="1350">
        <v>55</v>
      </c>
      <c r="H7" s="1350">
        <v>55</v>
      </c>
      <c r="I7" s="1350">
        <v>40</v>
      </c>
      <c r="J7" s="1350">
        <v>40</v>
      </c>
      <c r="K7" s="1350">
        <v>40</v>
      </c>
      <c r="L7" s="1350">
        <v>40</v>
      </c>
      <c r="M7" s="1376">
        <v>40</v>
      </c>
    </row>
    <row r="8" spans="1:13" ht="19.5" customHeight="1">
      <c r="A8" s="1349" t="s">
        <v>1530</v>
      </c>
      <c r="B8" s="1350">
        <v>20</v>
      </c>
      <c r="C8" s="1350">
        <v>20</v>
      </c>
      <c r="D8" s="1350">
        <v>15</v>
      </c>
      <c r="E8" s="1350">
        <v>15</v>
      </c>
      <c r="F8" s="1350">
        <v>15</v>
      </c>
      <c r="G8" s="1350">
        <v>15</v>
      </c>
      <c r="H8" s="1350">
        <v>15</v>
      </c>
      <c r="I8" s="1350">
        <v>10</v>
      </c>
      <c r="J8" s="1350">
        <v>10</v>
      </c>
      <c r="K8" s="1350">
        <v>10</v>
      </c>
      <c r="L8" s="1350">
        <v>10</v>
      </c>
      <c r="M8" s="1376">
        <v>10</v>
      </c>
    </row>
    <row r="9" spans="1:13" ht="19.5" customHeight="1">
      <c r="A9" s="1349" t="s">
        <v>1531</v>
      </c>
      <c r="B9" s="1350">
        <v>30</v>
      </c>
      <c r="C9" s="1350">
        <v>30</v>
      </c>
      <c r="D9" s="1350">
        <v>25</v>
      </c>
      <c r="E9" s="1350">
        <v>25</v>
      </c>
      <c r="F9" s="1350">
        <v>25</v>
      </c>
      <c r="G9" s="1350">
        <v>25</v>
      </c>
      <c r="H9" s="1350">
        <v>25</v>
      </c>
      <c r="I9" s="1350">
        <v>20</v>
      </c>
      <c r="J9" s="1350">
        <v>20</v>
      </c>
      <c r="K9" s="1350">
        <v>20</v>
      </c>
      <c r="L9" s="1350">
        <v>20</v>
      </c>
      <c r="M9" s="1376">
        <v>20</v>
      </c>
    </row>
    <row r="10" spans="1:13" ht="19.5" customHeight="1">
      <c r="A10" s="1349" t="s">
        <v>1532</v>
      </c>
      <c r="B10" s="1350">
        <v>45</v>
      </c>
      <c r="C10" s="1350">
        <v>45</v>
      </c>
      <c r="D10" s="1350">
        <v>35</v>
      </c>
      <c r="E10" s="1350">
        <v>35</v>
      </c>
      <c r="F10" s="1350">
        <v>35</v>
      </c>
      <c r="G10" s="1350">
        <v>35</v>
      </c>
      <c r="H10" s="1350">
        <v>35</v>
      </c>
      <c r="I10" s="1350">
        <v>25</v>
      </c>
      <c r="J10" s="1350">
        <v>25</v>
      </c>
      <c r="K10" s="1350">
        <v>25</v>
      </c>
      <c r="L10" s="1350">
        <v>25</v>
      </c>
      <c r="M10" s="1376">
        <v>25</v>
      </c>
    </row>
    <row r="11" spans="1:13" ht="19.5" customHeight="1">
      <c r="A11" s="1349" t="s">
        <v>1533</v>
      </c>
      <c r="B11" s="1350">
        <v>60</v>
      </c>
      <c r="C11" s="1350">
        <v>60</v>
      </c>
      <c r="D11" s="1350">
        <v>50</v>
      </c>
      <c r="E11" s="1350">
        <v>50</v>
      </c>
      <c r="F11" s="1350">
        <v>50</v>
      </c>
      <c r="G11" s="1350">
        <v>50</v>
      </c>
      <c r="H11" s="1350">
        <v>50</v>
      </c>
      <c r="I11" s="1350">
        <v>40</v>
      </c>
      <c r="J11" s="1350">
        <v>40</v>
      </c>
      <c r="K11" s="1350">
        <v>40</v>
      </c>
      <c r="L11" s="1350">
        <v>40</v>
      </c>
      <c r="M11" s="1376">
        <v>40</v>
      </c>
    </row>
    <row r="12" spans="1:13" ht="19.5" customHeight="1">
      <c r="A12" s="1349" t="s">
        <v>1534</v>
      </c>
      <c r="B12" s="1350">
        <v>50</v>
      </c>
      <c r="C12" s="1350">
        <v>50</v>
      </c>
      <c r="D12" s="1350">
        <v>40</v>
      </c>
      <c r="E12" s="1350">
        <v>40</v>
      </c>
      <c r="F12" s="1350">
        <v>40</v>
      </c>
      <c r="G12" s="1350">
        <v>40</v>
      </c>
      <c r="H12" s="1350">
        <v>40</v>
      </c>
      <c r="I12" s="1350">
        <v>30</v>
      </c>
      <c r="J12" s="1350">
        <v>30</v>
      </c>
      <c r="K12" s="1350">
        <v>30</v>
      </c>
      <c r="L12" s="1350">
        <v>30</v>
      </c>
      <c r="M12" s="1376">
        <v>30</v>
      </c>
    </row>
    <row r="13" spans="1:13" ht="19.5" customHeight="1">
      <c r="A13" s="1351" t="s">
        <v>1535</v>
      </c>
      <c r="B13" s="1352">
        <v>20</v>
      </c>
      <c r="C13" s="1352">
        <v>20</v>
      </c>
      <c r="D13" s="1352">
        <v>15</v>
      </c>
      <c r="E13" s="1352">
        <v>15</v>
      </c>
      <c r="F13" s="1352">
        <v>15</v>
      </c>
      <c r="G13" s="1352">
        <v>15</v>
      </c>
      <c r="H13" s="1352">
        <v>15</v>
      </c>
      <c r="I13" s="1352">
        <v>10</v>
      </c>
      <c r="J13" s="1352">
        <v>10</v>
      </c>
      <c r="K13" s="1352">
        <v>10</v>
      </c>
      <c r="L13" s="1352">
        <v>10</v>
      </c>
      <c r="M13" s="1377">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5" spans="1:13" ht="19.5" customHeight="1">
      <c r="A15" s="1354" t="s">
        <v>1444</v>
      </c>
      <c r="B15" s="1112">
        <f>SUM(B6:B13)</f>
        <v>375</v>
      </c>
      <c r="C15" s="1112">
        <f t="shared" ref="C15:H15" si="0">SUM(C6:C13)</f>
        <v>375</v>
      </c>
      <c r="D15" s="1112">
        <f t="shared" si="0"/>
        <v>300</v>
      </c>
      <c r="E15" s="1112">
        <f t="shared" si="0"/>
        <v>300</v>
      </c>
      <c r="F15" s="1112">
        <f t="shared" si="0"/>
        <v>300</v>
      </c>
      <c r="G15" s="1112">
        <f t="shared" si="0"/>
        <v>300</v>
      </c>
      <c r="H15" s="1112">
        <f t="shared" si="0"/>
        <v>300</v>
      </c>
      <c r="I15" s="1112">
        <f>SUM(I6:I10,I13)</f>
        <v>155</v>
      </c>
      <c r="J15" s="1112">
        <f t="shared" ref="J15:M15" si="1">SUM(J6:J10,J13)</f>
        <v>155</v>
      </c>
      <c r="K15" s="1112">
        <f t="shared" si="1"/>
        <v>155</v>
      </c>
      <c r="L15" s="1112">
        <f t="shared" si="1"/>
        <v>155</v>
      </c>
      <c r="M15" s="1112">
        <f t="shared" si="1"/>
        <v>155</v>
      </c>
    </row>
    <row r="16" spans="1:13" ht="19.5" customHeight="1">
      <c r="A16" s="1355" t="s">
        <v>1536</v>
      </c>
      <c r="B16" s="1355"/>
      <c r="C16" s="1356"/>
      <c r="D16" s="1356"/>
      <c r="E16" s="1355"/>
      <c r="F16" s="1356"/>
      <c r="G16" s="1356"/>
    </row>
    <row r="17" spans="1:9" ht="19.5" customHeight="1">
      <c r="A17" s="1350" t="s">
        <v>345</v>
      </c>
      <c r="B17" s="1357" t="s">
        <v>1537</v>
      </c>
      <c r="C17" s="1357" t="s">
        <v>1538</v>
      </c>
      <c r="D17" s="1358"/>
      <c r="E17" s="1350" t="s">
        <v>1539</v>
      </c>
      <c r="F17" s="1359"/>
      <c r="G17" s="1359"/>
    </row>
    <row r="18" spans="1:9" s="1336" customFormat="1" ht="19.5" customHeight="1">
      <c r="A18" s="3395" t="s">
        <v>370</v>
      </c>
      <c r="B18" s="1360" t="s">
        <v>1540</v>
      </c>
      <c r="C18" s="1361" t="s">
        <v>1541</v>
      </c>
      <c r="D18" s="1362"/>
      <c r="E18" s="1360">
        <v>1</v>
      </c>
      <c r="F18" s="1363" t="s">
        <v>1542</v>
      </c>
      <c r="G18" s="1364"/>
      <c r="H18" s="1300"/>
      <c r="I18" s="1300"/>
    </row>
    <row r="19" spans="1:9" s="1336" customFormat="1" ht="19.5" customHeight="1">
      <c r="A19" s="3395"/>
      <c r="B19" s="3395" t="s">
        <v>1543</v>
      </c>
      <c r="C19" s="1361" t="s">
        <v>1544</v>
      </c>
      <c r="D19" s="1362"/>
      <c r="E19" s="1360">
        <v>0.9</v>
      </c>
      <c r="F19" s="1363" t="s">
        <v>1545</v>
      </c>
      <c r="G19" s="1364"/>
      <c r="H19" s="1300"/>
      <c r="I19" s="1300"/>
    </row>
    <row r="20" spans="1:9" s="1336" customFormat="1" ht="19.5" customHeight="1">
      <c r="A20" s="3395"/>
      <c r="B20" s="3395"/>
      <c r="C20" s="1361" t="s">
        <v>1546</v>
      </c>
      <c r="D20" s="1362"/>
      <c r="E20" s="1360">
        <v>1.1000000000000001</v>
      </c>
      <c r="F20" s="1363" t="s">
        <v>1547</v>
      </c>
      <c r="G20" s="1364"/>
      <c r="H20" s="1300"/>
      <c r="I20" s="1300"/>
    </row>
    <row r="21" spans="1:9" s="1336" customFormat="1" ht="19.5" customHeight="1">
      <c r="A21" s="3395"/>
      <c r="B21" s="3395"/>
      <c r="C21" s="1361" t="s">
        <v>1548</v>
      </c>
      <c r="D21" s="1362"/>
      <c r="E21" s="1360">
        <v>0.8</v>
      </c>
      <c r="F21" s="1363" t="s">
        <v>1549</v>
      </c>
      <c r="G21" s="1364"/>
      <c r="H21" s="1300"/>
      <c r="I21" s="1300"/>
    </row>
    <row r="22" spans="1:9" s="1336" customFormat="1" ht="19.5" customHeight="1">
      <c r="A22" s="3395"/>
      <c r="B22" s="3395"/>
      <c r="C22" s="1361" t="s">
        <v>1550</v>
      </c>
      <c r="D22" s="1362"/>
      <c r="E22" s="1360">
        <v>0.5</v>
      </c>
      <c r="F22" s="1363"/>
      <c r="G22" s="1364"/>
      <c r="H22" s="1300"/>
      <c r="I22" s="1300"/>
    </row>
    <row r="23" spans="1:9" s="1336" customFormat="1" ht="19.5" customHeight="1">
      <c r="A23" s="3395" t="s">
        <v>371</v>
      </c>
      <c r="B23" s="1360" t="s">
        <v>1540</v>
      </c>
      <c r="C23" s="1361" t="s">
        <v>1551</v>
      </c>
      <c r="D23" s="1362"/>
      <c r="E23" s="1360">
        <v>1</v>
      </c>
      <c r="F23" s="1363" t="s">
        <v>1552</v>
      </c>
      <c r="G23" s="1364"/>
      <c r="H23" s="1300"/>
      <c r="I23" s="1300"/>
    </row>
    <row r="24" spans="1:9" s="1336" customFormat="1" ht="19.5" customHeight="1">
      <c r="A24" s="3395"/>
      <c r="B24" s="3395" t="s">
        <v>1543</v>
      </c>
      <c r="C24" s="1361" t="s">
        <v>1553</v>
      </c>
      <c r="D24" s="1362"/>
      <c r="E24" s="1360">
        <v>0.5</v>
      </c>
      <c r="F24" s="1363"/>
      <c r="G24" s="1364"/>
      <c r="H24" s="1300"/>
      <c r="I24" s="1300"/>
    </row>
    <row r="25" spans="1:9" s="1336" customFormat="1" ht="19.5" customHeight="1">
      <c r="A25" s="3395"/>
      <c r="B25" s="3395"/>
      <c r="C25" s="1361" t="s">
        <v>1554</v>
      </c>
      <c r="D25" s="1362"/>
      <c r="E25" s="1360">
        <v>1.1000000000000001</v>
      </c>
      <c r="F25" s="1363"/>
      <c r="G25" s="1364"/>
      <c r="H25" s="1300"/>
      <c r="I25" s="1300"/>
    </row>
    <row r="26" spans="1:9" s="1336" customFormat="1" ht="19.5" customHeight="1">
      <c r="A26" s="3395"/>
      <c r="B26" s="3395"/>
      <c r="C26" s="1361" t="s">
        <v>1555</v>
      </c>
      <c r="D26" s="1362"/>
      <c r="E26" s="1360">
        <v>1.1000000000000001</v>
      </c>
      <c r="F26" s="1363"/>
      <c r="G26" s="1364"/>
      <c r="H26" s="1300"/>
      <c r="I26" s="1300"/>
    </row>
    <row r="27" spans="1:9" s="1336" customFormat="1" ht="19.5" customHeight="1">
      <c r="A27" s="3395"/>
      <c r="B27" s="3395"/>
      <c r="C27" s="1361" t="s">
        <v>1556</v>
      </c>
      <c r="D27" s="1362"/>
      <c r="E27" s="1360">
        <v>0.9</v>
      </c>
      <c r="F27" s="1363" t="s">
        <v>1557</v>
      </c>
      <c r="G27" s="1364"/>
      <c r="H27" s="1300"/>
      <c r="I27" s="1300"/>
    </row>
    <row r="28" spans="1:9" s="1336" customFormat="1" ht="19.5" customHeight="1">
      <c r="A28" s="3395"/>
      <c r="B28" s="3395"/>
      <c r="C28" s="1361" t="s">
        <v>1558</v>
      </c>
      <c r="D28" s="1362"/>
      <c r="E28" s="1360">
        <v>0.9</v>
      </c>
      <c r="F28" s="1363" t="s">
        <v>1559</v>
      </c>
      <c r="G28" s="1364"/>
      <c r="H28" s="1300"/>
      <c r="I28" s="1300"/>
    </row>
    <row r="29" spans="1:9" s="1336" customFormat="1" ht="19.5" customHeight="1">
      <c r="A29" s="3395"/>
      <c r="B29" s="3395"/>
      <c r="C29" s="1361" t="s">
        <v>1560</v>
      </c>
      <c r="D29" s="1362"/>
      <c r="E29" s="1360">
        <v>0.9</v>
      </c>
      <c r="F29" s="1363" t="s">
        <v>1561</v>
      </c>
      <c r="G29" s="1364"/>
      <c r="H29" s="1300"/>
      <c r="I29" s="1300"/>
    </row>
    <row r="30" spans="1:9" s="1336" customFormat="1" ht="19.5" customHeight="1">
      <c r="A30" s="3395"/>
      <c r="B30" s="3395"/>
      <c r="C30" s="1361" t="s">
        <v>1562</v>
      </c>
      <c r="D30" s="1362"/>
      <c r="E30" s="1360">
        <v>0.9</v>
      </c>
      <c r="F30" s="1363" t="s">
        <v>1563</v>
      </c>
      <c r="G30" s="1364"/>
      <c r="H30" s="1300"/>
      <c r="I30" s="1300"/>
    </row>
    <row r="31" spans="1:9" s="1336" customFormat="1" ht="19.5" customHeight="1">
      <c r="A31" s="3395"/>
      <c r="B31" s="3395"/>
      <c r="C31" s="1361" t="s">
        <v>1564</v>
      </c>
      <c r="D31" s="1362"/>
      <c r="E31" s="1360">
        <v>0.8</v>
      </c>
      <c r="F31" s="1363" t="s">
        <v>1565</v>
      </c>
      <c r="G31" s="1364"/>
      <c r="H31" s="1300"/>
      <c r="I31" s="1300"/>
    </row>
    <row r="32" spans="1:9" s="1336" customFormat="1" ht="19.5" customHeight="1">
      <c r="A32" s="3395"/>
      <c r="B32" s="3395"/>
      <c r="C32" s="1361" t="s">
        <v>1566</v>
      </c>
      <c r="D32" s="1362"/>
      <c r="E32" s="1360">
        <v>0.8</v>
      </c>
      <c r="F32" s="1363" t="s">
        <v>1567</v>
      </c>
      <c r="G32" s="1364"/>
      <c r="H32" s="1300"/>
      <c r="I32" s="1300"/>
    </row>
    <row r="33" spans="1:9" s="1336" customFormat="1" ht="19.5" customHeight="1">
      <c r="A33" s="3395" t="s">
        <v>1568</v>
      </c>
      <c r="B33" s="1360" t="s">
        <v>1540</v>
      </c>
      <c r="C33" s="1361" t="s">
        <v>1569</v>
      </c>
      <c r="D33" s="1362"/>
      <c r="E33" s="1360">
        <v>1</v>
      </c>
      <c r="F33" s="1363" t="s">
        <v>1570</v>
      </c>
      <c r="G33" s="1364"/>
      <c r="H33" s="1300"/>
      <c r="I33" s="1300"/>
    </row>
    <row r="34" spans="1:9" s="1336" customFormat="1" ht="19.5" customHeight="1">
      <c r="A34" s="3395"/>
      <c r="B34" s="1360" t="s">
        <v>1543</v>
      </c>
      <c r="C34" s="1361" t="s">
        <v>1571</v>
      </c>
      <c r="D34" s="1362"/>
      <c r="E34" s="1360">
        <v>1.5</v>
      </c>
      <c r="F34" s="1363" t="s">
        <v>1572</v>
      </c>
      <c r="G34" s="1364"/>
      <c r="H34" s="1300"/>
      <c r="I34" s="1300"/>
    </row>
    <row r="35" spans="1:9" s="1336" customFormat="1" ht="19.5" customHeight="1">
      <c r="A35" s="3395" t="s">
        <v>164</v>
      </c>
      <c r="B35" s="1360" t="s">
        <v>1540</v>
      </c>
      <c r="C35" s="1361" t="s">
        <v>1573</v>
      </c>
      <c r="D35" s="1362"/>
      <c r="E35" s="1360">
        <v>1</v>
      </c>
      <c r="F35" s="1363" t="s">
        <v>1574</v>
      </c>
      <c r="G35" s="1364"/>
      <c r="H35" s="1300"/>
      <c r="I35" s="1300"/>
    </row>
    <row r="36" spans="1:9" s="1336" customFormat="1" ht="19.5" customHeight="1">
      <c r="A36" s="3395"/>
      <c r="B36" s="3395" t="s">
        <v>1543</v>
      </c>
      <c r="C36" s="1361" t="s">
        <v>1575</v>
      </c>
      <c r="D36" s="1362"/>
      <c r="E36" s="1360">
        <v>1</v>
      </c>
      <c r="F36" s="1363" t="s">
        <v>1576</v>
      </c>
      <c r="G36" s="1364"/>
      <c r="H36" s="1300"/>
      <c r="I36" s="1300"/>
    </row>
    <row r="37" spans="1:9" s="1336" customFormat="1" ht="19.5" customHeight="1">
      <c r="A37" s="3395"/>
      <c r="B37" s="3395"/>
      <c r="C37" s="1361" t="s">
        <v>1577</v>
      </c>
      <c r="D37" s="1362"/>
      <c r="E37" s="1360">
        <v>1.5</v>
      </c>
      <c r="F37" s="1363" t="s">
        <v>1578</v>
      </c>
      <c r="G37" s="1364"/>
      <c r="H37" s="1300"/>
      <c r="I37" s="1300"/>
    </row>
    <row r="38" spans="1:9" s="1336" customFormat="1" ht="19.5" customHeight="1">
      <c r="A38" s="3395"/>
      <c r="B38" s="3395"/>
      <c r="C38" s="1361" t="s">
        <v>1579</v>
      </c>
      <c r="D38" s="1362"/>
      <c r="E38" s="1360">
        <v>1</v>
      </c>
      <c r="F38" s="1363" t="s">
        <v>1580</v>
      </c>
      <c r="G38" s="1364"/>
      <c r="H38" s="1300"/>
      <c r="I38" s="1300"/>
    </row>
    <row r="39" spans="1:9" s="1336" customFormat="1" ht="19.5" customHeight="1">
      <c r="A39" s="3395"/>
      <c r="B39" s="3395"/>
      <c r="C39" s="1361" t="s">
        <v>1581</v>
      </c>
      <c r="D39" s="1362"/>
      <c r="E39" s="1360">
        <v>1</v>
      </c>
      <c r="F39" s="1363" t="s">
        <v>1582</v>
      </c>
      <c r="G39" s="1364"/>
      <c r="H39" s="1300"/>
      <c r="I39" s="1300"/>
    </row>
    <row r="40" spans="1:9" s="1336" customFormat="1" ht="19.5" customHeight="1">
      <c r="A40" s="1365" t="s">
        <v>1583</v>
      </c>
      <c r="B40" s="1365"/>
      <c r="C40" s="1365"/>
      <c r="D40" s="1365"/>
      <c r="E40" s="1365"/>
      <c r="F40" s="1363"/>
      <c r="G40" s="1363"/>
      <c r="H40" s="1300"/>
      <c r="I40" s="1300"/>
    </row>
    <row r="42" spans="1:9" ht="19.5" customHeight="1">
      <c r="A42" s="1366"/>
      <c r="B42" s="1350" t="s">
        <v>465</v>
      </c>
      <c r="C42" s="1350" t="s">
        <v>465</v>
      </c>
      <c r="D42" s="1350" t="s">
        <v>465</v>
      </c>
      <c r="E42" s="1352" t="s">
        <v>465</v>
      </c>
      <c r="F42" s="1352" t="s">
        <v>465</v>
      </c>
      <c r="G42" s="1352" t="s">
        <v>1489</v>
      </c>
      <c r="H42" s="1352" t="s">
        <v>465</v>
      </c>
    </row>
    <row r="43" spans="1:9" ht="19.5" customHeight="1">
      <c r="A43" s="1367"/>
      <c r="B43" s="1352" t="s">
        <v>370</v>
      </c>
      <c r="C43" s="1352" t="s">
        <v>370</v>
      </c>
      <c r="D43" s="1352" t="s">
        <v>370</v>
      </c>
      <c r="E43" s="1352" t="s">
        <v>370</v>
      </c>
      <c r="F43" s="1350" t="s">
        <v>371</v>
      </c>
      <c r="G43" s="1350" t="s">
        <v>164</v>
      </c>
      <c r="H43" s="1350" t="s">
        <v>372</v>
      </c>
    </row>
    <row r="44" spans="1:9" ht="19.5" customHeight="1">
      <c r="A44" s="1368"/>
      <c r="B44" s="1350">
        <v>1</v>
      </c>
      <c r="C44" s="1350">
        <v>2</v>
      </c>
      <c r="D44" s="1350">
        <v>3</v>
      </c>
      <c r="E44" s="1352">
        <v>4</v>
      </c>
      <c r="F44" s="1358" t="s">
        <v>1584</v>
      </c>
      <c r="G44" s="1358" t="s">
        <v>1584</v>
      </c>
      <c r="H44" s="1358" t="s">
        <v>1584</v>
      </c>
    </row>
    <row r="45" spans="1:9" ht="19.5" customHeight="1">
      <c r="A45" s="1369" t="s">
        <v>240</v>
      </c>
      <c r="B45" s="1350">
        <v>0.8</v>
      </c>
      <c r="C45" s="1350">
        <v>0.5</v>
      </c>
      <c r="D45" s="1350">
        <v>0.36</v>
      </c>
      <c r="E45" s="1350">
        <v>0.3</v>
      </c>
      <c r="F45" s="1358">
        <v>0.3</v>
      </c>
      <c r="G45" s="1350">
        <v>0.3</v>
      </c>
      <c r="H45" s="1350">
        <v>0.25</v>
      </c>
    </row>
    <row r="46" spans="1:9" ht="19.5" customHeight="1">
      <c r="A46" s="1369" t="s">
        <v>253</v>
      </c>
      <c r="B46" s="1350">
        <v>0.8</v>
      </c>
      <c r="C46" s="1350">
        <v>0.5</v>
      </c>
      <c r="D46" s="1350">
        <v>0.36</v>
      </c>
      <c r="E46" s="1350">
        <v>0.3</v>
      </c>
      <c r="F46" s="1350">
        <v>0.3</v>
      </c>
      <c r="G46" s="1350">
        <v>0.3</v>
      </c>
      <c r="H46" s="1350">
        <v>0.25</v>
      </c>
    </row>
    <row r="47" spans="1:9" ht="19.5" customHeight="1">
      <c r="A47" s="1369" t="s">
        <v>265</v>
      </c>
      <c r="B47" s="1350">
        <v>0.7</v>
      </c>
      <c r="C47" s="1350">
        <v>0.4</v>
      </c>
      <c r="D47" s="1350">
        <v>0.28000000000000003</v>
      </c>
      <c r="E47" s="1350">
        <v>0.25</v>
      </c>
      <c r="F47" s="1350">
        <v>0.25</v>
      </c>
      <c r="G47" s="1350">
        <v>0.25</v>
      </c>
      <c r="H47" s="1350">
        <v>0.2</v>
      </c>
    </row>
    <row r="48" spans="1:9" ht="19.5" customHeight="1">
      <c r="A48" s="1369" t="s">
        <v>275</v>
      </c>
      <c r="B48" s="1350">
        <v>0.7</v>
      </c>
      <c r="C48" s="1350">
        <v>0.4</v>
      </c>
      <c r="D48" s="1350">
        <v>0.28000000000000003</v>
      </c>
      <c r="E48" s="1350">
        <v>0.25</v>
      </c>
      <c r="F48" s="1350">
        <v>0.25</v>
      </c>
      <c r="G48" s="1350">
        <v>0.25</v>
      </c>
      <c r="H48" s="1350">
        <v>0.2</v>
      </c>
    </row>
    <row r="49" spans="1:8" s="1300" customFormat="1" ht="19.5" customHeight="1">
      <c r="A49" s="1369" t="s">
        <v>284</v>
      </c>
      <c r="B49" s="1350">
        <v>0.7</v>
      </c>
      <c r="C49" s="1350">
        <v>0.4</v>
      </c>
      <c r="D49" s="1350">
        <v>0.28000000000000003</v>
      </c>
      <c r="E49" s="1350">
        <v>0.25</v>
      </c>
      <c r="F49" s="1350">
        <v>0.25</v>
      </c>
      <c r="G49" s="1350">
        <v>0.25</v>
      </c>
      <c r="H49" s="1350">
        <v>0.2</v>
      </c>
    </row>
    <row r="50" spans="1:8" s="1300" customFormat="1" ht="19.5" customHeight="1">
      <c r="A50" s="1369" t="s">
        <v>292</v>
      </c>
      <c r="B50" s="1350">
        <v>0.7</v>
      </c>
      <c r="C50" s="1350">
        <v>0.4</v>
      </c>
      <c r="D50" s="1350">
        <v>0.28000000000000003</v>
      </c>
      <c r="E50" s="1350">
        <v>0.25</v>
      </c>
      <c r="F50" s="1350">
        <v>0.25</v>
      </c>
      <c r="G50" s="1350">
        <v>0.25</v>
      </c>
      <c r="H50" s="1350">
        <v>0.2</v>
      </c>
    </row>
    <row r="51" spans="1:8" s="1300" customFormat="1" ht="19.5" customHeight="1">
      <c r="A51" s="1369" t="s">
        <v>297</v>
      </c>
      <c r="B51" s="1350">
        <v>0.7</v>
      </c>
      <c r="C51" s="1350">
        <v>0.4</v>
      </c>
      <c r="D51" s="1350">
        <v>0.28000000000000003</v>
      </c>
      <c r="E51" s="1350">
        <v>0.25</v>
      </c>
      <c r="F51" s="1350">
        <v>0.25</v>
      </c>
      <c r="G51" s="1350">
        <v>0.25</v>
      </c>
      <c r="H51" s="1350">
        <v>0.2</v>
      </c>
    </row>
    <row r="52" spans="1:8" s="1300" customFormat="1" ht="19.5" customHeight="1">
      <c r="A52" s="1369" t="s">
        <v>302</v>
      </c>
      <c r="B52" s="1350">
        <v>0.6</v>
      </c>
      <c r="C52" s="1350">
        <v>0.3</v>
      </c>
      <c r="D52" s="1350">
        <v>0.2</v>
      </c>
      <c r="E52" s="1350">
        <v>0.2</v>
      </c>
      <c r="F52" s="1350">
        <v>0.2</v>
      </c>
      <c r="G52" s="1350">
        <v>0.2</v>
      </c>
      <c r="H52" s="1350">
        <v>0.15</v>
      </c>
    </row>
    <row r="53" spans="1:8" s="1300" customFormat="1" ht="19.5" customHeight="1">
      <c r="A53" s="1369" t="s">
        <v>305</v>
      </c>
      <c r="B53" s="1350">
        <v>0.6</v>
      </c>
      <c r="C53" s="1350">
        <v>0.3</v>
      </c>
      <c r="D53" s="1350">
        <v>0.2</v>
      </c>
      <c r="E53" s="1350">
        <v>0.2</v>
      </c>
      <c r="F53" s="1350">
        <v>0.2</v>
      </c>
      <c r="G53" s="1350">
        <v>0.2</v>
      </c>
      <c r="H53" s="1350">
        <v>0.15</v>
      </c>
    </row>
    <row r="54" spans="1:8" s="1300" customFormat="1" ht="19.5" customHeight="1">
      <c r="A54" s="1369" t="s">
        <v>308</v>
      </c>
      <c r="B54" s="1350">
        <v>0.6</v>
      </c>
      <c r="C54" s="1350">
        <v>0.3</v>
      </c>
      <c r="D54" s="1350">
        <v>0.2</v>
      </c>
      <c r="E54" s="1350">
        <v>0.2</v>
      </c>
      <c r="F54" s="1350">
        <v>0.2</v>
      </c>
      <c r="G54" s="1350">
        <v>0.2</v>
      </c>
      <c r="H54" s="1350">
        <v>0.15</v>
      </c>
    </row>
    <row r="55" spans="1:8" s="1300" customFormat="1" ht="19.5" customHeight="1">
      <c r="A55" s="1369" t="s">
        <v>311</v>
      </c>
      <c r="B55" s="1350">
        <v>0.6</v>
      </c>
      <c r="C55" s="1350">
        <v>0.3</v>
      </c>
      <c r="D55" s="1350">
        <v>0.2</v>
      </c>
      <c r="E55" s="1350">
        <v>0.2</v>
      </c>
      <c r="F55" s="1350">
        <v>0.2</v>
      </c>
      <c r="G55" s="1350">
        <v>0.2</v>
      </c>
      <c r="H55" s="1350">
        <v>0.15</v>
      </c>
    </row>
    <row r="56" spans="1:8" s="1300" customFormat="1" ht="19.5" customHeight="1">
      <c r="A56" s="1369" t="s">
        <v>314</v>
      </c>
      <c r="B56" s="1350">
        <v>0.6</v>
      </c>
      <c r="C56" s="1350">
        <v>0.3</v>
      </c>
      <c r="D56" s="1350">
        <v>0.2</v>
      </c>
      <c r="E56" s="1350">
        <v>0.2</v>
      </c>
      <c r="F56" s="1350">
        <v>0.2</v>
      </c>
      <c r="G56" s="1350">
        <v>0.2</v>
      </c>
      <c r="H56" s="1350">
        <v>0.15</v>
      </c>
    </row>
    <row r="58" spans="1:8" s="1300" customFormat="1" ht="19.5" customHeight="1">
      <c r="A58" s="1370"/>
      <c r="B58" s="1355"/>
      <c r="C58" s="1355"/>
      <c r="D58" s="1355" t="s">
        <v>1585</v>
      </c>
      <c r="E58" s="1355"/>
      <c r="F58" s="1355"/>
    </row>
    <row r="59" spans="1:8" s="1300" customFormat="1" ht="19.5" customHeight="1">
      <c r="A59" s="1360" t="s">
        <v>1586</v>
      </c>
      <c r="B59" s="1360" t="s">
        <v>1587</v>
      </c>
      <c r="C59" s="1360" t="s">
        <v>1588</v>
      </c>
      <c r="D59" s="1360" t="s">
        <v>1589</v>
      </c>
      <c r="E59" s="1360" t="s">
        <v>1415</v>
      </c>
      <c r="F59" s="1360" t="s">
        <v>1590</v>
      </c>
    </row>
    <row r="60" spans="1:8" s="1300" customFormat="1" ht="19.5" customHeight="1">
      <c r="A60" s="1360"/>
      <c r="B60" s="1360"/>
      <c r="C60" s="1360" t="s">
        <v>1591</v>
      </c>
      <c r="D60" s="1360"/>
      <c r="E60" s="1371" t="s">
        <v>138</v>
      </c>
      <c r="F60" s="1360" t="s">
        <v>138</v>
      </c>
    </row>
    <row r="61" spans="1:8" s="1300" customFormat="1" ht="24">
      <c r="A61" s="1360">
        <v>1</v>
      </c>
      <c r="B61" s="3395" t="s">
        <v>1592</v>
      </c>
      <c r="C61" s="1350" t="s">
        <v>1593</v>
      </c>
      <c r="D61" s="1350" t="s">
        <v>1594</v>
      </c>
      <c r="E61" s="1371">
        <v>0.5</v>
      </c>
      <c r="F61" s="1360">
        <v>80</v>
      </c>
      <c r="H61" s="1300">
        <f>SUMIF(C59:C119,基准地价!C8,E59:E119)</f>
        <v>0</v>
      </c>
    </row>
    <row r="62" spans="1:8" s="1300" customFormat="1" ht="24">
      <c r="A62" s="1360">
        <v>2</v>
      </c>
      <c r="B62" s="3395"/>
      <c r="C62" s="1350" t="s">
        <v>1595</v>
      </c>
      <c r="D62" s="1350" t="s">
        <v>1596</v>
      </c>
      <c r="E62" s="1371">
        <v>0.5</v>
      </c>
      <c r="F62" s="1360">
        <v>80</v>
      </c>
    </row>
    <row r="63" spans="1:8" s="1300" customFormat="1" ht="36">
      <c r="A63" s="1360">
        <v>3</v>
      </c>
      <c r="B63" s="3395"/>
      <c r="C63" s="1350" t="s">
        <v>1597</v>
      </c>
      <c r="D63" s="1350" t="s">
        <v>1598</v>
      </c>
      <c r="E63" s="1371">
        <v>0.5</v>
      </c>
      <c r="F63" s="1360">
        <v>80</v>
      </c>
    </row>
    <row r="64" spans="1:8" s="1300" customFormat="1" ht="36">
      <c r="A64" s="1360">
        <v>4</v>
      </c>
      <c r="B64" s="3395"/>
      <c r="C64" s="1350" t="s">
        <v>1599</v>
      </c>
      <c r="D64" s="1350" t="s">
        <v>1600</v>
      </c>
      <c r="E64" s="1371">
        <v>0.4</v>
      </c>
      <c r="F64" s="1360">
        <v>60</v>
      </c>
    </row>
    <row r="65" spans="1:6" s="1300" customFormat="1" ht="36">
      <c r="A65" s="1360">
        <v>5</v>
      </c>
      <c r="B65" s="3395"/>
      <c r="C65" s="1350" t="s">
        <v>1601</v>
      </c>
      <c r="D65" s="1350" t="s">
        <v>1602</v>
      </c>
      <c r="E65" s="1371">
        <v>0.2</v>
      </c>
      <c r="F65" s="1360">
        <v>30</v>
      </c>
    </row>
    <row r="66" spans="1:6" s="1300" customFormat="1" ht="36">
      <c r="A66" s="1360">
        <v>6</v>
      </c>
      <c r="B66" s="3395"/>
      <c r="C66" s="1350" t="s">
        <v>1603</v>
      </c>
      <c r="D66" s="1350" t="s">
        <v>1604</v>
      </c>
      <c r="E66" s="1371">
        <v>0.3</v>
      </c>
      <c r="F66" s="1360">
        <v>50</v>
      </c>
    </row>
    <row r="67" spans="1:6" s="1300" customFormat="1" ht="36">
      <c r="A67" s="1360">
        <v>7</v>
      </c>
      <c r="B67" s="3395"/>
      <c r="C67" s="1350" t="s">
        <v>1605</v>
      </c>
      <c r="D67" s="1350" t="s">
        <v>1606</v>
      </c>
      <c r="E67" s="1371">
        <v>0.2</v>
      </c>
      <c r="F67" s="1360">
        <v>30</v>
      </c>
    </row>
    <row r="68" spans="1:6" s="1300" customFormat="1" ht="36">
      <c r="A68" s="1360">
        <v>8</v>
      </c>
      <c r="B68" s="3395"/>
      <c r="C68" s="1350" t="s">
        <v>1607</v>
      </c>
      <c r="D68" s="1350" t="s">
        <v>1608</v>
      </c>
      <c r="E68" s="1371">
        <v>0.2</v>
      </c>
      <c r="F68" s="1360">
        <v>30</v>
      </c>
    </row>
    <row r="69" spans="1:6" s="1300" customFormat="1" ht="36">
      <c r="A69" s="1360">
        <v>9</v>
      </c>
      <c r="B69" s="3395"/>
      <c r="C69" s="1350" t="s">
        <v>1609</v>
      </c>
      <c r="D69" s="1350" t="s">
        <v>1610</v>
      </c>
      <c r="E69" s="1371">
        <v>0.2</v>
      </c>
      <c r="F69" s="1360">
        <v>30</v>
      </c>
    </row>
    <row r="70" spans="1:6" s="1300" customFormat="1" ht="48">
      <c r="A70" s="1360">
        <v>10</v>
      </c>
      <c r="B70" s="3395"/>
      <c r="C70" s="1350" t="s">
        <v>1611</v>
      </c>
      <c r="D70" s="1350" t="s">
        <v>1612</v>
      </c>
      <c r="E70" s="1371">
        <v>0.2</v>
      </c>
      <c r="F70" s="1360">
        <v>30</v>
      </c>
    </row>
    <row r="71" spans="1:6" s="1300" customFormat="1" ht="48">
      <c r="A71" s="1360">
        <v>11</v>
      </c>
      <c r="B71" s="3395"/>
      <c r="C71" s="1350" t="s">
        <v>1613</v>
      </c>
      <c r="D71" s="1350" t="s">
        <v>1614</v>
      </c>
      <c r="E71" s="1371">
        <v>0.2</v>
      </c>
      <c r="F71" s="1360">
        <v>30</v>
      </c>
    </row>
    <row r="72" spans="1:6" s="1300" customFormat="1" ht="36">
      <c r="A72" s="1360">
        <v>12</v>
      </c>
      <c r="B72" s="3395"/>
      <c r="C72" s="1350" t="s">
        <v>1615</v>
      </c>
      <c r="D72" s="1350" t="s">
        <v>1616</v>
      </c>
      <c r="E72" s="1371">
        <v>0.5</v>
      </c>
      <c r="F72" s="1360">
        <v>80</v>
      </c>
    </row>
    <row r="73" spans="1:6" s="1300" customFormat="1" ht="24">
      <c r="A73" s="1360">
        <v>13</v>
      </c>
      <c r="B73" s="3395"/>
      <c r="C73" s="1350" t="s">
        <v>1617</v>
      </c>
      <c r="D73" s="1350" t="s">
        <v>1618</v>
      </c>
      <c r="E73" s="1371">
        <v>0.4</v>
      </c>
      <c r="F73" s="1360">
        <v>60</v>
      </c>
    </row>
    <row r="74" spans="1:6" s="1300" customFormat="1" ht="24">
      <c r="A74" s="1360">
        <v>14</v>
      </c>
      <c r="B74" s="3395"/>
      <c r="C74" s="1350" t="s">
        <v>1619</v>
      </c>
      <c r="D74" s="1350" t="s">
        <v>1620</v>
      </c>
      <c r="E74" s="1371">
        <v>0.2</v>
      </c>
      <c r="F74" s="1360">
        <v>30</v>
      </c>
    </row>
    <row r="75" spans="1:6" s="1300" customFormat="1" ht="24">
      <c r="A75" s="1360">
        <v>15</v>
      </c>
      <c r="B75" s="3395"/>
      <c r="C75" s="1350" t="s">
        <v>1621</v>
      </c>
      <c r="D75" s="1350" t="s">
        <v>1622</v>
      </c>
      <c r="E75" s="1371">
        <v>0.2</v>
      </c>
      <c r="F75" s="1360">
        <v>30</v>
      </c>
    </row>
    <row r="76" spans="1:6" s="1300" customFormat="1" ht="24">
      <c r="A76" s="1360">
        <v>16</v>
      </c>
      <c r="B76" s="3395" t="s">
        <v>1623</v>
      </c>
      <c r="C76" s="1350" t="s">
        <v>1624</v>
      </c>
      <c r="D76" s="1350" t="s">
        <v>1625</v>
      </c>
      <c r="E76" s="1371">
        <v>0.5</v>
      </c>
      <c r="F76" s="1360">
        <v>80</v>
      </c>
    </row>
    <row r="77" spans="1:6" s="1300" customFormat="1" ht="24">
      <c r="A77" s="1360">
        <v>17</v>
      </c>
      <c r="B77" s="3395"/>
      <c r="C77" s="1350" t="s">
        <v>1626</v>
      </c>
      <c r="D77" s="1350" t="s">
        <v>1627</v>
      </c>
      <c r="E77" s="1371">
        <v>0.5</v>
      </c>
      <c r="F77" s="1360">
        <v>80</v>
      </c>
    </row>
    <row r="78" spans="1:6" s="1300" customFormat="1" ht="24">
      <c r="A78" s="1360">
        <v>18</v>
      </c>
      <c r="B78" s="3395"/>
      <c r="C78" s="1350" t="s">
        <v>1628</v>
      </c>
      <c r="D78" s="1350" t="s">
        <v>1629</v>
      </c>
      <c r="E78" s="1371">
        <v>0.2</v>
      </c>
      <c r="F78" s="1360">
        <v>30</v>
      </c>
    </row>
    <row r="79" spans="1:6" s="1300" customFormat="1" ht="24">
      <c r="A79" s="1360">
        <v>19</v>
      </c>
      <c r="B79" s="3395"/>
      <c r="C79" s="1350" t="s">
        <v>1630</v>
      </c>
      <c r="D79" s="1350" t="s">
        <v>1631</v>
      </c>
      <c r="E79" s="1371">
        <v>0.5</v>
      </c>
      <c r="F79" s="1360">
        <v>80</v>
      </c>
    </row>
    <row r="80" spans="1:6" s="1300" customFormat="1" ht="36">
      <c r="A80" s="1360">
        <v>20</v>
      </c>
      <c r="B80" s="3395"/>
      <c r="C80" s="1350" t="s">
        <v>1632</v>
      </c>
      <c r="D80" s="1350" t="s">
        <v>1633</v>
      </c>
      <c r="E80" s="1371">
        <v>0.2</v>
      </c>
      <c r="F80" s="1360">
        <v>30</v>
      </c>
    </row>
    <row r="81" spans="1:6" s="1300" customFormat="1" ht="36">
      <c r="A81" s="1360">
        <v>21</v>
      </c>
      <c r="B81" s="3395"/>
      <c r="C81" s="1350" t="s">
        <v>1634</v>
      </c>
      <c r="D81" s="1350" t="s">
        <v>1635</v>
      </c>
      <c r="E81" s="1371">
        <v>0.2</v>
      </c>
      <c r="F81" s="1360">
        <v>30</v>
      </c>
    </row>
    <row r="82" spans="1:6" s="1300" customFormat="1" ht="48">
      <c r="A82" s="1360">
        <v>22</v>
      </c>
      <c r="B82" s="3395"/>
      <c r="C82" s="1350" t="s">
        <v>1636</v>
      </c>
      <c r="D82" s="1350" t="s">
        <v>1637</v>
      </c>
      <c r="E82" s="1371">
        <v>0.2</v>
      </c>
      <c r="F82" s="1360">
        <v>30</v>
      </c>
    </row>
    <row r="83" spans="1:6" s="1300" customFormat="1" ht="48">
      <c r="A83" s="1360">
        <v>23</v>
      </c>
      <c r="B83" s="3395"/>
      <c r="C83" s="1350" t="s">
        <v>1638</v>
      </c>
      <c r="D83" s="1350" t="s">
        <v>1639</v>
      </c>
      <c r="E83" s="1371">
        <v>0.2</v>
      </c>
      <c r="F83" s="1360">
        <v>30</v>
      </c>
    </row>
    <row r="84" spans="1:6" s="1300" customFormat="1" ht="36">
      <c r="A84" s="1360">
        <v>24</v>
      </c>
      <c r="B84" s="3395"/>
      <c r="C84" s="1350" t="s">
        <v>1640</v>
      </c>
      <c r="D84" s="1350" t="s">
        <v>1641</v>
      </c>
      <c r="E84" s="1371">
        <v>0.2</v>
      </c>
      <c r="F84" s="1360">
        <v>30</v>
      </c>
    </row>
    <row r="85" spans="1:6" s="1300" customFormat="1" ht="36">
      <c r="A85" s="1360">
        <v>25</v>
      </c>
      <c r="B85" s="3395"/>
      <c r="C85" s="1350" t="s">
        <v>1642</v>
      </c>
      <c r="D85" s="1350" t="s">
        <v>1643</v>
      </c>
      <c r="E85" s="1371">
        <v>0.5</v>
      </c>
      <c r="F85" s="1360">
        <v>80</v>
      </c>
    </row>
    <row r="86" spans="1:6" s="1300" customFormat="1" ht="36">
      <c r="A86" s="1360">
        <v>26</v>
      </c>
      <c r="B86" s="3395"/>
      <c r="C86" s="1350" t="s">
        <v>1644</v>
      </c>
      <c r="D86" s="1350" t="s">
        <v>1645</v>
      </c>
      <c r="E86" s="1371">
        <v>0.2</v>
      </c>
      <c r="F86" s="1360">
        <v>30</v>
      </c>
    </row>
    <row r="87" spans="1:6" s="1300" customFormat="1" ht="36">
      <c r="A87" s="1360">
        <v>27</v>
      </c>
      <c r="B87" s="3395"/>
      <c r="C87" s="1350" t="s">
        <v>1646</v>
      </c>
      <c r="D87" s="1350" t="s">
        <v>1647</v>
      </c>
      <c r="E87" s="1371">
        <v>0.2</v>
      </c>
      <c r="F87" s="1360">
        <v>30</v>
      </c>
    </row>
    <row r="88" spans="1:6" s="1300" customFormat="1" ht="36">
      <c r="A88" s="1360">
        <v>28</v>
      </c>
      <c r="B88" s="3395"/>
      <c r="C88" s="1350" t="s">
        <v>1648</v>
      </c>
      <c r="D88" s="1350" t="s">
        <v>1649</v>
      </c>
      <c r="E88" s="1371">
        <v>0.2</v>
      </c>
      <c r="F88" s="1360">
        <v>30</v>
      </c>
    </row>
    <row r="89" spans="1:6" s="1300" customFormat="1" ht="24">
      <c r="A89" s="1360">
        <v>29</v>
      </c>
      <c r="B89" s="3395"/>
      <c r="C89" s="1350" t="s">
        <v>1650</v>
      </c>
      <c r="D89" s="1350" t="s">
        <v>1651</v>
      </c>
      <c r="E89" s="1371">
        <v>0.2</v>
      </c>
      <c r="F89" s="1360">
        <v>30</v>
      </c>
    </row>
    <row r="90" spans="1:6" s="1300" customFormat="1" ht="24">
      <c r="A90" s="1360">
        <v>30</v>
      </c>
      <c r="B90" s="3395"/>
      <c r="C90" s="1350" t="s">
        <v>1652</v>
      </c>
      <c r="D90" s="1350" t="s">
        <v>1653</v>
      </c>
      <c r="E90" s="1371">
        <v>0.2</v>
      </c>
      <c r="F90" s="1360">
        <v>30</v>
      </c>
    </row>
    <row r="91" spans="1:6" s="1300" customFormat="1" ht="36">
      <c r="A91" s="1360">
        <v>31</v>
      </c>
      <c r="B91" s="3395"/>
      <c r="C91" s="1350" t="s">
        <v>1654</v>
      </c>
      <c r="D91" s="1350" t="s">
        <v>1655</v>
      </c>
      <c r="E91" s="1371">
        <v>0.2</v>
      </c>
      <c r="F91" s="1360">
        <v>30</v>
      </c>
    </row>
    <row r="92" spans="1:6" s="1300" customFormat="1" ht="24">
      <c r="A92" s="1360">
        <v>32</v>
      </c>
      <c r="B92" s="3395" t="s">
        <v>1656</v>
      </c>
      <c r="C92" s="1360" t="s">
        <v>1657</v>
      </c>
      <c r="D92" s="1350" t="s">
        <v>1658</v>
      </c>
      <c r="E92" s="1371">
        <v>0.2</v>
      </c>
      <c r="F92" s="1360">
        <v>30</v>
      </c>
    </row>
    <row r="93" spans="1:6" s="1300" customFormat="1" ht="36">
      <c r="A93" s="1360">
        <v>33</v>
      </c>
      <c r="B93" s="3395"/>
      <c r="C93" s="1360" t="s">
        <v>1659</v>
      </c>
      <c r="D93" s="1350" t="s">
        <v>1660</v>
      </c>
      <c r="E93" s="1371">
        <v>0.2</v>
      </c>
      <c r="F93" s="1360">
        <v>30</v>
      </c>
    </row>
    <row r="94" spans="1:6" s="1300" customFormat="1" ht="48">
      <c r="A94" s="1360">
        <v>34</v>
      </c>
      <c r="B94" s="3395"/>
      <c r="C94" s="1360" t="s">
        <v>1661</v>
      </c>
      <c r="D94" s="1350" t="s">
        <v>1662</v>
      </c>
      <c r="E94" s="1371">
        <v>0.2</v>
      </c>
      <c r="F94" s="1360">
        <v>30</v>
      </c>
    </row>
    <row r="95" spans="1:6" s="1300" customFormat="1" ht="36">
      <c r="A95" s="1360">
        <v>35</v>
      </c>
      <c r="B95" s="3395"/>
      <c r="C95" s="1360" t="s">
        <v>1663</v>
      </c>
      <c r="D95" s="1350" t="s">
        <v>1664</v>
      </c>
      <c r="E95" s="1371">
        <v>0.2</v>
      </c>
      <c r="F95" s="1360">
        <v>30</v>
      </c>
    </row>
    <row r="96" spans="1:6" s="1300" customFormat="1" ht="48">
      <c r="A96" s="1360">
        <v>36</v>
      </c>
      <c r="B96" s="3395"/>
      <c r="C96" s="1350" t="s">
        <v>1665</v>
      </c>
      <c r="D96" s="1350" t="s">
        <v>1666</v>
      </c>
      <c r="E96" s="1371">
        <v>0.2</v>
      </c>
      <c r="F96" s="1360">
        <v>30</v>
      </c>
    </row>
    <row r="97" spans="1:6" s="1300" customFormat="1" ht="36">
      <c r="A97" s="1360">
        <v>37</v>
      </c>
      <c r="B97" s="3395"/>
      <c r="C97" s="1360" t="s">
        <v>1667</v>
      </c>
      <c r="D97" s="1350" t="s">
        <v>1668</v>
      </c>
      <c r="E97" s="1371">
        <v>0.2</v>
      </c>
      <c r="F97" s="1360">
        <v>30</v>
      </c>
    </row>
    <row r="98" spans="1:6" s="1300" customFormat="1" ht="36">
      <c r="A98" s="1360">
        <v>38</v>
      </c>
      <c r="B98" s="3395"/>
      <c r="C98" s="1360" t="s">
        <v>1669</v>
      </c>
      <c r="D98" s="1350" t="s">
        <v>1670</v>
      </c>
      <c r="E98" s="1371">
        <v>0.2</v>
      </c>
      <c r="F98" s="1360">
        <v>30</v>
      </c>
    </row>
    <row r="99" spans="1:6" s="1300" customFormat="1" ht="36">
      <c r="A99" s="1360">
        <v>39</v>
      </c>
      <c r="B99" s="3395" t="s">
        <v>1671</v>
      </c>
      <c r="C99" s="1360" t="s">
        <v>1672</v>
      </c>
      <c r="D99" s="1350" t="s">
        <v>1673</v>
      </c>
      <c r="E99" s="1371">
        <v>0.3</v>
      </c>
      <c r="F99" s="1360">
        <v>50</v>
      </c>
    </row>
    <row r="100" spans="1:6" s="1300" customFormat="1" ht="24">
      <c r="A100" s="1360">
        <v>40</v>
      </c>
      <c r="B100" s="3395"/>
      <c r="C100" s="1360" t="s">
        <v>1674</v>
      </c>
      <c r="D100" s="1350" t="s">
        <v>1675</v>
      </c>
      <c r="E100" s="1371">
        <v>0.2</v>
      </c>
      <c r="F100" s="1360">
        <v>30</v>
      </c>
    </row>
    <row r="101" spans="1:6" s="1300" customFormat="1" ht="36">
      <c r="A101" s="1360">
        <v>41</v>
      </c>
      <c r="B101" s="3395"/>
      <c r="C101" s="1360" t="s">
        <v>1676</v>
      </c>
      <c r="D101" s="1350" t="s">
        <v>1673</v>
      </c>
      <c r="E101" s="1371">
        <v>0.2</v>
      </c>
      <c r="F101" s="1360">
        <v>30</v>
      </c>
    </row>
    <row r="102" spans="1:6" s="1300" customFormat="1" ht="48">
      <c r="A102" s="1360">
        <v>42</v>
      </c>
      <c r="B102" s="1360" t="s">
        <v>1677</v>
      </c>
      <c r="C102" s="1350" t="s">
        <v>1678</v>
      </c>
      <c r="D102" s="1350" t="s">
        <v>1679</v>
      </c>
      <c r="E102" s="1371">
        <v>0.2</v>
      </c>
      <c r="F102" s="1360">
        <v>30</v>
      </c>
    </row>
    <row r="103" spans="1:6" s="1300" customFormat="1" ht="24">
      <c r="A103" s="1360">
        <v>43</v>
      </c>
      <c r="B103" s="1360" t="s">
        <v>1680</v>
      </c>
      <c r="C103" s="1360" t="s">
        <v>1681</v>
      </c>
      <c r="D103" s="1350" t="s">
        <v>1682</v>
      </c>
      <c r="E103" s="1371">
        <v>0.2</v>
      </c>
      <c r="F103" s="1360">
        <v>30</v>
      </c>
    </row>
    <row r="104" spans="1:6" s="1300" customFormat="1" ht="36">
      <c r="A104" s="1360">
        <v>44</v>
      </c>
      <c r="B104" s="1360" t="s">
        <v>1683</v>
      </c>
      <c r="C104" s="1360" t="s">
        <v>1684</v>
      </c>
      <c r="D104" s="1350" t="s">
        <v>1685</v>
      </c>
      <c r="E104" s="1371">
        <v>0.2</v>
      </c>
      <c r="F104" s="1360">
        <v>30</v>
      </c>
    </row>
    <row r="105" spans="1:6" s="1300" customFormat="1" ht="36">
      <c r="A105" s="1360">
        <v>45</v>
      </c>
      <c r="B105" s="3395" t="s">
        <v>1686</v>
      </c>
      <c r="C105" s="1360" t="s">
        <v>1687</v>
      </c>
      <c r="D105" s="1350" t="s">
        <v>1688</v>
      </c>
      <c r="E105" s="1371">
        <v>0.2</v>
      </c>
      <c r="F105" s="1360">
        <v>30</v>
      </c>
    </row>
    <row r="106" spans="1:6" s="1300" customFormat="1" ht="36">
      <c r="A106" s="1360">
        <v>46</v>
      </c>
      <c r="B106" s="3395"/>
      <c r="C106" s="1360" t="s">
        <v>1689</v>
      </c>
      <c r="D106" s="1350" t="s">
        <v>1690</v>
      </c>
      <c r="E106" s="1371">
        <v>0.2</v>
      </c>
      <c r="F106" s="1360">
        <v>30</v>
      </c>
    </row>
    <row r="107" spans="1:6" s="1300" customFormat="1" ht="36">
      <c r="A107" s="1360">
        <v>47</v>
      </c>
      <c r="B107" s="3395" t="s">
        <v>1691</v>
      </c>
      <c r="C107" s="1360" t="s">
        <v>1692</v>
      </c>
      <c r="D107" s="1350" t="s">
        <v>1693</v>
      </c>
      <c r="E107" s="1371">
        <v>0.3</v>
      </c>
      <c r="F107" s="1360">
        <v>50</v>
      </c>
    </row>
    <row r="108" spans="1:6" s="1300" customFormat="1" ht="36">
      <c r="A108" s="1360">
        <v>48</v>
      </c>
      <c r="B108" s="3395"/>
      <c r="C108" s="1360" t="s">
        <v>1694</v>
      </c>
      <c r="D108" s="1350" t="s">
        <v>1695</v>
      </c>
      <c r="E108" s="1371">
        <v>0.2</v>
      </c>
      <c r="F108" s="1360">
        <v>30</v>
      </c>
    </row>
    <row r="109" spans="1:6" s="1300" customFormat="1" ht="36">
      <c r="A109" s="1360">
        <v>49</v>
      </c>
      <c r="B109" s="1360" t="s">
        <v>1696</v>
      </c>
      <c r="C109" s="1360" t="s">
        <v>1697</v>
      </c>
      <c r="D109" s="1350" t="s">
        <v>1698</v>
      </c>
      <c r="E109" s="1371">
        <v>0.2</v>
      </c>
      <c r="F109" s="1360">
        <v>30</v>
      </c>
    </row>
    <row r="110" spans="1:6" s="1300" customFormat="1" ht="36">
      <c r="A110" s="1360">
        <v>50</v>
      </c>
      <c r="B110" s="1360" t="s">
        <v>1699</v>
      </c>
      <c r="C110" s="1360" t="s">
        <v>1700</v>
      </c>
      <c r="D110" s="1350" t="s">
        <v>1701</v>
      </c>
      <c r="E110" s="1371">
        <v>0.2</v>
      </c>
      <c r="F110" s="1360">
        <v>30</v>
      </c>
    </row>
    <row r="111" spans="1:6" s="1300" customFormat="1" ht="36">
      <c r="A111" s="1360">
        <v>51</v>
      </c>
      <c r="B111" s="3395" t="s">
        <v>1702</v>
      </c>
      <c r="C111" s="1360" t="s">
        <v>1703</v>
      </c>
      <c r="D111" s="1350" t="s">
        <v>1704</v>
      </c>
      <c r="E111" s="1371">
        <v>0.2</v>
      </c>
      <c r="F111" s="1360">
        <v>30</v>
      </c>
    </row>
    <row r="112" spans="1:6" s="1300" customFormat="1" ht="24">
      <c r="A112" s="1360">
        <v>52</v>
      </c>
      <c r="B112" s="3395"/>
      <c r="C112" s="1360" t="s">
        <v>1705</v>
      </c>
      <c r="D112" s="1350" t="s">
        <v>1706</v>
      </c>
      <c r="E112" s="1371">
        <v>0.2</v>
      </c>
      <c r="F112" s="1360">
        <v>30</v>
      </c>
    </row>
    <row r="113" spans="1:14" s="1300" customFormat="1" ht="24">
      <c r="A113" s="1360">
        <v>53</v>
      </c>
      <c r="B113" s="3395"/>
      <c r="C113" s="1360" t="s">
        <v>1707</v>
      </c>
      <c r="D113" s="1350" t="s">
        <v>1708</v>
      </c>
      <c r="E113" s="1371">
        <v>0.2</v>
      </c>
      <c r="F113" s="1360">
        <v>30</v>
      </c>
    </row>
    <row r="114" spans="1:14" ht="36">
      <c r="A114" s="1360">
        <v>54</v>
      </c>
      <c r="B114" s="1360" t="s">
        <v>1709</v>
      </c>
      <c r="C114" s="1360" t="s">
        <v>1710</v>
      </c>
      <c r="D114" s="1350" t="s">
        <v>1711</v>
      </c>
      <c r="E114" s="1371">
        <v>0.2</v>
      </c>
      <c r="F114" s="1360">
        <v>30</v>
      </c>
    </row>
    <row r="115" spans="1:14" ht="24">
      <c r="A115" s="1360">
        <v>55</v>
      </c>
      <c r="B115" s="1360" t="s">
        <v>1712</v>
      </c>
      <c r="C115" s="1360" t="s">
        <v>1713</v>
      </c>
      <c r="D115" s="1350" t="s">
        <v>1714</v>
      </c>
      <c r="E115" s="1371">
        <v>0.2</v>
      </c>
      <c r="F115" s="1360">
        <v>30</v>
      </c>
    </row>
    <row r="116" spans="1:14" ht="24">
      <c r="A116" s="1360">
        <v>56</v>
      </c>
      <c r="B116" s="3395" t="s">
        <v>1715</v>
      </c>
      <c r="C116" s="1360" t="s">
        <v>1716</v>
      </c>
      <c r="D116" s="1350" t="s">
        <v>1717</v>
      </c>
      <c r="E116" s="1371">
        <v>0.2</v>
      </c>
      <c r="F116" s="1360">
        <v>30</v>
      </c>
    </row>
    <row r="117" spans="1:14" ht="36">
      <c r="A117" s="1360">
        <v>57</v>
      </c>
      <c r="B117" s="3395"/>
      <c r="C117" s="1360" t="s">
        <v>1718</v>
      </c>
      <c r="D117" s="1350" t="s">
        <v>1719</v>
      </c>
      <c r="E117" s="1371">
        <v>0.2</v>
      </c>
      <c r="F117" s="1360">
        <v>30</v>
      </c>
    </row>
    <row r="118" spans="1:14" ht="36">
      <c r="A118" s="1360">
        <v>58</v>
      </c>
      <c r="B118" s="1360" t="s">
        <v>1720</v>
      </c>
      <c r="C118" s="1360" t="s">
        <v>1721</v>
      </c>
      <c r="D118" s="1350" t="s">
        <v>1722</v>
      </c>
      <c r="E118" s="1371">
        <v>0.2</v>
      </c>
      <c r="F118" s="1360">
        <v>30</v>
      </c>
    </row>
    <row r="119" spans="1:14" ht="13.5">
      <c r="A119" s="1360"/>
      <c r="B119" s="1360"/>
      <c r="C119" s="1360"/>
      <c r="D119" s="1360"/>
      <c r="E119" s="1371"/>
      <c r="F119" s="1360"/>
    </row>
    <row r="121" spans="1:14" ht="19.5" customHeight="1">
      <c r="A121" s="3385" t="s">
        <v>1516</v>
      </c>
      <c r="B121" s="3385"/>
      <c r="C121" s="3385"/>
      <c r="D121" s="3385"/>
      <c r="E121" s="3385"/>
      <c r="F121" s="3385"/>
      <c r="G121" s="3385"/>
      <c r="H121" s="3385"/>
      <c r="I121" s="3385"/>
      <c r="J121" s="3385"/>
      <c r="K121" s="1378"/>
      <c r="L121" s="1378"/>
      <c r="M121" s="1378"/>
      <c r="N121" s="137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402" t="s">
        <v>1723</v>
      </c>
      <c r="B1" s="3402"/>
      <c r="C1" s="3402"/>
      <c r="D1" s="3402"/>
      <c r="E1" s="3402"/>
      <c r="F1" s="3402"/>
      <c r="H1" s="1298"/>
      <c r="I1" s="1330" t="s">
        <v>240</v>
      </c>
      <c r="J1" s="1331" t="s">
        <v>253</v>
      </c>
      <c r="K1" s="1331" t="s">
        <v>265</v>
      </c>
      <c r="L1" s="1331" t="s">
        <v>275</v>
      </c>
      <c r="M1" s="1331" t="s">
        <v>284</v>
      </c>
      <c r="N1" s="1331" t="s">
        <v>292</v>
      </c>
      <c r="O1" s="1331" t="s">
        <v>297</v>
      </c>
      <c r="P1" s="1331" t="s">
        <v>302</v>
      </c>
      <c r="Q1" s="1331" t="s">
        <v>305</v>
      </c>
      <c r="R1" s="1331" t="s">
        <v>308</v>
      </c>
      <c r="S1" s="1331" t="s">
        <v>311</v>
      </c>
      <c r="T1" s="1333" t="s">
        <v>314</v>
      </c>
    </row>
    <row r="2" spans="1:20">
      <c r="A2" s="3403" t="s">
        <v>1724</v>
      </c>
      <c r="B2" s="3403"/>
      <c r="C2" s="3403"/>
      <c r="D2" s="3403"/>
      <c r="E2" s="3403"/>
      <c r="F2" s="3403"/>
      <c r="I2" s="1332" t="s">
        <v>1725</v>
      </c>
      <c r="J2" s="1312" t="s">
        <v>1726</v>
      </c>
      <c r="K2" s="1312" t="s">
        <v>1727</v>
      </c>
      <c r="L2" s="1312" t="s">
        <v>1728</v>
      </c>
      <c r="M2" s="1312" t="s">
        <v>1729</v>
      </c>
      <c r="N2" s="1312" t="s">
        <v>1730</v>
      </c>
      <c r="O2" s="1312" t="s">
        <v>1731</v>
      </c>
      <c r="P2" s="1312" t="s">
        <v>1732</v>
      </c>
      <c r="Q2" s="1312" t="s">
        <v>1733</v>
      </c>
      <c r="R2" s="1312" t="s">
        <v>1734</v>
      </c>
      <c r="S2" s="1312" t="s">
        <v>1735</v>
      </c>
      <c r="T2" s="1312" t="s">
        <v>1736</v>
      </c>
    </row>
    <row r="3" spans="1:20" s="1298" customFormat="1" ht="19.5" customHeight="1">
      <c r="A3" s="3404" t="s">
        <v>1737</v>
      </c>
      <c r="B3" s="1302"/>
      <c r="C3" s="1303" t="s">
        <v>370</v>
      </c>
      <c r="D3" s="1303" t="s">
        <v>371</v>
      </c>
      <c r="E3" s="1303" t="s">
        <v>369</v>
      </c>
      <c r="F3" s="1303" t="s">
        <v>164</v>
      </c>
      <c r="G3" s="1304"/>
      <c r="I3" s="1332" t="s">
        <v>1738</v>
      </c>
      <c r="J3" s="1312" t="s">
        <v>1739</v>
      </c>
      <c r="K3" s="1312" t="s">
        <v>1740</v>
      </c>
      <c r="L3" s="1312" t="s">
        <v>1741</v>
      </c>
      <c r="M3" s="1312" t="s">
        <v>1742</v>
      </c>
      <c r="N3" s="1312" t="s">
        <v>1743</v>
      </c>
      <c r="O3" s="1312" t="s">
        <v>1744</v>
      </c>
      <c r="P3" s="1312" t="s">
        <v>1745</v>
      </c>
      <c r="Q3" s="1312" t="s">
        <v>1746</v>
      </c>
      <c r="R3" s="1312" t="s">
        <v>1747</v>
      </c>
      <c r="S3" s="1312" t="s">
        <v>1748</v>
      </c>
      <c r="T3" s="1312" t="s">
        <v>1749</v>
      </c>
    </row>
    <row r="4" spans="1:20" s="1298" customFormat="1" ht="19.5" customHeight="1">
      <c r="A4" s="3405"/>
      <c r="B4" s="1305" t="s">
        <v>418</v>
      </c>
      <c r="C4" s="1305" t="s">
        <v>1750</v>
      </c>
      <c r="D4" s="1305" t="s">
        <v>1750</v>
      </c>
      <c r="E4" s="1305" t="s">
        <v>1750</v>
      </c>
      <c r="F4" s="1306" t="s">
        <v>1750</v>
      </c>
      <c r="G4" s="1304"/>
      <c r="I4" s="1332" t="s">
        <v>1751</v>
      </c>
      <c r="J4" s="1312" t="s">
        <v>1752</v>
      </c>
      <c r="K4" s="1312" t="s">
        <v>1753</v>
      </c>
      <c r="L4" s="1312" t="s">
        <v>1754</v>
      </c>
      <c r="M4" s="1312" t="s">
        <v>1755</v>
      </c>
      <c r="N4" s="1312" t="s">
        <v>1756</v>
      </c>
      <c r="O4" s="1312" t="s">
        <v>1757</v>
      </c>
      <c r="P4" s="1312" t="s">
        <v>1758</v>
      </c>
      <c r="Q4" s="1312" t="s">
        <v>1759</v>
      </c>
      <c r="R4" s="1312" t="s">
        <v>1760</v>
      </c>
      <c r="S4" s="1312" t="s">
        <v>1761</v>
      </c>
      <c r="T4" s="1312" t="s">
        <v>1762</v>
      </c>
    </row>
    <row r="5" spans="1:20" ht="14.25" customHeight="1">
      <c r="A5" s="1307" t="s">
        <v>240</v>
      </c>
      <c r="B5" s="1308" t="s">
        <v>1725</v>
      </c>
      <c r="C5" s="1308">
        <v>29530</v>
      </c>
      <c r="D5" s="1308">
        <v>28130</v>
      </c>
      <c r="E5" s="1308">
        <v>27930</v>
      </c>
      <c r="F5" s="1309">
        <v>11300</v>
      </c>
      <c r="G5" s="1310" t="s">
        <v>240</v>
      </c>
      <c r="H5" s="1311">
        <f>SUMPRODUCT((B5:B9=基准地价!I2)*(C3:F3=基准地价!E2)*(C5:F9))</f>
        <v>0</v>
      </c>
      <c r="I5" s="1332" t="s">
        <v>1763</v>
      </c>
      <c r="J5" s="1312" t="s">
        <v>1764</v>
      </c>
      <c r="K5" s="1312" t="s">
        <v>1765</v>
      </c>
      <c r="L5" s="1312" t="s">
        <v>1766</v>
      </c>
      <c r="M5" s="1312" t="s">
        <v>1767</v>
      </c>
      <c r="N5" s="1312" t="s">
        <v>1768</v>
      </c>
      <c r="O5" s="1312" t="s">
        <v>1769</v>
      </c>
      <c r="P5" s="1312" t="s">
        <v>1770</v>
      </c>
      <c r="Q5" s="1312" t="s">
        <v>1771</v>
      </c>
      <c r="R5" s="1312" t="s">
        <v>1772</v>
      </c>
      <c r="S5" s="1312" t="s">
        <v>1773</v>
      </c>
      <c r="T5" s="1312" t="s">
        <v>1774</v>
      </c>
    </row>
    <row r="6" spans="1:20" ht="14.25" customHeight="1">
      <c r="A6" s="1307" t="s">
        <v>240</v>
      </c>
      <c r="B6" s="1312" t="s">
        <v>1738</v>
      </c>
      <c r="C6" s="1312">
        <v>30290</v>
      </c>
      <c r="D6" s="1312">
        <v>29210</v>
      </c>
      <c r="E6" s="1312">
        <v>28860</v>
      </c>
      <c r="F6" s="1313">
        <v>12600</v>
      </c>
      <c r="G6" s="1314" t="s">
        <v>253</v>
      </c>
      <c r="H6" s="1315">
        <f>SUMPRODUCT((B10:B28=基准地价!I2)*(C3:F3=基准地价!E2)*(C10:F28))</f>
        <v>0</v>
      </c>
      <c r="I6" s="1332" t="s">
        <v>1775</v>
      </c>
      <c r="J6" s="1312" t="s">
        <v>1776</v>
      </c>
      <c r="K6" s="1312" t="s">
        <v>1777</v>
      </c>
      <c r="L6" s="1312" t="s">
        <v>1778</v>
      </c>
      <c r="M6" s="1312" t="s">
        <v>1779</v>
      </c>
      <c r="N6" s="1312" t="s">
        <v>1780</v>
      </c>
      <c r="O6" s="1312" t="s">
        <v>1781</v>
      </c>
      <c r="P6" s="1312" t="s">
        <v>1782</v>
      </c>
      <c r="Q6" s="1312" t="s">
        <v>1783</v>
      </c>
      <c r="R6" s="1312" t="s">
        <v>1784</v>
      </c>
      <c r="S6" s="1312" t="s">
        <v>1785</v>
      </c>
      <c r="T6" s="1312" t="s">
        <v>1786</v>
      </c>
    </row>
    <row r="7" spans="1:20" ht="14.25" customHeight="1">
      <c r="A7" s="1307" t="s">
        <v>240</v>
      </c>
      <c r="B7" s="1316" t="s">
        <v>1751</v>
      </c>
      <c r="C7" s="1312">
        <v>29350</v>
      </c>
      <c r="D7" s="1312">
        <v>28410</v>
      </c>
      <c r="E7" s="1312">
        <v>27990</v>
      </c>
      <c r="F7" s="1313">
        <v>12300</v>
      </c>
      <c r="G7" s="1314" t="s">
        <v>265</v>
      </c>
      <c r="H7" s="1315">
        <f>SUMPRODUCT((B29:B48=基准地价!I2)*(C3:F3=基准地价!E2)*(C29:F48))</f>
        <v>0</v>
      </c>
      <c r="J7" s="1312" t="s">
        <v>1787</v>
      </c>
      <c r="K7" s="1312" t="s">
        <v>1788</v>
      </c>
      <c r="L7" s="1312" t="s">
        <v>1789</v>
      </c>
      <c r="M7" s="1312" t="s">
        <v>1790</v>
      </c>
      <c r="N7" s="1312" t="s">
        <v>1791</v>
      </c>
      <c r="O7" s="1312" t="s">
        <v>1792</v>
      </c>
      <c r="P7" s="1312" t="s">
        <v>1793</v>
      </c>
      <c r="Q7" s="1312" t="s">
        <v>1794</v>
      </c>
      <c r="R7" s="1312" t="s">
        <v>1795</v>
      </c>
      <c r="S7" s="1312" t="s">
        <v>1796</v>
      </c>
      <c r="T7" s="1316" t="s">
        <v>1797</v>
      </c>
    </row>
    <row r="8" spans="1:20" ht="14.25" customHeight="1">
      <c r="A8" s="1307" t="s">
        <v>240</v>
      </c>
      <c r="B8" s="1312" t="s">
        <v>1763</v>
      </c>
      <c r="C8" s="1312">
        <v>30890</v>
      </c>
      <c r="D8" s="1312">
        <v>29780</v>
      </c>
      <c r="E8" s="1312">
        <v>29270</v>
      </c>
      <c r="F8" s="1313">
        <v>11600</v>
      </c>
      <c r="G8" s="1314" t="s">
        <v>275</v>
      </c>
      <c r="H8" s="1315">
        <f>SUMPRODUCT((B49:B75=基准地价!I2)*(C3:F3=基准地价!E2)*(C49:F75))</f>
        <v>0</v>
      </c>
      <c r="J8" s="1312" t="s">
        <v>1798</v>
      </c>
      <c r="K8" s="1312" t="s">
        <v>1799</v>
      </c>
      <c r="L8" s="1312" t="s">
        <v>1800</v>
      </c>
      <c r="M8" s="1312" t="s">
        <v>1801</v>
      </c>
      <c r="N8" s="1312" t="s">
        <v>1802</v>
      </c>
      <c r="O8" s="1312" t="s">
        <v>1803</v>
      </c>
      <c r="P8" s="1312" t="s">
        <v>1804</v>
      </c>
      <c r="Q8" s="1312" t="s">
        <v>1805</v>
      </c>
      <c r="R8" s="1312" t="s">
        <v>1806</v>
      </c>
      <c r="S8" s="1312" t="s">
        <v>1807</v>
      </c>
      <c r="T8" s="1312" t="s">
        <v>1808</v>
      </c>
    </row>
    <row r="9" spans="1:20" ht="14.25" customHeight="1">
      <c r="A9" s="1307" t="s">
        <v>240</v>
      </c>
      <c r="B9" s="1317" t="s">
        <v>1775</v>
      </c>
      <c r="C9" s="1318">
        <v>28140</v>
      </c>
      <c r="D9" s="1318"/>
      <c r="E9" s="1318"/>
      <c r="F9" s="1319"/>
      <c r="G9" s="1314" t="s">
        <v>284</v>
      </c>
      <c r="H9" s="1315">
        <f>SUMPRODUCT((B76:B109=基准地价!I2)*(C3:F3=基准地价!E2)*(C76:F109))</f>
        <v>0</v>
      </c>
      <c r="J9" s="1312" t="s">
        <v>1809</v>
      </c>
      <c r="K9" s="1312" t="s">
        <v>1810</v>
      </c>
      <c r="L9" s="1312" t="s">
        <v>1811</v>
      </c>
      <c r="M9" s="1312" t="s">
        <v>1812</v>
      </c>
      <c r="N9" s="1312" t="s">
        <v>1813</v>
      </c>
      <c r="O9" s="1312" t="s">
        <v>1814</v>
      </c>
      <c r="P9" s="1312" t="s">
        <v>1815</v>
      </c>
      <c r="Q9" s="1312" t="s">
        <v>1816</v>
      </c>
      <c r="R9" s="1312" t="s">
        <v>1817</v>
      </c>
      <c r="S9" s="1312" t="s">
        <v>1818</v>
      </c>
    </row>
    <row r="10" spans="1:20" ht="14.25" customHeight="1">
      <c r="A10" s="1307" t="s">
        <v>253</v>
      </c>
      <c r="B10" s="1308" t="s">
        <v>1726</v>
      </c>
      <c r="C10" s="1308">
        <v>27450</v>
      </c>
      <c r="D10" s="1308">
        <v>26180</v>
      </c>
      <c r="E10" s="1308">
        <v>25980</v>
      </c>
      <c r="F10" s="1309">
        <v>8910</v>
      </c>
      <c r="G10" s="1314" t="s">
        <v>292</v>
      </c>
      <c r="H10" s="1315">
        <f>SUMPRODUCT((B110:B157=基准地价!I2)*(C3:F3=基准地价!E2)*(C110:F157))</f>
        <v>0</v>
      </c>
      <c r="J10" s="1312" t="s">
        <v>1819</v>
      </c>
      <c r="K10" s="1312" t="s">
        <v>1820</v>
      </c>
      <c r="L10" s="1312" t="s">
        <v>1821</v>
      </c>
      <c r="M10" s="1312" t="s">
        <v>1822</v>
      </c>
      <c r="N10" s="1312" t="s">
        <v>1823</v>
      </c>
      <c r="O10" s="1312" t="s">
        <v>1824</v>
      </c>
      <c r="P10" s="1312" t="s">
        <v>1825</v>
      </c>
      <c r="Q10" s="1312" t="s">
        <v>1826</v>
      </c>
      <c r="R10" s="1312" t="s">
        <v>1827</v>
      </c>
      <c r="S10" s="1312" t="s">
        <v>1828</v>
      </c>
    </row>
    <row r="11" spans="1:20" ht="14.25" customHeight="1">
      <c r="A11" s="1307" t="s">
        <v>253</v>
      </c>
      <c r="B11" s="1316" t="s">
        <v>1739</v>
      </c>
      <c r="C11" s="1312">
        <v>22950</v>
      </c>
      <c r="D11" s="1312">
        <v>22630</v>
      </c>
      <c r="E11" s="1312">
        <v>22030</v>
      </c>
      <c r="F11" s="1320">
        <v>8330</v>
      </c>
      <c r="G11" s="1314" t="s">
        <v>297</v>
      </c>
      <c r="H11" s="1315">
        <f>SUMPRODUCT((B158:B205=基准地价!I2)*(C3:F3=基准地价!E2)*(C158:F205))</f>
        <v>0</v>
      </c>
      <c r="J11" s="1312" t="s">
        <v>1829</v>
      </c>
      <c r="K11" s="1312" t="s">
        <v>1830</v>
      </c>
      <c r="L11" s="1312" t="s">
        <v>1831</v>
      </c>
      <c r="M11" s="1312" t="s">
        <v>1832</v>
      </c>
      <c r="N11" s="1312" t="s">
        <v>1833</v>
      </c>
      <c r="O11" s="1312" t="s">
        <v>1834</v>
      </c>
      <c r="P11" s="1312" t="s">
        <v>1835</v>
      </c>
      <c r="Q11" s="1312" t="s">
        <v>1836</v>
      </c>
      <c r="R11" s="1312" t="s">
        <v>1837</v>
      </c>
      <c r="S11" s="1312" t="s">
        <v>1838</v>
      </c>
    </row>
    <row r="12" spans="1:20" ht="14.25" customHeight="1">
      <c r="A12" s="1307" t="s">
        <v>253</v>
      </c>
      <c r="B12" s="1316" t="s">
        <v>1752</v>
      </c>
      <c r="C12" s="1312">
        <v>24940</v>
      </c>
      <c r="D12" s="1312">
        <v>23180</v>
      </c>
      <c r="E12" s="1312">
        <v>22910</v>
      </c>
      <c r="F12" s="1320">
        <v>7180</v>
      </c>
      <c r="G12" s="1314" t="s">
        <v>302</v>
      </c>
      <c r="H12" s="1315">
        <f>SUMPRODUCT((B206:B244=基准地价!I2)*(C3:F3=基准地价!E2)*(C206:F244))</f>
        <v>0</v>
      </c>
      <c r="J12" s="1312" t="s">
        <v>1839</v>
      </c>
      <c r="K12" s="1312" t="s">
        <v>1840</v>
      </c>
      <c r="L12" s="1312" t="s">
        <v>1841</v>
      </c>
      <c r="M12" s="1312" t="s">
        <v>1842</v>
      </c>
      <c r="N12" s="1312" t="s">
        <v>1843</v>
      </c>
      <c r="O12" s="1312" t="s">
        <v>1844</v>
      </c>
      <c r="P12" s="1312" t="s">
        <v>1845</v>
      </c>
      <c r="Q12" s="1312" t="s">
        <v>1846</v>
      </c>
      <c r="R12" s="1312" t="s">
        <v>1847</v>
      </c>
      <c r="S12" s="1312" t="s">
        <v>1848</v>
      </c>
    </row>
    <row r="13" spans="1:20" ht="14.25" customHeight="1">
      <c r="A13" s="1307" t="s">
        <v>253</v>
      </c>
      <c r="B13" s="1316" t="s">
        <v>1764</v>
      </c>
      <c r="C13" s="1312">
        <v>24140</v>
      </c>
      <c r="D13" s="1312">
        <v>22270</v>
      </c>
      <c r="E13" s="1312">
        <v>21950</v>
      </c>
      <c r="F13" s="1320">
        <v>7600</v>
      </c>
      <c r="G13" s="1314" t="s">
        <v>305</v>
      </c>
      <c r="H13" s="1315">
        <f>SUMPRODUCT((B245:B289=基准地价!I2)*(C3:F3=基准地价!E2)*(C245:F289))</f>
        <v>0</v>
      </c>
      <c r="J13" s="1312" t="s">
        <v>1849</v>
      </c>
      <c r="K13" s="1312" t="s">
        <v>1850</v>
      </c>
      <c r="L13" s="1312" t="s">
        <v>1851</v>
      </c>
      <c r="M13" s="1312" t="s">
        <v>1852</v>
      </c>
      <c r="N13" s="1312" t="s">
        <v>1853</v>
      </c>
      <c r="O13" s="1312" t="s">
        <v>1854</v>
      </c>
      <c r="P13" s="1312" t="s">
        <v>1855</v>
      </c>
      <c r="Q13" s="1312" t="s">
        <v>1856</v>
      </c>
      <c r="R13" s="1312" t="s">
        <v>1857</v>
      </c>
      <c r="S13" s="1312" t="s">
        <v>1858</v>
      </c>
    </row>
    <row r="14" spans="1:20" ht="14.25" customHeight="1">
      <c r="A14" s="1307" t="s">
        <v>253</v>
      </c>
      <c r="B14" s="1316" t="s">
        <v>1776</v>
      </c>
      <c r="C14" s="1312">
        <v>25600</v>
      </c>
      <c r="D14" s="1312">
        <v>22260</v>
      </c>
      <c r="E14" s="1312">
        <v>22110</v>
      </c>
      <c r="F14" s="1320">
        <v>7630</v>
      </c>
      <c r="G14" s="1314" t="s">
        <v>308</v>
      </c>
      <c r="H14" s="1315">
        <f>SUMPRODUCT((B290:B316=基准地价!I2)*(C3:F3=基准地价!E2)*(C290:F316))</f>
        <v>0</v>
      </c>
      <c r="J14" s="1312" t="s">
        <v>1859</v>
      </c>
      <c r="K14" s="1312" t="s">
        <v>1860</v>
      </c>
      <c r="L14" s="1312" t="s">
        <v>1861</v>
      </c>
      <c r="M14" s="1312" t="s">
        <v>1862</v>
      </c>
      <c r="N14" s="1312" t="s">
        <v>1863</v>
      </c>
      <c r="O14" s="1312" t="s">
        <v>1864</v>
      </c>
      <c r="P14" s="1312" t="s">
        <v>1865</v>
      </c>
      <c r="Q14" s="1312" t="s">
        <v>1866</v>
      </c>
      <c r="R14" s="1312" t="s">
        <v>1867</v>
      </c>
      <c r="S14" s="1312" t="s">
        <v>1868</v>
      </c>
    </row>
    <row r="15" spans="1:20" ht="14.25" customHeight="1">
      <c r="A15" s="1307" t="s">
        <v>253</v>
      </c>
      <c r="B15" s="1316" t="s">
        <v>1787</v>
      </c>
      <c r="C15" s="1312">
        <v>24760</v>
      </c>
      <c r="D15" s="1312">
        <v>24440</v>
      </c>
      <c r="E15" s="1312">
        <v>24130</v>
      </c>
      <c r="F15" s="1320">
        <v>9480</v>
      </c>
      <c r="G15" s="1314" t="s">
        <v>311</v>
      </c>
      <c r="H15" s="1315">
        <f>SUMPRODUCT((B317:B337=基准地价!I2)*(C3:F3=基准地价!E2)*(C317:F337))</f>
        <v>0</v>
      </c>
      <c r="J15" s="1312" t="s">
        <v>1869</v>
      </c>
      <c r="K15" s="1312" t="s">
        <v>1870</v>
      </c>
      <c r="L15" s="1312" t="s">
        <v>1871</v>
      </c>
      <c r="M15" s="1312" t="s">
        <v>1872</v>
      </c>
      <c r="N15" s="1312" t="s">
        <v>1873</v>
      </c>
      <c r="O15" s="1312" t="s">
        <v>1874</v>
      </c>
      <c r="P15" s="1312" t="s">
        <v>1875</v>
      </c>
      <c r="Q15" s="1312" t="s">
        <v>1876</v>
      </c>
      <c r="R15" s="1312" t="s">
        <v>1877</v>
      </c>
      <c r="S15" s="1312" t="s">
        <v>1878</v>
      </c>
    </row>
    <row r="16" spans="1:20" ht="14.25" customHeight="1">
      <c r="A16" s="1307" t="s">
        <v>253</v>
      </c>
      <c r="B16" s="1316" t="s">
        <v>1798</v>
      </c>
      <c r="C16" s="1312">
        <v>22220</v>
      </c>
      <c r="D16" s="1312">
        <v>22310</v>
      </c>
      <c r="E16" s="1312">
        <v>22000</v>
      </c>
      <c r="F16" s="1320">
        <v>8900</v>
      </c>
      <c r="G16" s="1321" t="s">
        <v>314</v>
      </c>
      <c r="H16" s="1322">
        <f>SUMPRODUCT((B338:B344=基准地价!I2)*(C3:F3=基准地价!E2)*(C338:F344))</f>
        <v>0</v>
      </c>
      <c r="J16" s="1312" t="s">
        <v>1879</v>
      </c>
      <c r="K16" s="1312" t="s">
        <v>1880</v>
      </c>
      <c r="L16" s="1312" t="s">
        <v>1881</v>
      </c>
      <c r="M16" s="1312" t="s">
        <v>1882</v>
      </c>
      <c r="N16" s="1312" t="s">
        <v>1883</v>
      </c>
      <c r="O16" s="1312" t="s">
        <v>1884</v>
      </c>
      <c r="P16" s="1312" t="s">
        <v>1885</v>
      </c>
      <c r="Q16" s="1312" t="s">
        <v>1886</v>
      </c>
      <c r="R16" s="1312" t="s">
        <v>1887</v>
      </c>
      <c r="S16" s="1312" t="s">
        <v>1888</v>
      </c>
    </row>
    <row r="17" spans="1:19" ht="14.25" customHeight="1">
      <c r="A17" s="1307" t="s">
        <v>253</v>
      </c>
      <c r="B17" s="1316" t="s">
        <v>1809</v>
      </c>
      <c r="C17" s="1312">
        <v>24700</v>
      </c>
      <c r="D17" s="1312">
        <v>25150</v>
      </c>
      <c r="E17" s="1312">
        <v>24700</v>
      </c>
      <c r="F17" s="1323"/>
      <c r="H17" s="1324"/>
      <c r="J17" s="1312" t="s">
        <v>1889</v>
      </c>
      <c r="K17" s="1312" t="s">
        <v>1890</v>
      </c>
      <c r="L17" s="1312" t="s">
        <v>1891</v>
      </c>
      <c r="M17" s="1312" t="s">
        <v>1892</v>
      </c>
      <c r="N17" s="1312" t="s">
        <v>1893</v>
      </c>
      <c r="O17" s="1312" t="s">
        <v>1894</v>
      </c>
      <c r="P17" s="1312" t="s">
        <v>1895</v>
      </c>
      <c r="Q17" s="1312" t="s">
        <v>1896</v>
      </c>
      <c r="R17" s="1312" t="s">
        <v>1897</v>
      </c>
      <c r="S17" s="1312" t="s">
        <v>1898</v>
      </c>
    </row>
    <row r="18" spans="1:19" ht="14.25" customHeight="1">
      <c r="A18" s="1307" t="s">
        <v>253</v>
      </c>
      <c r="B18" s="1316" t="s">
        <v>1819</v>
      </c>
      <c r="C18" s="1312">
        <v>22350</v>
      </c>
      <c r="D18" s="1312">
        <v>24340</v>
      </c>
      <c r="E18" s="1312">
        <v>24100</v>
      </c>
      <c r="F18" s="1323"/>
      <c r="H18" s="1324"/>
      <c r="J18" s="1312" t="s">
        <v>1899</v>
      </c>
      <c r="K18" s="1312" t="s">
        <v>1900</v>
      </c>
      <c r="L18" s="1312" t="s">
        <v>1901</v>
      </c>
      <c r="M18" s="1312" t="s">
        <v>1902</v>
      </c>
      <c r="N18" s="1312" t="s">
        <v>1903</v>
      </c>
      <c r="O18" s="1312" t="s">
        <v>1904</v>
      </c>
      <c r="P18" s="1312" t="s">
        <v>1905</v>
      </c>
      <c r="Q18" s="1312" t="s">
        <v>1906</v>
      </c>
      <c r="R18" s="1312" t="s">
        <v>1907</v>
      </c>
      <c r="S18" s="1312" t="s">
        <v>1908</v>
      </c>
    </row>
    <row r="19" spans="1:19" ht="14.25" customHeight="1">
      <c r="A19" s="1307" t="s">
        <v>253</v>
      </c>
      <c r="B19" s="1316" t="s">
        <v>1829</v>
      </c>
      <c r="C19" s="1312">
        <v>23430</v>
      </c>
      <c r="D19" s="1312">
        <v>21580</v>
      </c>
      <c r="E19" s="1312">
        <v>21350</v>
      </c>
      <c r="F19" s="1323"/>
      <c r="H19" s="1324"/>
      <c r="J19" s="1312" t="s">
        <v>1909</v>
      </c>
      <c r="K19" s="1312" t="s">
        <v>1910</v>
      </c>
      <c r="L19" s="1312" t="s">
        <v>1911</v>
      </c>
      <c r="M19" s="1312" t="s">
        <v>1912</v>
      </c>
      <c r="N19" s="1312" t="s">
        <v>1913</v>
      </c>
      <c r="O19" s="1312" t="s">
        <v>1914</v>
      </c>
      <c r="P19" s="1312" t="s">
        <v>1915</v>
      </c>
      <c r="Q19" s="1312" t="s">
        <v>1916</v>
      </c>
      <c r="R19" s="1312" t="s">
        <v>1917</v>
      </c>
      <c r="S19" s="1312" t="s">
        <v>1918</v>
      </c>
    </row>
    <row r="20" spans="1:19" ht="14.25" customHeight="1">
      <c r="A20" s="1307" t="s">
        <v>253</v>
      </c>
      <c r="B20" s="1316" t="s">
        <v>1839</v>
      </c>
      <c r="C20" s="1312">
        <v>27660</v>
      </c>
      <c r="D20" s="1312">
        <v>24240</v>
      </c>
      <c r="E20" s="1312">
        <v>24020</v>
      </c>
      <c r="F20" s="1323"/>
      <c r="J20" s="1312" t="s">
        <v>1919</v>
      </c>
      <c r="K20" s="1312" t="s">
        <v>1920</v>
      </c>
      <c r="L20" s="1312" t="s">
        <v>1921</v>
      </c>
      <c r="M20" s="1312" t="s">
        <v>1922</v>
      </c>
      <c r="N20" s="1312" t="s">
        <v>1923</v>
      </c>
      <c r="O20" s="1312" t="s">
        <v>1924</v>
      </c>
      <c r="P20" s="1312" t="s">
        <v>1925</v>
      </c>
      <c r="Q20" s="1312" t="s">
        <v>1926</v>
      </c>
      <c r="R20" s="1312" t="s">
        <v>1927</v>
      </c>
      <c r="S20" s="1312" t="s">
        <v>1928</v>
      </c>
    </row>
    <row r="21" spans="1:19" ht="14.25" customHeight="1">
      <c r="A21" s="1307" t="s">
        <v>253</v>
      </c>
      <c r="B21" s="1316" t="s">
        <v>1849</v>
      </c>
      <c r="C21" s="1312">
        <v>24720</v>
      </c>
      <c r="D21" s="1312">
        <v>21670</v>
      </c>
      <c r="E21" s="1312">
        <v>21510</v>
      </c>
      <c r="F21" s="1323"/>
      <c r="K21" s="1312" t="s">
        <v>1929</v>
      </c>
      <c r="L21" s="1312" t="s">
        <v>1930</v>
      </c>
      <c r="M21" s="1312" t="s">
        <v>1931</v>
      </c>
      <c r="N21" s="1312" t="s">
        <v>1932</v>
      </c>
      <c r="O21" s="1312" t="s">
        <v>1933</v>
      </c>
      <c r="P21" s="1312" t="s">
        <v>1934</v>
      </c>
      <c r="Q21" s="1312" t="s">
        <v>1935</v>
      </c>
      <c r="R21" s="1312" t="s">
        <v>1936</v>
      </c>
      <c r="S21" s="1312" t="s">
        <v>1937</v>
      </c>
    </row>
    <row r="22" spans="1:19" ht="14.25" customHeight="1">
      <c r="A22" s="1307" t="s">
        <v>253</v>
      </c>
      <c r="B22" s="1316" t="s">
        <v>1859</v>
      </c>
      <c r="C22" s="1312">
        <v>26530</v>
      </c>
      <c r="D22" s="1312">
        <v>22980</v>
      </c>
      <c r="E22" s="1312">
        <v>22650</v>
      </c>
      <c r="F22" s="1323"/>
      <c r="L22" s="1312" t="s">
        <v>1938</v>
      </c>
      <c r="M22" s="1312" t="s">
        <v>1939</v>
      </c>
      <c r="N22" s="1312" t="s">
        <v>1940</v>
      </c>
      <c r="O22" s="1312" t="s">
        <v>1941</v>
      </c>
      <c r="P22" s="1312" t="s">
        <v>1942</v>
      </c>
      <c r="Q22" s="1312" t="s">
        <v>1943</v>
      </c>
      <c r="R22" s="1312" t="s">
        <v>1944</v>
      </c>
      <c r="S22" s="1316" t="s">
        <v>1945</v>
      </c>
    </row>
    <row r="23" spans="1:19" ht="14.25" customHeight="1">
      <c r="A23" s="1307" t="s">
        <v>253</v>
      </c>
      <c r="B23" s="1316" t="s">
        <v>1869</v>
      </c>
      <c r="C23" s="1312">
        <v>24700</v>
      </c>
      <c r="D23" s="1312">
        <v>27290</v>
      </c>
      <c r="E23" s="1312">
        <v>26710</v>
      </c>
      <c r="F23" s="1323"/>
      <c r="L23" s="1312" t="s">
        <v>1946</v>
      </c>
      <c r="M23" s="1312" t="s">
        <v>1947</v>
      </c>
      <c r="N23" s="1312" t="s">
        <v>1948</v>
      </c>
      <c r="O23" s="1312" t="s">
        <v>1949</v>
      </c>
      <c r="P23" s="1312" t="s">
        <v>1950</v>
      </c>
      <c r="Q23" s="1312" t="s">
        <v>1951</v>
      </c>
      <c r="R23" s="1312" t="s">
        <v>1952</v>
      </c>
    </row>
    <row r="24" spans="1:19" ht="14.25" customHeight="1">
      <c r="A24" s="1307" t="s">
        <v>253</v>
      </c>
      <c r="B24" s="1316" t="s">
        <v>1879</v>
      </c>
      <c r="C24" s="1312">
        <v>23070</v>
      </c>
      <c r="D24" s="1312">
        <v>24130</v>
      </c>
      <c r="E24" s="1312">
        <v>23860</v>
      </c>
      <c r="F24" s="1323"/>
      <c r="L24" s="1312" t="s">
        <v>1953</v>
      </c>
      <c r="M24" s="1312" t="s">
        <v>1954</v>
      </c>
      <c r="N24" s="1312" t="s">
        <v>1955</v>
      </c>
      <c r="O24" s="1312" t="s">
        <v>1956</v>
      </c>
      <c r="P24" s="1312" t="s">
        <v>1957</v>
      </c>
      <c r="Q24" s="1312" t="s">
        <v>1958</v>
      </c>
      <c r="R24" s="1312" t="s">
        <v>1959</v>
      </c>
    </row>
    <row r="25" spans="1:19" ht="14.25" customHeight="1">
      <c r="A25" s="1307" t="s">
        <v>253</v>
      </c>
      <c r="B25" s="1316" t="s">
        <v>1889</v>
      </c>
      <c r="C25" s="1312">
        <v>27550</v>
      </c>
      <c r="D25" s="1312">
        <v>25850</v>
      </c>
      <c r="E25" s="1312">
        <v>25340</v>
      </c>
      <c r="F25" s="1323"/>
      <c r="L25" s="1312" t="s">
        <v>1960</v>
      </c>
      <c r="M25" s="1312" t="s">
        <v>1961</v>
      </c>
      <c r="N25" s="1312" t="s">
        <v>1962</v>
      </c>
      <c r="O25" s="1312" t="s">
        <v>1963</v>
      </c>
      <c r="P25" s="1312" t="s">
        <v>1964</v>
      </c>
      <c r="Q25" s="1312" t="s">
        <v>1965</v>
      </c>
      <c r="R25" s="1312" t="s">
        <v>1966</v>
      </c>
    </row>
    <row r="26" spans="1:19" ht="14.25" customHeight="1">
      <c r="A26" s="1307" t="s">
        <v>253</v>
      </c>
      <c r="B26" s="1316" t="s">
        <v>1899</v>
      </c>
      <c r="C26" s="1312"/>
      <c r="D26" s="1312">
        <v>23900</v>
      </c>
      <c r="E26" s="1312">
        <v>23590</v>
      </c>
      <c r="F26" s="1323"/>
      <c r="L26" s="1312" t="s">
        <v>1967</v>
      </c>
      <c r="M26" s="1312" t="s">
        <v>1968</v>
      </c>
      <c r="N26" s="1312" t="s">
        <v>1969</v>
      </c>
      <c r="O26" s="1312" t="s">
        <v>1970</v>
      </c>
      <c r="P26" s="1312" t="s">
        <v>1971</v>
      </c>
      <c r="Q26" s="1312" t="s">
        <v>1972</v>
      </c>
      <c r="R26" s="1312" t="s">
        <v>1973</v>
      </c>
    </row>
    <row r="27" spans="1:19" ht="14.25" customHeight="1">
      <c r="A27" s="1307" t="s">
        <v>253</v>
      </c>
      <c r="B27" s="1316" t="s">
        <v>1909</v>
      </c>
      <c r="C27" s="1312"/>
      <c r="D27" s="1312">
        <v>22850</v>
      </c>
      <c r="E27" s="1312">
        <v>21920</v>
      </c>
      <c r="F27" s="1323"/>
      <c r="L27" s="1312" t="s">
        <v>1974</v>
      </c>
      <c r="M27" s="1312" t="s">
        <v>1975</v>
      </c>
      <c r="N27" s="1312" t="s">
        <v>1976</v>
      </c>
      <c r="O27" s="1312" t="s">
        <v>1977</v>
      </c>
      <c r="P27" s="1312" t="s">
        <v>1978</v>
      </c>
      <c r="Q27" s="1312" t="s">
        <v>1979</v>
      </c>
      <c r="R27" s="1312" t="s">
        <v>1980</v>
      </c>
    </row>
    <row r="28" spans="1:19" ht="14.25" customHeight="1">
      <c r="A28" s="1325" t="s">
        <v>253</v>
      </c>
      <c r="B28" s="1317" t="s">
        <v>1919</v>
      </c>
      <c r="C28" s="1318"/>
      <c r="D28" s="1318">
        <v>26610</v>
      </c>
      <c r="E28" s="1318">
        <v>26370</v>
      </c>
      <c r="F28" s="1319"/>
      <c r="L28" s="1312" t="s">
        <v>1981</v>
      </c>
      <c r="M28" s="1312" t="s">
        <v>1982</v>
      </c>
      <c r="N28" s="1312" t="s">
        <v>1983</v>
      </c>
      <c r="O28" s="1312" t="s">
        <v>1984</v>
      </c>
      <c r="P28" s="1312" t="s">
        <v>1985</v>
      </c>
      <c r="Q28" s="1312" t="s">
        <v>1986</v>
      </c>
    </row>
    <row r="29" spans="1:19" ht="14.25" customHeight="1">
      <c r="A29" s="1307" t="s">
        <v>265</v>
      </c>
      <c r="B29" s="1308" t="s">
        <v>1727</v>
      </c>
      <c r="C29" s="1308">
        <v>22090</v>
      </c>
      <c r="D29" s="1308">
        <v>21860</v>
      </c>
      <c r="E29" s="1308">
        <v>19380</v>
      </c>
      <c r="F29" s="1309">
        <v>6610</v>
      </c>
      <c r="M29" s="1312" t="s">
        <v>1987</v>
      </c>
      <c r="N29" s="1312" t="s">
        <v>1988</v>
      </c>
      <c r="O29" s="1312" t="s">
        <v>1989</v>
      </c>
      <c r="P29" s="1312" t="s">
        <v>1990</v>
      </c>
      <c r="Q29" s="1312" t="s">
        <v>1991</v>
      </c>
    </row>
    <row r="30" spans="1:19" ht="14.25" customHeight="1">
      <c r="A30" s="1307" t="s">
        <v>265</v>
      </c>
      <c r="B30" s="1316" t="s">
        <v>1740</v>
      </c>
      <c r="C30" s="1312">
        <v>21380</v>
      </c>
      <c r="D30" s="1312">
        <v>19930</v>
      </c>
      <c r="E30" s="1312">
        <v>19860</v>
      </c>
      <c r="F30" s="1320">
        <v>6010</v>
      </c>
      <c r="H30" s="1324"/>
      <c r="M30" s="1312" t="s">
        <v>1992</v>
      </c>
      <c r="N30" s="1312" t="s">
        <v>1993</v>
      </c>
      <c r="O30" s="1312" t="s">
        <v>1994</v>
      </c>
      <c r="P30" s="1312" t="s">
        <v>1995</v>
      </c>
      <c r="Q30" s="1312" t="s">
        <v>1996</v>
      </c>
    </row>
    <row r="31" spans="1:19" ht="14.25" customHeight="1">
      <c r="A31" s="1307" t="s">
        <v>265</v>
      </c>
      <c r="B31" s="1316" t="s">
        <v>1753</v>
      </c>
      <c r="C31" s="1312">
        <v>21670</v>
      </c>
      <c r="D31" s="1312">
        <v>20660</v>
      </c>
      <c r="E31" s="1312">
        <v>20290</v>
      </c>
      <c r="F31" s="1320">
        <v>5840</v>
      </c>
      <c r="H31" s="1324"/>
      <c r="M31" s="1312" t="s">
        <v>1997</v>
      </c>
      <c r="N31" s="1312" t="s">
        <v>1998</v>
      </c>
      <c r="O31" s="1312" t="s">
        <v>1999</v>
      </c>
      <c r="P31" s="1312" t="s">
        <v>2000</v>
      </c>
      <c r="Q31" s="1312" t="s">
        <v>2001</v>
      </c>
    </row>
    <row r="32" spans="1:19" ht="14.25" customHeight="1">
      <c r="A32" s="1307" t="s">
        <v>265</v>
      </c>
      <c r="B32" s="1316" t="s">
        <v>1765</v>
      </c>
      <c r="C32" s="1312">
        <v>22280</v>
      </c>
      <c r="D32" s="1312">
        <v>21800</v>
      </c>
      <c r="E32" s="1312">
        <v>17650</v>
      </c>
      <c r="F32" s="1320">
        <v>4690</v>
      </c>
      <c r="H32" s="1324"/>
      <c r="M32" s="1312" t="s">
        <v>2002</v>
      </c>
      <c r="N32" s="1312" t="s">
        <v>2003</v>
      </c>
      <c r="O32" s="1312" t="s">
        <v>2004</v>
      </c>
      <c r="P32" s="1312" t="s">
        <v>2005</v>
      </c>
      <c r="Q32" s="1312" t="s">
        <v>2006</v>
      </c>
    </row>
    <row r="33" spans="1:17" ht="14.25" customHeight="1">
      <c r="A33" s="1307" t="s">
        <v>265</v>
      </c>
      <c r="B33" s="1316" t="s">
        <v>1777</v>
      </c>
      <c r="C33" s="1312">
        <v>22130</v>
      </c>
      <c r="D33" s="1312">
        <v>20460</v>
      </c>
      <c r="E33" s="1312">
        <v>18500</v>
      </c>
      <c r="F33" s="1320">
        <v>5340</v>
      </c>
      <c r="H33" s="1324"/>
      <c r="M33" s="1312" t="s">
        <v>2007</v>
      </c>
      <c r="N33" s="1312" t="s">
        <v>2008</v>
      </c>
      <c r="O33" s="1312" t="s">
        <v>2009</v>
      </c>
      <c r="P33" s="1312" t="s">
        <v>2010</v>
      </c>
      <c r="Q33" s="1312" t="s">
        <v>2011</v>
      </c>
    </row>
    <row r="34" spans="1:17" ht="14.25" customHeight="1">
      <c r="A34" s="1307" t="s">
        <v>265</v>
      </c>
      <c r="B34" s="1316" t="s">
        <v>1788</v>
      </c>
      <c r="C34" s="1312">
        <v>22070</v>
      </c>
      <c r="D34" s="1312">
        <v>20110</v>
      </c>
      <c r="E34" s="1312">
        <v>18830</v>
      </c>
      <c r="F34" s="1320">
        <v>5190</v>
      </c>
      <c r="H34" s="1324"/>
      <c r="M34" s="1312" t="s">
        <v>2012</v>
      </c>
      <c r="N34" s="1312" t="s">
        <v>2013</v>
      </c>
      <c r="O34" s="1312" t="s">
        <v>2014</v>
      </c>
      <c r="P34" s="1312" t="s">
        <v>2015</v>
      </c>
      <c r="Q34" s="1312" t="s">
        <v>2016</v>
      </c>
    </row>
    <row r="35" spans="1:17" ht="14.25" customHeight="1">
      <c r="A35" s="1307" t="s">
        <v>265</v>
      </c>
      <c r="B35" s="1316" t="s">
        <v>1799</v>
      </c>
      <c r="C35" s="1312">
        <v>22240</v>
      </c>
      <c r="D35" s="1312">
        <v>19550</v>
      </c>
      <c r="E35" s="1312">
        <v>19220</v>
      </c>
      <c r="F35" s="1320">
        <v>5800</v>
      </c>
      <c r="H35" s="1324"/>
      <c r="M35" s="1312" t="s">
        <v>2017</v>
      </c>
      <c r="N35" s="1312" t="s">
        <v>2018</v>
      </c>
      <c r="O35" s="1312" t="s">
        <v>2019</v>
      </c>
      <c r="P35" s="1312" t="s">
        <v>2020</v>
      </c>
      <c r="Q35" s="1312" t="s">
        <v>2021</v>
      </c>
    </row>
    <row r="36" spans="1:17" ht="14.25" customHeight="1">
      <c r="A36" s="1307" t="s">
        <v>265</v>
      </c>
      <c r="B36" s="1316" t="s">
        <v>1810</v>
      </c>
      <c r="C36" s="1312">
        <v>19750</v>
      </c>
      <c r="D36" s="1312">
        <v>19790</v>
      </c>
      <c r="E36" s="1312">
        <v>18510</v>
      </c>
      <c r="F36" s="1320">
        <v>6520</v>
      </c>
      <c r="H36" s="1324"/>
      <c r="N36" s="1312" t="s">
        <v>2022</v>
      </c>
      <c r="O36" s="1312" t="s">
        <v>2023</v>
      </c>
      <c r="P36" s="1312" t="s">
        <v>2024</v>
      </c>
      <c r="Q36" s="1312" t="s">
        <v>2025</v>
      </c>
    </row>
    <row r="37" spans="1:17" ht="14.25" customHeight="1">
      <c r="A37" s="1307" t="s">
        <v>265</v>
      </c>
      <c r="B37" s="1316" t="s">
        <v>1820</v>
      </c>
      <c r="C37" s="1312">
        <v>22380</v>
      </c>
      <c r="D37" s="1312">
        <v>18530</v>
      </c>
      <c r="E37" s="1312">
        <v>17930</v>
      </c>
      <c r="F37" s="1320">
        <v>6270</v>
      </c>
      <c r="H37" s="1326"/>
      <c r="N37" s="1312" t="s">
        <v>2026</v>
      </c>
      <c r="O37" s="1312" t="s">
        <v>2027</v>
      </c>
      <c r="P37" s="1312" t="s">
        <v>2028</v>
      </c>
      <c r="Q37" s="1312" t="s">
        <v>2029</v>
      </c>
    </row>
    <row r="38" spans="1:17" ht="14.25" customHeight="1">
      <c r="A38" s="1307" t="s">
        <v>265</v>
      </c>
      <c r="B38" s="1316" t="s">
        <v>1830</v>
      </c>
      <c r="C38" s="1312">
        <v>20200</v>
      </c>
      <c r="D38" s="1312">
        <v>20070</v>
      </c>
      <c r="E38" s="1312">
        <v>19950</v>
      </c>
      <c r="F38" s="1320"/>
      <c r="H38" s="1327"/>
      <c r="N38" s="1312" t="s">
        <v>2030</v>
      </c>
      <c r="O38" s="1312" t="s">
        <v>2031</v>
      </c>
      <c r="P38" s="1312" t="s">
        <v>2032</v>
      </c>
      <c r="Q38" s="1312" t="s">
        <v>2033</v>
      </c>
    </row>
    <row r="39" spans="1:17" ht="14.25" customHeight="1">
      <c r="A39" s="1307" t="s">
        <v>265</v>
      </c>
      <c r="B39" s="1316" t="s">
        <v>1840</v>
      </c>
      <c r="C39" s="1312">
        <v>19300</v>
      </c>
      <c r="D39" s="1312">
        <v>20360</v>
      </c>
      <c r="E39" s="1312">
        <v>20230</v>
      </c>
      <c r="F39" s="1320"/>
      <c r="H39" s="1327"/>
      <c r="N39" s="1312" t="s">
        <v>2034</v>
      </c>
      <c r="O39" s="1312" t="s">
        <v>2035</v>
      </c>
      <c r="P39" s="1312" t="s">
        <v>2036</v>
      </c>
      <c r="Q39" s="1312" t="s">
        <v>2037</v>
      </c>
    </row>
    <row r="40" spans="1:17" ht="14.25" customHeight="1">
      <c r="A40" s="1307" t="s">
        <v>265</v>
      </c>
      <c r="B40" s="1316" t="s">
        <v>1850</v>
      </c>
      <c r="C40" s="1312">
        <v>20210</v>
      </c>
      <c r="D40" s="1312">
        <v>19060</v>
      </c>
      <c r="E40" s="1312">
        <v>18890</v>
      </c>
      <c r="F40" s="1320"/>
      <c r="H40" s="1327"/>
      <c r="N40" s="1312" t="s">
        <v>2038</v>
      </c>
      <c r="O40" s="1312" t="s">
        <v>2039</v>
      </c>
      <c r="P40" s="1312" t="s">
        <v>2040</v>
      </c>
      <c r="Q40" s="1312" t="s">
        <v>2041</v>
      </c>
    </row>
    <row r="41" spans="1:17" ht="14.25" customHeight="1">
      <c r="A41" s="1307" t="s">
        <v>265</v>
      </c>
      <c r="B41" s="1316" t="s">
        <v>1860</v>
      </c>
      <c r="C41" s="1312">
        <v>20560</v>
      </c>
      <c r="D41" s="1312">
        <v>21040</v>
      </c>
      <c r="E41" s="1312">
        <v>20740</v>
      </c>
      <c r="F41" s="1320"/>
      <c r="H41" s="1327"/>
      <c r="N41" s="1316" t="s">
        <v>2042</v>
      </c>
      <c r="O41" s="1316" t="s">
        <v>2043</v>
      </c>
      <c r="Q41" s="1316" t="s">
        <v>2044</v>
      </c>
    </row>
    <row r="42" spans="1:17" ht="14.25" customHeight="1">
      <c r="A42" s="1307" t="s">
        <v>265</v>
      </c>
      <c r="B42" s="1316" t="s">
        <v>1870</v>
      </c>
      <c r="C42" s="1312">
        <v>19280</v>
      </c>
      <c r="D42" s="1312">
        <v>22940</v>
      </c>
      <c r="E42" s="1312">
        <v>22500</v>
      </c>
      <c r="F42" s="1320"/>
      <c r="H42" s="1327"/>
      <c r="N42" s="1312" t="s">
        <v>2045</v>
      </c>
      <c r="O42" s="1312" t="s">
        <v>2046</v>
      </c>
      <c r="Q42" s="1312" t="s">
        <v>2047</v>
      </c>
    </row>
    <row r="43" spans="1:17" ht="14.25" customHeight="1">
      <c r="A43" s="1307" t="s">
        <v>265</v>
      </c>
      <c r="B43" s="1316" t="s">
        <v>1880</v>
      </c>
      <c r="C43" s="1312">
        <v>21520</v>
      </c>
      <c r="D43" s="1312">
        <v>19230</v>
      </c>
      <c r="E43" s="1312">
        <v>18540</v>
      </c>
      <c r="F43" s="1320"/>
      <c r="H43" s="1327"/>
      <c r="N43" s="1312" t="s">
        <v>2048</v>
      </c>
      <c r="O43" s="1312" t="s">
        <v>2049</v>
      </c>
      <c r="Q43" s="1312" t="s">
        <v>2050</v>
      </c>
    </row>
    <row r="44" spans="1:17" ht="14.25" customHeight="1">
      <c r="A44" s="1307" t="s">
        <v>265</v>
      </c>
      <c r="B44" s="1316" t="s">
        <v>1890</v>
      </c>
      <c r="C44" s="1312">
        <v>23260</v>
      </c>
      <c r="D44" s="1312">
        <v>21180</v>
      </c>
      <c r="E44" s="1312">
        <v>20730</v>
      </c>
      <c r="F44" s="1320"/>
      <c r="H44" s="1327"/>
      <c r="N44" s="1312" t="s">
        <v>2051</v>
      </c>
      <c r="O44" s="1312" t="s">
        <v>2052</v>
      </c>
      <c r="Q44" s="1312" t="s">
        <v>2053</v>
      </c>
    </row>
    <row r="45" spans="1:17" ht="14.25" customHeight="1">
      <c r="A45" s="1307" t="s">
        <v>265</v>
      </c>
      <c r="B45" s="1316" t="s">
        <v>1900</v>
      </c>
      <c r="C45" s="1312">
        <v>19610</v>
      </c>
      <c r="D45" s="1312">
        <v>18090</v>
      </c>
      <c r="E45" s="1312">
        <v>17970</v>
      </c>
      <c r="F45" s="1320"/>
      <c r="H45" s="1324"/>
      <c r="N45" s="1312" t="s">
        <v>2054</v>
      </c>
      <c r="O45" s="1312" t="s">
        <v>2055</v>
      </c>
      <c r="Q45" s="1312" t="s">
        <v>2056</v>
      </c>
    </row>
    <row r="46" spans="1:17" ht="14.25" customHeight="1">
      <c r="A46" s="1307" t="s">
        <v>265</v>
      </c>
      <c r="B46" s="1316" t="s">
        <v>1910</v>
      </c>
      <c r="C46" s="1312">
        <v>21660</v>
      </c>
      <c r="D46" s="1312">
        <v>19190</v>
      </c>
      <c r="E46" s="1312">
        <v>19790</v>
      </c>
      <c r="F46" s="1320"/>
      <c r="H46" s="1327"/>
      <c r="N46" s="1312" t="s">
        <v>2057</v>
      </c>
      <c r="O46" s="1312" t="s">
        <v>2058</v>
      </c>
      <c r="Q46" s="1312" t="s">
        <v>2059</v>
      </c>
    </row>
    <row r="47" spans="1:17" ht="14.25" customHeight="1">
      <c r="A47" s="1307" t="s">
        <v>265</v>
      </c>
      <c r="B47" s="1316" t="s">
        <v>1920</v>
      </c>
      <c r="C47" s="1312">
        <v>18220</v>
      </c>
      <c r="D47" s="1312"/>
      <c r="E47" s="1312">
        <v>17220</v>
      </c>
      <c r="F47" s="1320"/>
      <c r="H47" s="1327"/>
      <c r="N47" s="1312" t="s">
        <v>2060</v>
      </c>
      <c r="O47" s="1312" t="s">
        <v>2061</v>
      </c>
    </row>
    <row r="48" spans="1:17" ht="14.25" customHeight="1">
      <c r="A48" s="1307" t="s">
        <v>265</v>
      </c>
      <c r="B48" s="1317" t="s">
        <v>1929</v>
      </c>
      <c r="C48" s="1318">
        <v>19430</v>
      </c>
      <c r="D48" s="1318"/>
      <c r="E48" s="1318">
        <v>17830</v>
      </c>
      <c r="F48" s="1328"/>
      <c r="H48" s="1324"/>
      <c r="N48" s="1312" t="s">
        <v>2062</v>
      </c>
      <c r="O48" s="1312" t="s">
        <v>2063</v>
      </c>
    </row>
    <row r="49" spans="1:15" ht="14.25" customHeight="1">
      <c r="A49" s="1307" t="s">
        <v>275</v>
      </c>
      <c r="B49" s="1308" t="s">
        <v>1728</v>
      </c>
      <c r="C49" s="1308">
        <v>17090</v>
      </c>
      <c r="D49" s="1308">
        <v>16950</v>
      </c>
      <c r="E49" s="1308">
        <v>16310</v>
      </c>
      <c r="F49" s="1309">
        <v>4540</v>
      </c>
      <c r="H49" s="1327"/>
      <c r="N49" s="1312" t="s">
        <v>2064</v>
      </c>
      <c r="O49" s="1312" t="s">
        <v>2065</v>
      </c>
    </row>
    <row r="50" spans="1:15" ht="14.25" customHeight="1">
      <c r="A50" s="1307" t="s">
        <v>275</v>
      </c>
      <c r="B50" s="1312" t="s">
        <v>1741</v>
      </c>
      <c r="C50" s="1312">
        <v>19040</v>
      </c>
      <c r="D50" s="1312">
        <v>16960</v>
      </c>
      <c r="E50" s="1312">
        <v>14800</v>
      </c>
      <c r="F50" s="1320">
        <v>3940</v>
      </c>
      <c r="H50" s="1327"/>
    </row>
    <row r="51" spans="1:15" ht="14.25" customHeight="1">
      <c r="A51" s="1307" t="s">
        <v>275</v>
      </c>
      <c r="B51" s="1312" t="s">
        <v>1754</v>
      </c>
      <c r="C51" s="1312">
        <v>17040</v>
      </c>
      <c r="D51" s="1312">
        <v>16930</v>
      </c>
      <c r="E51" s="1312">
        <v>15030</v>
      </c>
      <c r="F51" s="1320">
        <v>4120</v>
      </c>
      <c r="H51" s="1327"/>
    </row>
    <row r="52" spans="1:15" ht="14.25" customHeight="1">
      <c r="A52" s="1307" t="s">
        <v>275</v>
      </c>
      <c r="B52" s="1312" t="s">
        <v>1766</v>
      </c>
      <c r="C52" s="1312">
        <v>17110</v>
      </c>
      <c r="D52" s="1312">
        <v>17750</v>
      </c>
      <c r="E52" s="1312">
        <v>17310</v>
      </c>
      <c r="F52" s="1320">
        <v>3220</v>
      </c>
      <c r="H52" s="1327"/>
    </row>
    <row r="53" spans="1:15" ht="14.25" customHeight="1">
      <c r="A53" s="1307" t="s">
        <v>275</v>
      </c>
      <c r="B53" s="1312" t="s">
        <v>1778</v>
      </c>
      <c r="C53" s="1312">
        <v>17810</v>
      </c>
      <c r="D53" s="1312">
        <v>17260</v>
      </c>
      <c r="E53" s="1312">
        <v>17090</v>
      </c>
      <c r="F53" s="1320">
        <v>3520</v>
      </c>
      <c r="H53" s="1327"/>
    </row>
    <row r="54" spans="1:15" ht="14.25" customHeight="1">
      <c r="A54" s="1307" t="s">
        <v>275</v>
      </c>
      <c r="B54" s="1312" t="s">
        <v>1789</v>
      </c>
      <c r="C54" s="1312">
        <v>17410</v>
      </c>
      <c r="D54" s="1312">
        <v>16780</v>
      </c>
      <c r="E54" s="1312">
        <v>16370</v>
      </c>
      <c r="F54" s="1320">
        <v>3410</v>
      </c>
      <c r="H54" s="1327"/>
    </row>
    <row r="55" spans="1:15" ht="14.25" customHeight="1">
      <c r="A55" s="1307" t="s">
        <v>275</v>
      </c>
      <c r="B55" s="1312" t="s">
        <v>1800</v>
      </c>
      <c r="C55" s="1312">
        <v>16930</v>
      </c>
      <c r="D55" s="1312">
        <v>14720</v>
      </c>
      <c r="E55" s="1312">
        <v>15000</v>
      </c>
      <c r="F55" s="1320">
        <v>3710</v>
      </c>
      <c r="H55" s="1327"/>
    </row>
    <row r="56" spans="1:15" ht="14.25" customHeight="1">
      <c r="A56" s="1307" t="s">
        <v>275</v>
      </c>
      <c r="B56" s="1312" t="s">
        <v>1811</v>
      </c>
      <c r="C56" s="1312">
        <v>14930</v>
      </c>
      <c r="D56" s="1312">
        <v>15850</v>
      </c>
      <c r="E56" s="1312">
        <v>14320</v>
      </c>
      <c r="F56" s="1320">
        <v>3960</v>
      </c>
      <c r="H56" s="1327"/>
    </row>
    <row r="57" spans="1:15" ht="14.25" customHeight="1">
      <c r="A57" s="1307" t="s">
        <v>275</v>
      </c>
      <c r="B57" s="1312" t="s">
        <v>1821</v>
      </c>
      <c r="C57" s="1312">
        <v>16160</v>
      </c>
      <c r="D57" s="1312">
        <v>16190</v>
      </c>
      <c r="E57" s="1312">
        <v>15650</v>
      </c>
      <c r="F57" s="1320">
        <v>4200</v>
      </c>
      <c r="H57" s="1327"/>
    </row>
    <row r="58" spans="1:15" ht="14.25" customHeight="1">
      <c r="A58" s="1307" t="s">
        <v>275</v>
      </c>
      <c r="B58" s="1312" t="s">
        <v>1831</v>
      </c>
      <c r="C58" s="1312">
        <v>16360</v>
      </c>
      <c r="D58" s="1312">
        <v>14050</v>
      </c>
      <c r="E58" s="1312">
        <v>16070</v>
      </c>
      <c r="F58" s="1320">
        <v>3990</v>
      </c>
      <c r="H58" s="1327"/>
    </row>
    <row r="59" spans="1:15" ht="14.25" customHeight="1">
      <c r="A59" s="1307" t="s">
        <v>275</v>
      </c>
      <c r="B59" s="1312" t="s">
        <v>1841</v>
      </c>
      <c r="C59" s="1312">
        <v>14160</v>
      </c>
      <c r="D59" s="1312">
        <v>16620</v>
      </c>
      <c r="E59" s="1312">
        <v>13940</v>
      </c>
      <c r="F59" s="1320">
        <v>4260</v>
      </c>
      <c r="H59" s="1327"/>
    </row>
    <row r="60" spans="1:15" ht="14.25" customHeight="1">
      <c r="A60" s="1307" t="s">
        <v>275</v>
      </c>
      <c r="B60" s="1312" t="s">
        <v>1851</v>
      </c>
      <c r="C60" s="1312">
        <v>16750</v>
      </c>
      <c r="D60" s="1312">
        <v>13910</v>
      </c>
      <c r="E60" s="1312">
        <v>16550</v>
      </c>
      <c r="F60" s="1320">
        <v>4550</v>
      </c>
      <c r="H60" s="1327"/>
    </row>
    <row r="61" spans="1:15" ht="14.25" customHeight="1">
      <c r="A61" s="1307" t="s">
        <v>275</v>
      </c>
      <c r="B61" s="1312" t="s">
        <v>1861</v>
      </c>
      <c r="C61" s="1312">
        <v>14000</v>
      </c>
      <c r="D61" s="1312">
        <v>14550</v>
      </c>
      <c r="E61" s="1312">
        <v>13860</v>
      </c>
      <c r="F61" s="1329"/>
      <c r="H61" s="1327"/>
    </row>
    <row r="62" spans="1:15" ht="14.25" customHeight="1">
      <c r="A62" s="1307" t="s">
        <v>275</v>
      </c>
      <c r="B62" s="1312" t="s">
        <v>1871</v>
      </c>
      <c r="C62" s="1312">
        <v>14660</v>
      </c>
      <c r="D62" s="1312">
        <v>17450</v>
      </c>
      <c r="E62" s="1312">
        <v>14470</v>
      </c>
      <c r="F62" s="1329"/>
      <c r="H62" s="1327"/>
    </row>
    <row r="63" spans="1:15" ht="14.25" customHeight="1">
      <c r="A63" s="1307" t="s">
        <v>275</v>
      </c>
      <c r="B63" s="1312" t="s">
        <v>1881</v>
      </c>
      <c r="C63" s="1312">
        <v>17610</v>
      </c>
      <c r="D63" s="1312">
        <v>16500</v>
      </c>
      <c r="E63" s="1312">
        <v>17330</v>
      </c>
      <c r="F63" s="1329"/>
      <c r="H63" s="1327"/>
    </row>
    <row r="64" spans="1:15" ht="14.25" customHeight="1">
      <c r="A64" s="1307" t="s">
        <v>275</v>
      </c>
      <c r="B64" s="1312" t="s">
        <v>1891</v>
      </c>
      <c r="C64" s="1312">
        <v>16590</v>
      </c>
      <c r="D64" s="1312">
        <v>15130</v>
      </c>
      <c r="E64" s="1312">
        <v>16420</v>
      </c>
      <c r="F64" s="1329"/>
      <c r="H64" s="1327"/>
    </row>
    <row r="65" spans="1:8" s="1299" customFormat="1" ht="14.25" customHeight="1">
      <c r="A65" s="1307" t="s">
        <v>275</v>
      </c>
      <c r="B65" s="1312" t="s">
        <v>1901</v>
      </c>
      <c r="C65" s="1312">
        <v>15220</v>
      </c>
      <c r="D65" s="1312">
        <v>14660</v>
      </c>
      <c r="E65" s="1312">
        <v>15060</v>
      </c>
      <c r="F65" s="1320"/>
      <c r="H65" s="1327"/>
    </row>
    <row r="66" spans="1:8" s="1299" customFormat="1" ht="14.25" customHeight="1">
      <c r="A66" s="1307" t="s">
        <v>275</v>
      </c>
      <c r="B66" s="1312" t="s">
        <v>1911</v>
      </c>
      <c r="C66" s="1312">
        <v>14720</v>
      </c>
      <c r="D66" s="1312">
        <v>15970</v>
      </c>
      <c r="E66" s="1312">
        <v>14610</v>
      </c>
      <c r="F66" s="1320"/>
      <c r="H66" s="1327"/>
    </row>
    <row r="67" spans="1:8" s="1299" customFormat="1" ht="14.25" customHeight="1">
      <c r="A67" s="1307" t="s">
        <v>275</v>
      </c>
      <c r="B67" s="1312" t="s">
        <v>1921</v>
      </c>
      <c r="C67" s="1312">
        <v>16080</v>
      </c>
      <c r="D67" s="1312">
        <v>14840</v>
      </c>
      <c r="E67" s="1312">
        <v>15630</v>
      </c>
      <c r="F67" s="1320"/>
      <c r="H67" s="1327"/>
    </row>
    <row r="68" spans="1:8" s="1299" customFormat="1" ht="14.25" customHeight="1">
      <c r="A68" s="1307" t="s">
        <v>275</v>
      </c>
      <c r="B68" s="1312" t="s">
        <v>1930</v>
      </c>
      <c r="C68" s="1312">
        <v>14940</v>
      </c>
      <c r="D68" s="1312">
        <v>18000</v>
      </c>
      <c r="E68" s="1312">
        <v>14040</v>
      </c>
      <c r="F68" s="1320"/>
      <c r="H68" s="1327"/>
    </row>
    <row r="69" spans="1:8" s="1299" customFormat="1" ht="14.25" customHeight="1">
      <c r="A69" s="1307" t="s">
        <v>275</v>
      </c>
      <c r="B69" s="1312" t="s">
        <v>1938</v>
      </c>
      <c r="C69" s="1312">
        <v>18810</v>
      </c>
      <c r="D69" s="1312">
        <v>15100</v>
      </c>
      <c r="E69" s="1312">
        <v>14710</v>
      </c>
      <c r="F69" s="1320"/>
      <c r="H69" s="1327"/>
    </row>
    <row r="70" spans="1:8" s="1299" customFormat="1" ht="14.25" customHeight="1">
      <c r="A70" s="1307" t="s">
        <v>275</v>
      </c>
      <c r="B70" s="1312" t="s">
        <v>1946</v>
      </c>
      <c r="C70" s="1312">
        <v>18270</v>
      </c>
      <c r="D70" s="1312"/>
      <c r="E70" s="1312"/>
      <c r="F70" s="1320"/>
      <c r="H70" s="1327"/>
    </row>
    <row r="71" spans="1:8" s="1299" customFormat="1" ht="14.25" customHeight="1">
      <c r="A71" s="1307" t="s">
        <v>275</v>
      </c>
      <c r="B71" s="1312" t="s">
        <v>1953</v>
      </c>
      <c r="C71" s="1312">
        <v>15230</v>
      </c>
      <c r="D71" s="1312"/>
      <c r="E71" s="1312"/>
      <c r="F71" s="1320"/>
      <c r="H71" s="1327"/>
    </row>
    <row r="72" spans="1:8" s="1299" customFormat="1" ht="14.25" customHeight="1">
      <c r="A72" s="1307" t="s">
        <v>275</v>
      </c>
      <c r="B72" s="1312" t="s">
        <v>1960</v>
      </c>
      <c r="C72" s="1312"/>
      <c r="D72" s="1312"/>
      <c r="E72" s="1312"/>
      <c r="F72" s="1320">
        <v>4120</v>
      </c>
      <c r="H72" s="1327"/>
    </row>
    <row r="73" spans="1:8" s="1299" customFormat="1" ht="14.25" customHeight="1">
      <c r="A73" s="1307" t="s">
        <v>275</v>
      </c>
      <c r="B73" s="1312" t="s">
        <v>1967</v>
      </c>
      <c r="C73" s="1312"/>
      <c r="D73" s="1312"/>
      <c r="E73" s="1312"/>
      <c r="F73" s="1320">
        <v>3930</v>
      </c>
      <c r="H73" s="1327"/>
    </row>
    <row r="74" spans="1:8" s="1299" customFormat="1" ht="14.25" customHeight="1">
      <c r="A74" s="1307" t="s">
        <v>275</v>
      </c>
      <c r="B74" s="1312" t="s">
        <v>1974</v>
      </c>
      <c r="C74" s="1312"/>
      <c r="D74" s="1312"/>
      <c r="E74" s="1312"/>
      <c r="F74" s="1320">
        <v>4060</v>
      </c>
      <c r="H74" s="1327"/>
    </row>
    <row r="75" spans="1:8" s="1299" customFormat="1" ht="14.25" customHeight="1">
      <c r="A75" s="1307" t="s">
        <v>275</v>
      </c>
      <c r="B75" s="1318" t="s">
        <v>1981</v>
      </c>
      <c r="C75" s="1318"/>
      <c r="D75" s="1318"/>
      <c r="E75" s="1318"/>
      <c r="F75" s="1328">
        <v>3750</v>
      </c>
      <c r="H75" s="1327"/>
    </row>
    <row r="76" spans="1:8" s="1299" customFormat="1" ht="14.25" customHeight="1">
      <c r="A76" s="1307" t="s">
        <v>284</v>
      </c>
      <c r="B76" s="1308" t="s">
        <v>1729</v>
      </c>
      <c r="C76" s="1308">
        <v>14690</v>
      </c>
      <c r="D76" s="1308">
        <v>14640</v>
      </c>
      <c r="E76" s="1308">
        <v>14590</v>
      </c>
      <c r="F76" s="1309">
        <v>3060</v>
      </c>
      <c r="H76" s="1327"/>
    </row>
    <row r="77" spans="1:8" s="1299" customFormat="1" ht="14.25" customHeight="1">
      <c r="A77" s="1307" t="s">
        <v>284</v>
      </c>
      <c r="B77" s="1312" t="s">
        <v>1742</v>
      </c>
      <c r="C77" s="1312">
        <v>12550</v>
      </c>
      <c r="D77" s="1312">
        <v>12480</v>
      </c>
      <c r="E77" s="1312">
        <v>12450</v>
      </c>
      <c r="F77" s="1320">
        <v>2590</v>
      </c>
      <c r="H77" s="1327"/>
    </row>
    <row r="78" spans="1:8" s="1299" customFormat="1" ht="14.25" customHeight="1">
      <c r="A78" s="1307" t="s">
        <v>284</v>
      </c>
      <c r="B78" s="1312" t="s">
        <v>1755</v>
      </c>
      <c r="C78" s="1312">
        <v>14360</v>
      </c>
      <c r="D78" s="1312">
        <v>14320</v>
      </c>
      <c r="E78" s="1312">
        <v>12510</v>
      </c>
      <c r="F78" s="1320">
        <v>2700</v>
      </c>
      <c r="H78" s="1327"/>
    </row>
    <row r="79" spans="1:8" s="1299" customFormat="1" ht="14.25" customHeight="1">
      <c r="A79" s="1307" t="s">
        <v>284</v>
      </c>
      <c r="B79" s="1312" t="s">
        <v>1767</v>
      </c>
      <c r="C79" s="1312">
        <v>12590</v>
      </c>
      <c r="D79" s="1312">
        <v>12540</v>
      </c>
      <c r="E79" s="1312">
        <v>12350</v>
      </c>
      <c r="F79" s="1320">
        <v>2740</v>
      </c>
      <c r="H79" s="1327"/>
    </row>
    <row r="80" spans="1:8" s="1299" customFormat="1" ht="14.25" customHeight="1">
      <c r="A80" s="1307" t="s">
        <v>284</v>
      </c>
      <c r="B80" s="1312" t="s">
        <v>1779</v>
      </c>
      <c r="C80" s="1312">
        <v>12450</v>
      </c>
      <c r="D80" s="1312">
        <v>12370</v>
      </c>
      <c r="E80" s="1312">
        <v>10790</v>
      </c>
      <c r="F80" s="1320">
        <v>2290</v>
      </c>
      <c r="H80" s="1327"/>
    </row>
    <row r="81" spans="1:8" s="1299" customFormat="1" ht="14.25" customHeight="1">
      <c r="A81" s="1307" t="s">
        <v>284</v>
      </c>
      <c r="B81" s="1312" t="s">
        <v>1790</v>
      </c>
      <c r="C81" s="1312">
        <v>14210</v>
      </c>
      <c r="D81" s="1312">
        <v>14150</v>
      </c>
      <c r="E81" s="1312">
        <v>12730</v>
      </c>
      <c r="F81" s="1320">
        <v>2240</v>
      </c>
      <c r="H81" s="1327"/>
    </row>
    <row r="82" spans="1:8" s="1299" customFormat="1" ht="14.25" customHeight="1">
      <c r="A82" s="1307" t="s">
        <v>284</v>
      </c>
      <c r="B82" s="1312" t="s">
        <v>1801</v>
      </c>
      <c r="C82" s="1312">
        <v>10860</v>
      </c>
      <c r="D82" s="1312">
        <v>10820</v>
      </c>
      <c r="E82" s="1312">
        <v>14720</v>
      </c>
      <c r="F82" s="1320">
        <v>2490</v>
      </c>
      <c r="H82" s="1327"/>
    </row>
    <row r="83" spans="1:8" s="1299" customFormat="1" ht="14.25" customHeight="1">
      <c r="A83" s="1307" t="s">
        <v>284</v>
      </c>
      <c r="B83" s="1312" t="s">
        <v>1812</v>
      </c>
      <c r="C83" s="1312">
        <v>12810</v>
      </c>
      <c r="D83" s="1312">
        <v>12760</v>
      </c>
      <c r="E83" s="1312">
        <v>14830</v>
      </c>
      <c r="F83" s="1320">
        <v>2450</v>
      </c>
      <c r="H83" s="1327"/>
    </row>
    <row r="84" spans="1:8" s="1299" customFormat="1" ht="14.25" customHeight="1">
      <c r="A84" s="1307" t="s">
        <v>284</v>
      </c>
      <c r="B84" s="1312" t="s">
        <v>1822</v>
      </c>
      <c r="C84" s="1312">
        <v>14950</v>
      </c>
      <c r="D84" s="1312">
        <v>14810</v>
      </c>
      <c r="E84" s="1312">
        <v>12590</v>
      </c>
      <c r="F84" s="1320">
        <v>2540</v>
      </c>
      <c r="H84" s="1327"/>
    </row>
    <row r="85" spans="1:8" s="1299" customFormat="1" ht="14.25" customHeight="1">
      <c r="A85" s="1307" t="s">
        <v>284</v>
      </c>
      <c r="B85" s="1312" t="s">
        <v>1832</v>
      </c>
      <c r="C85" s="1312">
        <v>14960</v>
      </c>
      <c r="D85" s="1312">
        <v>14890</v>
      </c>
      <c r="E85" s="1312">
        <v>12840</v>
      </c>
      <c r="F85" s="1320">
        <v>2840</v>
      </c>
      <c r="H85" s="1327"/>
    </row>
    <row r="86" spans="1:8" s="1299" customFormat="1" ht="14.25" customHeight="1">
      <c r="A86" s="1307" t="s">
        <v>284</v>
      </c>
      <c r="B86" s="1312" t="s">
        <v>1842</v>
      </c>
      <c r="C86" s="1312">
        <v>12730</v>
      </c>
      <c r="D86" s="1312">
        <v>12660</v>
      </c>
      <c r="E86" s="1312">
        <v>13310</v>
      </c>
      <c r="F86" s="1320">
        <v>3140</v>
      </c>
      <c r="H86" s="1327"/>
    </row>
    <row r="87" spans="1:8" s="1299" customFormat="1" ht="14.25" customHeight="1">
      <c r="A87" s="1307" t="s">
        <v>284</v>
      </c>
      <c r="B87" s="1312" t="s">
        <v>1852</v>
      </c>
      <c r="C87" s="1312">
        <v>12940</v>
      </c>
      <c r="D87" s="1312">
        <v>12890</v>
      </c>
      <c r="E87" s="1312">
        <v>11580</v>
      </c>
      <c r="F87" s="1329"/>
      <c r="H87" s="1327"/>
    </row>
    <row r="88" spans="1:8" s="1299" customFormat="1" ht="14.25" customHeight="1">
      <c r="A88" s="1307" t="s">
        <v>284</v>
      </c>
      <c r="B88" s="1312" t="s">
        <v>1862</v>
      </c>
      <c r="C88" s="1312">
        <v>13430</v>
      </c>
      <c r="D88" s="1312">
        <v>13360</v>
      </c>
      <c r="E88" s="1312">
        <v>12790</v>
      </c>
      <c r="F88" s="1329"/>
      <c r="H88" s="1327"/>
    </row>
    <row r="89" spans="1:8" s="1299" customFormat="1" ht="14.25" customHeight="1">
      <c r="A89" s="1307" t="s">
        <v>284</v>
      </c>
      <c r="B89" s="1312" t="s">
        <v>1872</v>
      </c>
      <c r="C89" s="1312">
        <v>11680</v>
      </c>
      <c r="D89" s="1312">
        <v>11630</v>
      </c>
      <c r="E89" s="1312">
        <v>11320</v>
      </c>
      <c r="F89" s="1329"/>
      <c r="H89" s="1327"/>
    </row>
    <row r="90" spans="1:8" s="1299" customFormat="1" ht="14.25" customHeight="1">
      <c r="A90" s="1307" t="s">
        <v>284</v>
      </c>
      <c r="B90" s="1312" t="s">
        <v>1882</v>
      </c>
      <c r="C90" s="1312">
        <v>12890</v>
      </c>
      <c r="D90" s="1312">
        <v>12820</v>
      </c>
      <c r="E90" s="1312">
        <v>12710</v>
      </c>
      <c r="F90" s="1329"/>
      <c r="H90" s="1327"/>
    </row>
    <row r="91" spans="1:8" s="1299" customFormat="1" ht="14.25" customHeight="1">
      <c r="A91" s="1307" t="s">
        <v>284</v>
      </c>
      <c r="B91" s="1312" t="s">
        <v>1892</v>
      </c>
      <c r="C91" s="1312">
        <v>11410</v>
      </c>
      <c r="D91" s="1312">
        <v>11360</v>
      </c>
      <c r="E91" s="1312">
        <v>12670</v>
      </c>
      <c r="F91" s="1329"/>
      <c r="H91" s="1327"/>
    </row>
    <row r="92" spans="1:8" s="1299" customFormat="1" ht="14.25" customHeight="1">
      <c r="A92" s="1307" t="s">
        <v>284</v>
      </c>
      <c r="B92" s="1312" t="s">
        <v>1902</v>
      </c>
      <c r="C92" s="1312">
        <v>12770</v>
      </c>
      <c r="D92" s="1312">
        <v>12740</v>
      </c>
      <c r="E92" s="1312">
        <v>11970</v>
      </c>
      <c r="F92" s="1329"/>
      <c r="H92" s="1327"/>
    </row>
    <row r="93" spans="1:8" s="1299" customFormat="1" ht="14.25" customHeight="1">
      <c r="A93" s="1307" t="s">
        <v>284</v>
      </c>
      <c r="B93" s="1312" t="s">
        <v>1912</v>
      </c>
      <c r="C93" s="1312">
        <v>12740</v>
      </c>
      <c r="D93" s="1312">
        <v>12700</v>
      </c>
      <c r="E93" s="1312">
        <v>12540</v>
      </c>
      <c r="F93" s="1329"/>
      <c r="H93" s="1327"/>
    </row>
    <row r="94" spans="1:8" s="1299" customFormat="1" ht="14.25" customHeight="1">
      <c r="A94" s="1307" t="s">
        <v>284</v>
      </c>
      <c r="B94" s="1312" t="s">
        <v>1922</v>
      </c>
      <c r="C94" s="1312">
        <v>12020</v>
      </c>
      <c r="D94" s="1312">
        <v>11990</v>
      </c>
      <c r="E94" s="1312">
        <v>13110</v>
      </c>
      <c r="F94" s="1329"/>
      <c r="H94" s="1327"/>
    </row>
    <row r="95" spans="1:8" s="1299" customFormat="1" ht="14.25" customHeight="1">
      <c r="A95" s="1307" t="s">
        <v>284</v>
      </c>
      <c r="B95" s="1312" t="s">
        <v>1931</v>
      </c>
      <c r="C95" s="1312">
        <v>12620</v>
      </c>
      <c r="D95" s="1312">
        <v>12580</v>
      </c>
      <c r="E95" s="1312">
        <v>13160</v>
      </c>
      <c r="F95" s="1320"/>
      <c r="H95" s="1327"/>
    </row>
    <row r="96" spans="1:8" s="1299" customFormat="1" ht="14.25" customHeight="1">
      <c r="A96" s="1307" t="s">
        <v>284</v>
      </c>
      <c r="B96" s="1312" t="s">
        <v>1939</v>
      </c>
      <c r="C96" s="1312">
        <v>13200</v>
      </c>
      <c r="D96" s="1312">
        <v>13150</v>
      </c>
      <c r="E96" s="1312">
        <v>12900</v>
      </c>
      <c r="F96" s="1320"/>
      <c r="H96" s="1327"/>
    </row>
    <row r="97" spans="1:8" s="1299" customFormat="1" ht="14.25" customHeight="1">
      <c r="A97" s="1307" t="s">
        <v>284</v>
      </c>
      <c r="B97" s="1312" t="s">
        <v>1947</v>
      </c>
      <c r="C97" s="1312">
        <v>13270</v>
      </c>
      <c r="D97" s="1312">
        <v>13210</v>
      </c>
      <c r="E97" s="1312">
        <v>11080</v>
      </c>
      <c r="F97" s="1320"/>
      <c r="H97" s="1327"/>
    </row>
    <row r="98" spans="1:8" s="1299" customFormat="1" ht="14.25" customHeight="1">
      <c r="A98" s="1307" t="s">
        <v>284</v>
      </c>
      <c r="B98" s="1312" t="s">
        <v>1954</v>
      </c>
      <c r="C98" s="1312">
        <v>13010</v>
      </c>
      <c r="D98" s="1312">
        <v>12930</v>
      </c>
      <c r="E98" s="1312">
        <v>12840</v>
      </c>
      <c r="F98" s="1320"/>
      <c r="H98" s="1327"/>
    </row>
    <row r="99" spans="1:8" s="1299" customFormat="1" ht="14.25" customHeight="1">
      <c r="A99" s="1307" t="s">
        <v>284</v>
      </c>
      <c r="B99" s="1312" t="s">
        <v>1961</v>
      </c>
      <c r="C99" s="1312">
        <v>11190</v>
      </c>
      <c r="D99" s="1312">
        <v>11130</v>
      </c>
      <c r="E99" s="1312"/>
      <c r="F99" s="1320"/>
      <c r="H99" s="1327"/>
    </row>
    <row r="100" spans="1:8" s="1299" customFormat="1" ht="14.25" customHeight="1">
      <c r="A100" s="1307" t="s">
        <v>284</v>
      </c>
      <c r="B100" s="1312" t="s">
        <v>1968</v>
      </c>
      <c r="C100" s="1312">
        <v>14280</v>
      </c>
      <c r="D100" s="1312">
        <v>14180</v>
      </c>
      <c r="E100" s="1312"/>
      <c r="F100" s="1320"/>
      <c r="H100" s="1327"/>
    </row>
    <row r="101" spans="1:8" s="1299" customFormat="1" ht="14.25" customHeight="1">
      <c r="A101" s="1307" t="s">
        <v>284</v>
      </c>
      <c r="B101" s="1312" t="s">
        <v>1975</v>
      </c>
      <c r="C101" s="1312">
        <v>12960</v>
      </c>
      <c r="D101" s="1312">
        <v>12890</v>
      </c>
      <c r="E101" s="1312"/>
      <c r="F101" s="1320"/>
      <c r="H101" s="1327"/>
    </row>
    <row r="102" spans="1:8" s="1299" customFormat="1" ht="14.25" customHeight="1">
      <c r="A102" s="1307" t="s">
        <v>284</v>
      </c>
      <c r="B102" s="1312" t="s">
        <v>1982</v>
      </c>
      <c r="C102" s="1312"/>
      <c r="D102" s="1312"/>
      <c r="E102" s="1312"/>
      <c r="F102" s="1320">
        <v>3100</v>
      </c>
      <c r="H102" s="1327"/>
    </row>
    <row r="103" spans="1:8" s="1299" customFormat="1" ht="14.25" customHeight="1">
      <c r="A103" s="1307" t="s">
        <v>284</v>
      </c>
      <c r="B103" s="1312" t="s">
        <v>1987</v>
      </c>
      <c r="C103" s="1312"/>
      <c r="D103" s="1312"/>
      <c r="E103" s="1312"/>
      <c r="F103" s="1320">
        <v>2320</v>
      </c>
      <c r="H103" s="1327"/>
    </row>
    <row r="104" spans="1:8" s="1299" customFormat="1" ht="14.25" customHeight="1">
      <c r="A104" s="1307" t="s">
        <v>284</v>
      </c>
      <c r="B104" s="1312" t="s">
        <v>1992</v>
      </c>
      <c r="C104" s="1312"/>
      <c r="D104" s="1312"/>
      <c r="E104" s="1312"/>
      <c r="F104" s="1320">
        <v>2320</v>
      </c>
      <c r="H104" s="1327"/>
    </row>
    <row r="105" spans="1:8" s="1299" customFormat="1" ht="14.25" customHeight="1">
      <c r="A105" s="1307" t="s">
        <v>284</v>
      </c>
      <c r="B105" s="1312" t="s">
        <v>1997</v>
      </c>
      <c r="C105" s="1312"/>
      <c r="D105" s="1312"/>
      <c r="E105" s="1312"/>
      <c r="F105" s="1320">
        <v>2320</v>
      </c>
      <c r="H105" s="1327"/>
    </row>
    <row r="106" spans="1:8" s="1299" customFormat="1" ht="14.25" customHeight="1">
      <c r="A106" s="1307" t="s">
        <v>284</v>
      </c>
      <c r="B106" s="1312" t="s">
        <v>2002</v>
      </c>
      <c r="C106" s="1312"/>
      <c r="D106" s="1312"/>
      <c r="E106" s="1312"/>
      <c r="F106" s="1320">
        <v>2320</v>
      </c>
      <c r="H106" s="1327"/>
    </row>
    <row r="107" spans="1:8" s="1299" customFormat="1" ht="14.25" customHeight="1">
      <c r="A107" s="1307" t="s">
        <v>284</v>
      </c>
      <c r="B107" s="1312" t="s">
        <v>2007</v>
      </c>
      <c r="C107" s="1312"/>
      <c r="D107" s="1312"/>
      <c r="E107" s="1312"/>
      <c r="F107" s="1320">
        <v>2280</v>
      </c>
      <c r="H107" s="1327"/>
    </row>
    <row r="108" spans="1:8" s="1299" customFormat="1" ht="14.25" customHeight="1">
      <c r="A108" s="1307" t="s">
        <v>284</v>
      </c>
      <c r="B108" s="1312" t="s">
        <v>2012</v>
      </c>
      <c r="C108" s="1312"/>
      <c r="D108" s="1312"/>
      <c r="E108" s="1312"/>
      <c r="F108" s="1320">
        <v>2280</v>
      </c>
      <c r="H108" s="1327"/>
    </row>
    <row r="109" spans="1:8" s="1299" customFormat="1" ht="14.25" customHeight="1">
      <c r="A109" s="1307" t="s">
        <v>284</v>
      </c>
      <c r="B109" s="1318" t="s">
        <v>2017</v>
      </c>
      <c r="C109" s="1318"/>
      <c r="D109" s="1318"/>
      <c r="E109" s="1318"/>
      <c r="F109" s="1328">
        <v>2280</v>
      </c>
      <c r="H109" s="1327"/>
    </row>
    <row r="110" spans="1:8" s="1299" customFormat="1" ht="14.25" customHeight="1">
      <c r="A110" s="1307" t="s">
        <v>292</v>
      </c>
      <c r="B110" s="1308" t="s">
        <v>1730</v>
      </c>
      <c r="C110" s="1308">
        <v>10520</v>
      </c>
      <c r="D110" s="1308">
        <v>10490</v>
      </c>
      <c r="E110" s="1308">
        <v>10760</v>
      </c>
      <c r="F110" s="1309">
        <v>2160</v>
      </c>
      <c r="H110" s="1327"/>
    </row>
    <row r="111" spans="1:8" s="1299" customFormat="1" ht="14.25" customHeight="1">
      <c r="A111" s="1307" t="s">
        <v>292</v>
      </c>
      <c r="B111" s="1312" t="s">
        <v>1743</v>
      </c>
      <c r="C111" s="1312">
        <v>10090</v>
      </c>
      <c r="D111" s="1312">
        <v>10060</v>
      </c>
      <c r="E111" s="1312">
        <v>10300</v>
      </c>
      <c r="F111" s="1320">
        <v>2010</v>
      </c>
      <c r="H111" s="1327"/>
    </row>
    <row r="112" spans="1:8" s="1299" customFormat="1" ht="14.25" customHeight="1">
      <c r="A112" s="1307" t="s">
        <v>292</v>
      </c>
      <c r="B112" s="1312" t="s">
        <v>1756</v>
      </c>
      <c r="C112" s="1312">
        <v>9910</v>
      </c>
      <c r="D112" s="1312">
        <v>9850</v>
      </c>
      <c r="E112" s="1312">
        <v>9960</v>
      </c>
      <c r="F112" s="1320">
        <v>2090</v>
      </c>
      <c r="H112" s="1327"/>
    </row>
    <row r="113" spans="1:8" s="1299" customFormat="1" ht="14.25" customHeight="1">
      <c r="A113" s="1307" t="s">
        <v>292</v>
      </c>
      <c r="B113" s="1312" t="s">
        <v>1768</v>
      </c>
      <c r="C113" s="1312">
        <v>11430</v>
      </c>
      <c r="D113" s="1312">
        <v>11400</v>
      </c>
      <c r="E113" s="1312">
        <v>11710</v>
      </c>
      <c r="F113" s="1320">
        <v>2050</v>
      </c>
      <c r="H113" s="1327"/>
    </row>
    <row r="114" spans="1:8" s="1299" customFormat="1" ht="14.25" customHeight="1">
      <c r="A114" s="1307" t="s">
        <v>292</v>
      </c>
      <c r="B114" s="1312" t="s">
        <v>1780</v>
      </c>
      <c r="C114" s="1312">
        <v>11390</v>
      </c>
      <c r="D114" s="1312">
        <v>11350</v>
      </c>
      <c r="E114" s="1312">
        <v>11640</v>
      </c>
      <c r="F114" s="1320">
        <v>1620</v>
      </c>
      <c r="H114" s="1327"/>
    </row>
    <row r="115" spans="1:8" s="1299" customFormat="1" ht="14.25" customHeight="1">
      <c r="A115" s="1307" t="s">
        <v>292</v>
      </c>
      <c r="B115" s="1312" t="s">
        <v>1791</v>
      </c>
      <c r="C115" s="1312">
        <v>9930</v>
      </c>
      <c r="D115" s="1312">
        <v>9900</v>
      </c>
      <c r="E115" s="1312">
        <v>10160</v>
      </c>
      <c r="F115" s="1320">
        <v>1580</v>
      </c>
      <c r="H115" s="1327"/>
    </row>
    <row r="116" spans="1:8" s="1299" customFormat="1" ht="14.25" customHeight="1">
      <c r="A116" s="1307" t="s">
        <v>292</v>
      </c>
      <c r="B116" s="1312" t="s">
        <v>1802</v>
      </c>
      <c r="C116" s="1312">
        <v>9150</v>
      </c>
      <c r="D116" s="1312">
        <v>9120</v>
      </c>
      <c r="E116" s="1312">
        <v>9380</v>
      </c>
      <c r="F116" s="1320">
        <v>1750</v>
      </c>
      <c r="H116" s="1327"/>
    </row>
    <row r="117" spans="1:8" s="1299" customFormat="1" ht="14.25" customHeight="1">
      <c r="A117" s="1307" t="s">
        <v>292</v>
      </c>
      <c r="B117" s="1312" t="s">
        <v>1813</v>
      </c>
      <c r="C117" s="1312">
        <v>10680</v>
      </c>
      <c r="D117" s="1312">
        <v>10650</v>
      </c>
      <c r="E117" s="1312">
        <v>10970</v>
      </c>
      <c r="F117" s="1320">
        <v>1730</v>
      </c>
      <c r="H117" s="1327"/>
    </row>
    <row r="118" spans="1:8" s="1299" customFormat="1" ht="14.25" customHeight="1">
      <c r="A118" s="1307" t="s">
        <v>292</v>
      </c>
      <c r="B118" s="1312" t="s">
        <v>1823</v>
      </c>
      <c r="C118" s="1312">
        <v>10080</v>
      </c>
      <c r="D118" s="1312">
        <v>10050</v>
      </c>
      <c r="E118" s="1312">
        <v>10350</v>
      </c>
      <c r="F118" s="1320">
        <v>1920</v>
      </c>
      <c r="H118" s="1327"/>
    </row>
    <row r="119" spans="1:8" s="1299" customFormat="1" ht="14.25" customHeight="1">
      <c r="A119" s="1307" t="s">
        <v>292</v>
      </c>
      <c r="B119" s="1312" t="s">
        <v>1833</v>
      </c>
      <c r="C119" s="1312">
        <v>9450</v>
      </c>
      <c r="D119" s="1312">
        <v>9410</v>
      </c>
      <c r="E119" s="1312">
        <v>9680</v>
      </c>
      <c r="F119" s="1320">
        <v>1880</v>
      </c>
      <c r="H119" s="1327"/>
    </row>
    <row r="120" spans="1:8" s="1299" customFormat="1" ht="14.25" customHeight="1">
      <c r="A120" s="1307" t="s">
        <v>292</v>
      </c>
      <c r="B120" s="1312" t="s">
        <v>1843</v>
      </c>
      <c r="C120" s="1312">
        <v>8730</v>
      </c>
      <c r="D120" s="1312">
        <v>8700</v>
      </c>
      <c r="E120" s="1312">
        <v>8950</v>
      </c>
      <c r="F120" s="1320">
        <v>1830</v>
      </c>
      <c r="H120" s="1327"/>
    </row>
    <row r="121" spans="1:8" s="1299" customFormat="1" ht="14.25" customHeight="1">
      <c r="A121" s="1307" t="s">
        <v>292</v>
      </c>
      <c r="B121" s="1312" t="s">
        <v>1853</v>
      </c>
      <c r="C121" s="1312">
        <v>10070</v>
      </c>
      <c r="D121" s="1312">
        <v>10040</v>
      </c>
      <c r="E121" s="1312">
        <v>10270</v>
      </c>
      <c r="F121" s="1320">
        <v>1960</v>
      </c>
      <c r="H121" s="1327"/>
    </row>
    <row r="122" spans="1:8" s="1299" customFormat="1" ht="14.25" customHeight="1">
      <c r="A122" s="1307" t="s">
        <v>292</v>
      </c>
      <c r="B122" s="1312" t="s">
        <v>1863</v>
      </c>
      <c r="C122" s="1312">
        <v>10500</v>
      </c>
      <c r="D122" s="1312">
        <v>10470</v>
      </c>
      <c r="E122" s="1312">
        <v>10780</v>
      </c>
      <c r="F122" s="1320">
        <v>2180</v>
      </c>
      <c r="H122" s="1327"/>
    </row>
    <row r="123" spans="1:8" s="1299" customFormat="1" ht="14.25" customHeight="1">
      <c r="A123" s="1307" t="s">
        <v>292</v>
      </c>
      <c r="B123" s="1312" t="s">
        <v>1873</v>
      </c>
      <c r="C123" s="1312">
        <v>10390</v>
      </c>
      <c r="D123" s="1312">
        <v>10360</v>
      </c>
      <c r="E123" s="1312">
        <v>10660</v>
      </c>
      <c r="F123" s="1320">
        <v>2040</v>
      </c>
      <c r="H123" s="1327"/>
    </row>
    <row r="124" spans="1:8" s="1299" customFormat="1" ht="14.25" customHeight="1">
      <c r="A124" s="1307" t="s">
        <v>292</v>
      </c>
      <c r="B124" s="1312" t="s">
        <v>1883</v>
      </c>
      <c r="C124" s="1312">
        <v>10390</v>
      </c>
      <c r="D124" s="1312">
        <v>10360</v>
      </c>
      <c r="E124" s="1312">
        <v>10680</v>
      </c>
      <c r="F124" s="1329"/>
      <c r="H124" s="1327"/>
    </row>
    <row r="125" spans="1:8" s="1299" customFormat="1" ht="14.25" customHeight="1">
      <c r="A125" s="1307" t="s">
        <v>292</v>
      </c>
      <c r="B125" s="1312" t="s">
        <v>1893</v>
      </c>
      <c r="C125" s="1312">
        <v>10440</v>
      </c>
      <c r="D125" s="1312">
        <v>10410</v>
      </c>
      <c r="E125" s="1312">
        <v>10710</v>
      </c>
      <c r="F125" s="1329"/>
      <c r="H125" s="1327"/>
    </row>
    <row r="126" spans="1:8" s="1299" customFormat="1" ht="14.25" customHeight="1">
      <c r="A126" s="1307" t="s">
        <v>292</v>
      </c>
      <c r="B126" s="1312" t="s">
        <v>1903</v>
      </c>
      <c r="C126" s="1312">
        <v>10780</v>
      </c>
      <c r="D126" s="1312">
        <v>10750</v>
      </c>
      <c r="E126" s="1312">
        <v>11080</v>
      </c>
      <c r="F126" s="1329"/>
      <c r="H126" s="1327"/>
    </row>
    <row r="127" spans="1:8" s="1299" customFormat="1" ht="14.25" customHeight="1">
      <c r="A127" s="1307" t="s">
        <v>292</v>
      </c>
      <c r="B127" s="1312" t="s">
        <v>1913</v>
      </c>
      <c r="C127" s="1312">
        <v>10100</v>
      </c>
      <c r="D127" s="1312">
        <v>10070</v>
      </c>
      <c r="E127" s="1312">
        <v>10350</v>
      </c>
      <c r="F127" s="1329"/>
      <c r="H127" s="1327"/>
    </row>
    <row r="128" spans="1:8" s="1299" customFormat="1" ht="14.25" customHeight="1">
      <c r="A128" s="1307" t="s">
        <v>292</v>
      </c>
      <c r="B128" s="1312" t="s">
        <v>1923</v>
      </c>
      <c r="C128" s="1312">
        <v>9200</v>
      </c>
      <c r="D128" s="1312">
        <v>9160</v>
      </c>
      <c r="E128" s="1312">
        <v>9660</v>
      </c>
      <c r="F128" s="1329"/>
      <c r="H128" s="1327"/>
    </row>
    <row r="129" spans="1:8" s="1299" customFormat="1" ht="14.25" customHeight="1">
      <c r="A129" s="1307" t="s">
        <v>292</v>
      </c>
      <c r="B129" s="1312" t="s">
        <v>1932</v>
      </c>
      <c r="C129" s="1312">
        <v>10340</v>
      </c>
      <c r="D129" s="1312">
        <v>10310</v>
      </c>
      <c r="E129" s="1312">
        <v>10580</v>
      </c>
      <c r="F129" s="1329"/>
      <c r="H129" s="1327"/>
    </row>
    <row r="130" spans="1:8" s="1299" customFormat="1" ht="14.25" customHeight="1">
      <c r="A130" s="1307" t="s">
        <v>292</v>
      </c>
      <c r="B130" s="1312" t="s">
        <v>1940</v>
      </c>
      <c r="C130" s="1312">
        <v>9680</v>
      </c>
      <c r="D130" s="1312">
        <v>9660</v>
      </c>
      <c r="E130" s="1312">
        <v>9950</v>
      </c>
      <c r="F130" s="1329"/>
      <c r="H130" s="1327"/>
    </row>
    <row r="131" spans="1:8" s="1299" customFormat="1" ht="14.25" customHeight="1">
      <c r="A131" s="1307" t="s">
        <v>292</v>
      </c>
      <c r="B131" s="1312" t="s">
        <v>1948</v>
      </c>
      <c r="C131" s="1312">
        <v>9540</v>
      </c>
      <c r="D131" s="1312">
        <v>9510</v>
      </c>
      <c r="E131" s="1312">
        <v>9790</v>
      </c>
      <c r="F131" s="1329"/>
      <c r="H131" s="1327"/>
    </row>
    <row r="132" spans="1:8" s="1299" customFormat="1" ht="14.25" customHeight="1">
      <c r="A132" s="1307" t="s">
        <v>292</v>
      </c>
      <c r="B132" s="1312" t="s">
        <v>1955</v>
      </c>
      <c r="C132" s="1312">
        <v>9320</v>
      </c>
      <c r="D132" s="1312">
        <v>9290</v>
      </c>
      <c r="E132" s="1312">
        <v>9570</v>
      </c>
      <c r="F132" s="1329"/>
      <c r="H132" s="1327"/>
    </row>
    <row r="133" spans="1:8" s="1299" customFormat="1" ht="14.25" customHeight="1">
      <c r="A133" s="1307" t="s">
        <v>292</v>
      </c>
      <c r="B133" s="1312" t="s">
        <v>1962</v>
      </c>
      <c r="C133" s="1312">
        <v>10310</v>
      </c>
      <c r="D133" s="1312">
        <v>10280</v>
      </c>
      <c r="E133" s="1312">
        <v>10530</v>
      </c>
      <c r="F133" s="1329"/>
      <c r="H133" s="1327"/>
    </row>
    <row r="134" spans="1:8" s="1299" customFormat="1" ht="14.25" customHeight="1">
      <c r="A134" s="1307" t="s">
        <v>292</v>
      </c>
      <c r="B134" s="1312" t="s">
        <v>1969</v>
      </c>
      <c r="C134" s="1312">
        <v>10370</v>
      </c>
      <c r="D134" s="1312">
        <v>10310</v>
      </c>
      <c r="E134" s="1312">
        <v>10240</v>
      </c>
      <c r="F134" s="1320">
        <v>2060</v>
      </c>
      <c r="H134" s="1327"/>
    </row>
    <row r="135" spans="1:8" s="1299" customFormat="1" ht="14.25" customHeight="1">
      <c r="A135" s="1307" t="s">
        <v>292</v>
      </c>
      <c r="B135" s="1312" t="s">
        <v>1976</v>
      </c>
      <c r="C135" s="1312">
        <v>9300</v>
      </c>
      <c r="D135" s="1312">
        <v>9270</v>
      </c>
      <c r="E135" s="1312">
        <v>9350</v>
      </c>
      <c r="F135" s="1329"/>
      <c r="H135" s="1327"/>
    </row>
    <row r="136" spans="1:8" s="1299" customFormat="1" ht="14.25" customHeight="1">
      <c r="A136" s="1307" t="s">
        <v>292</v>
      </c>
      <c r="B136" s="1312" t="s">
        <v>1983</v>
      </c>
      <c r="C136" s="1312">
        <v>10160</v>
      </c>
      <c r="D136" s="1312">
        <v>10110</v>
      </c>
      <c r="E136" s="1312">
        <v>10080</v>
      </c>
      <c r="F136" s="1329"/>
      <c r="H136" s="1327"/>
    </row>
    <row r="137" spans="1:8" s="1299" customFormat="1" ht="14.25" customHeight="1">
      <c r="A137" s="1307" t="s">
        <v>292</v>
      </c>
      <c r="B137" s="1312" t="s">
        <v>1988</v>
      </c>
      <c r="C137" s="1312">
        <v>9200</v>
      </c>
      <c r="D137" s="1312">
        <v>9170</v>
      </c>
      <c r="E137" s="1312">
        <v>9450</v>
      </c>
      <c r="F137" s="1329"/>
      <c r="H137" s="1327"/>
    </row>
    <row r="138" spans="1:8" s="1299" customFormat="1" ht="14.25" customHeight="1">
      <c r="A138" s="1307" t="s">
        <v>292</v>
      </c>
      <c r="B138" s="1312" t="s">
        <v>1993</v>
      </c>
      <c r="C138" s="1312">
        <v>9690</v>
      </c>
      <c r="D138" s="1312">
        <v>9660</v>
      </c>
      <c r="E138" s="1312">
        <v>9840</v>
      </c>
      <c r="F138" s="1329"/>
      <c r="H138" s="1327"/>
    </row>
    <row r="139" spans="1:8" s="1299" customFormat="1" ht="14.25" customHeight="1">
      <c r="A139" s="1307" t="s">
        <v>292</v>
      </c>
      <c r="B139" s="1312" t="s">
        <v>1998</v>
      </c>
      <c r="C139" s="1312">
        <v>10290</v>
      </c>
      <c r="D139" s="1312">
        <v>10260</v>
      </c>
      <c r="E139" s="1312">
        <v>10550</v>
      </c>
      <c r="F139" s="1320">
        <v>1700</v>
      </c>
      <c r="H139" s="1327"/>
    </row>
    <row r="140" spans="1:8" s="1299" customFormat="1" ht="14.25" customHeight="1">
      <c r="A140" s="1307" t="s">
        <v>292</v>
      </c>
      <c r="B140" s="1312" t="s">
        <v>2003</v>
      </c>
      <c r="C140" s="1312">
        <v>9740</v>
      </c>
      <c r="D140" s="1312">
        <v>9710</v>
      </c>
      <c r="E140" s="1312">
        <v>10000</v>
      </c>
      <c r="F140" s="1320">
        <v>2000</v>
      </c>
      <c r="H140" s="1327"/>
    </row>
    <row r="141" spans="1:8" s="1299" customFormat="1" ht="14.25" customHeight="1">
      <c r="A141" s="1307" t="s">
        <v>292</v>
      </c>
      <c r="B141" s="1312" t="s">
        <v>2008</v>
      </c>
      <c r="C141" s="1312">
        <v>9810</v>
      </c>
      <c r="D141" s="1312">
        <v>9770</v>
      </c>
      <c r="E141" s="1312">
        <v>10060</v>
      </c>
      <c r="F141" s="1329"/>
      <c r="H141" s="1327"/>
    </row>
    <row r="142" spans="1:8" s="1299" customFormat="1" ht="14.25" customHeight="1">
      <c r="A142" s="1307" t="s">
        <v>292</v>
      </c>
      <c r="B142" s="1312" t="s">
        <v>2013</v>
      </c>
      <c r="C142" s="1312">
        <v>9300</v>
      </c>
      <c r="D142" s="1312">
        <v>9270</v>
      </c>
      <c r="E142" s="1312">
        <v>9530</v>
      </c>
      <c r="F142" s="1329"/>
      <c r="H142" s="1327"/>
    </row>
    <row r="143" spans="1:8" s="1299" customFormat="1" ht="14.25" customHeight="1">
      <c r="A143" s="1307" t="s">
        <v>292</v>
      </c>
      <c r="B143" s="1312" t="s">
        <v>2018</v>
      </c>
      <c r="C143" s="1312">
        <v>10080</v>
      </c>
      <c r="D143" s="1312">
        <v>10050</v>
      </c>
      <c r="E143" s="1312">
        <v>10340</v>
      </c>
      <c r="F143" s="1329"/>
      <c r="H143" s="1327"/>
    </row>
    <row r="144" spans="1:8" s="1299" customFormat="1" ht="14.25" customHeight="1">
      <c r="A144" s="1307" t="s">
        <v>292</v>
      </c>
      <c r="B144" s="1312" t="s">
        <v>2022</v>
      </c>
      <c r="C144" s="1312">
        <v>9820</v>
      </c>
      <c r="D144" s="1312">
        <v>9750</v>
      </c>
      <c r="E144" s="1312">
        <v>9900</v>
      </c>
      <c r="F144" s="1329"/>
      <c r="H144" s="1327"/>
    </row>
    <row r="145" spans="1:8" s="1299" customFormat="1" ht="14.25" customHeight="1">
      <c r="A145" s="1307" t="s">
        <v>292</v>
      </c>
      <c r="B145" s="1312" t="s">
        <v>2026</v>
      </c>
      <c r="C145" s="1312"/>
      <c r="D145" s="1312"/>
      <c r="E145" s="1312"/>
      <c r="F145" s="1320">
        <v>1740</v>
      </c>
      <c r="H145" s="1327"/>
    </row>
    <row r="146" spans="1:8" s="1299" customFormat="1" ht="14.25" customHeight="1">
      <c r="A146" s="1307" t="s">
        <v>292</v>
      </c>
      <c r="B146" s="1312" t="s">
        <v>2030</v>
      </c>
      <c r="C146" s="1312"/>
      <c r="D146" s="1312"/>
      <c r="E146" s="1312"/>
      <c r="F146" s="1320">
        <v>1740</v>
      </c>
      <c r="H146" s="1327"/>
    </row>
    <row r="147" spans="1:8" s="1299" customFormat="1" ht="14.25" customHeight="1">
      <c r="A147" s="1307" t="s">
        <v>292</v>
      </c>
      <c r="B147" s="1312" t="s">
        <v>2034</v>
      </c>
      <c r="C147" s="1312"/>
      <c r="D147" s="1312"/>
      <c r="E147" s="1312"/>
      <c r="F147" s="1320">
        <v>1740</v>
      </c>
      <c r="H147" s="1327"/>
    </row>
    <row r="148" spans="1:8" s="1299" customFormat="1" ht="14.25" customHeight="1">
      <c r="A148" s="1307" t="s">
        <v>292</v>
      </c>
      <c r="B148" s="1312" t="s">
        <v>2038</v>
      </c>
      <c r="C148" s="1312"/>
      <c r="D148" s="1312"/>
      <c r="E148" s="1312"/>
      <c r="F148" s="1320">
        <v>1740</v>
      </c>
      <c r="H148" s="1327"/>
    </row>
    <row r="149" spans="1:8" s="1299" customFormat="1" ht="14.25" customHeight="1">
      <c r="A149" s="1307" t="s">
        <v>292</v>
      </c>
      <c r="B149" s="1312" t="s">
        <v>2042</v>
      </c>
      <c r="C149" s="1312"/>
      <c r="D149" s="1312"/>
      <c r="E149" s="1312"/>
      <c r="F149" s="1320">
        <v>1740</v>
      </c>
      <c r="H149" s="1327"/>
    </row>
    <row r="150" spans="1:8" s="1299" customFormat="1" ht="14.25" customHeight="1">
      <c r="A150" s="1307" t="s">
        <v>292</v>
      </c>
      <c r="B150" s="1312" t="s">
        <v>2045</v>
      </c>
      <c r="C150" s="1312"/>
      <c r="D150" s="1312"/>
      <c r="E150" s="1312"/>
      <c r="F150" s="1320">
        <v>1610</v>
      </c>
      <c r="H150" s="1327"/>
    </row>
    <row r="151" spans="1:8" s="1299" customFormat="1" ht="14.25" customHeight="1">
      <c r="A151" s="1307" t="s">
        <v>292</v>
      </c>
      <c r="B151" s="1312" t="s">
        <v>2048</v>
      </c>
      <c r="C151" s="1312"/>
      <c r="D151" s="1312"/>
      <c r="E151" s="1312"/>
      <c r="F151" s="1320">
        <v>1610</v>
      </c>
      <c r="H151" s="1327"/>
    </row>
    <row r="152" spans="1:8" s="1299" customFormat="1" ht="14.25" customHeight="1">
      <c r="A152" s="1307" t="s">
        <v>292</v>
      </c>
      <c r="B152" s="1312" t="s">
        <v>2051</v>
      </c>
      <c r="C152" s="1312"/>
      <c r="D152" s="1312"/>
      <c r="E152" s="1312"/>
      <c r="F152" s="1320">
        <v>1610</v>
      </c>
      <c r="H152" s="1327"/>
    </row>
    <row r="153" spans="1:8" s="1299" customFormat="1" ht="14.25" customHeight="1">
      <c r="A153" s="1307" t="s">
        <v>292</v>
      </c>
      <c r="B153" s="1312" t="s">
        <v>2054</v>
      </c>
      <c r="C153" s="1312"/>
      <c r="D153" s="1312"/>
      <c r="E153" s="1312"/>
      <c r="F153" s="1320">
        <v>1610</v>
      </c>
      <c r="H153" s="1327"/>
    </row>
    <row r="154" spans="1:8" s="1299" customFormat="1" ht="14.25" customHeight="1">
      <c r="A154" s="1307" t="s">
        <v>292</v>
      </c>
      <c r="B154" s="1312" t="s">
        <v>2057</v>
      </c>
      <c r="C154" s="1312"/>
      <c r="D154" s="1312"/>
      <c r="E154" s="1312"/>
      <c r="F154" s="1320">
        <v>1610</v>
      </c>
      <c r="H154" s="1327"/>
    </row>
    <row r="155" spans="1:8" s="1299" customFormat="1" ht="14.25" customHeight="1">
      <c r="A155" s="1307" t="s">
        <v>292</v>
      </c>
      <c r="B155" s="1312" t="s">
        <v>2060</v>
      </c>
      <c r="C155" s="1312"/>
      <c r="D155" s="1312"/>
      <c r="E155" s="1312"/>
      <c r="F155" s="1320">
        <v>1800</v>
      </c>
      <c r="H155" s="1327"/>
    </row>
    <row r="156" spans="1:8" s="1299" customFormat="1" ht="14.25" customHeight="1">
      <c r="A156" s="1307" t="s">
        <v>292</v>
      </c>
      <c r="B156" s="1312" t="s">
        <v>2062</v>
      </c>
      <c r="C156" s="1312"/>
      <c r="D156" s="1312"/>
      <c r="E156" s="1312"/>
      <c r="F156" s="1320">
        <v>1910</v>
      </c>
      <c r="H156" s="1327"/>
    </row>
    <row r="157" spans="1:8" s="1299" customFormat="1" ht="14.25" customHeight="1">
      <c r="A157" s="1307" t="s">
        <v>292</v>
      </c>
      <c r="B157" s="1318" t="s">
        <v>2064</v>
      </c>
      <c r="C157" s="1318"/>
      <c r="D157" s="1318"/>
      <c r="E157" s="1318"/>
      <c r="F157" s="1328">
        <v>1500</v>
      </c>
      <c r="H157" s="1327"/>
    </row>
    <row r="158" spans="1:8" s="1299" customFormat="1" ht="14.25" customHeight="1">
      <c r="A158" s="1307" t="s">
        <v>297</v>
      </c>
      <c r="B158" s="1308" t="s">
        <v>1731</v>
      </c>
      <c r="C158" s="1308">
        <v>8170</v>
      </c>
      <c r="D158" s="1308">
        <v>8140</v>
      </c>
      <c r="E158" s="1308">
        <v>8590</v>
      </c>
      <c r="F158" s="1309">
        <v>1450</v>
      </c>
      <c r="H158" s="1327"/>
    </row>
    <row r="159" spans="1:8" s="1299" customFormat="1" ht="14.25" customHeight="1">
      <c r="A159" s="1307" t="s">
        <v>297</v>
      </c>
      <c r="B159" s="1312" t="s">
        <v>1744</v>
      </c>
      <c r="C159" s="1312">
        <v>7410</v>
      </c>
      <c r="D159" s="1312">
        <v>7370</v>
      </c>
      <c r="E159" s="1312">
        <v>8030</v>
      </c>
      <c r="F159" s="1320">
        <v>1510</v>
      </c>
      <c r="H159" s="1327"/>
    </row>
    <row r="160" spans="1:8" s="1299" customFormat="1" ht="14.25" customHeight="1">
      <c r="A160" s="1307" t="s">
        <v>297</v>
      </c>
      <c r="B160" s="1312" t="s">
        <v>1757</v>
      </c>
      <c r="C160" s="1312">
        <v>7240</v>
      </c>
      <c r="D160" s="1312">
        <v>7210</v>
      </c>
      <c r="E160" s="1312">
        <v>7860</v>
      </c>
      <c r="F160" s="1320">
        <v>1370</v>
      </c>
      <c r="H160" s="1327"/>
    </row>
    <row r="161" spans="1:8" s="1299" customFormat="1" ht="14.25" customHeight="1">
      <c r="A161" s="1307" t="s">
        <v>297</v>
      </c>
      <c r="B161" s="1312" t="s">
        <v>1769</v>
      </c>
      <c r="C161" s="1312">
        <v>7720</v>
      </c>
      <c r="D161" s="1312">
        <v>7690</v>
      </c>
      <c r="E161" s="1312">
        <v>8200</v>
      </c>
      <c r="F161" s="1320">
        <v>1190</v>
      </c>
      <c r="H161" s="1327"/>
    </row>
    <row r="162" spans="1:8" s="1299" customFormat="1" ht="14.25" customHeight="1">
      <c r="A162" s="1307" t="s">
        <v>297</v>
      </c>
      <c r="B162" s="1312" t="s">
        <v>1781</v>
      </c>
      <c r="C162" s="1312">
        <v>6900</v>
      </c>
      <c r="D162" s="1312">
        <v>6870</v>
      </c>
      <c r="E162" s="1312">
        <v>7500</v>
      </c>
      <c r="F162" s="1320">
        <v>1390</v>
      </c>
      <c r="H162" s="1327"/>
    </row>
    <row r="163" spans="1:8" s="1299" customFormat="1" ht="14.25" customHeight="1">
      <c r="A163" s="1307" t="s">
        <v>297</v>
      </c>
      <c r="B163" s="1312" t="s">
        <v>1792</v>
      </c>
      <c r="C163" s="1312">
        <v>7120</v>
      </c>
      <c r="D163" s="1312">
        <v>7090</v>
      </c>
      <c r="E163" s="1312">
        <v>7690</v>
      </c>
      <c r="F163" s="1320">
        <v>1230</v>
      </c>
      <c r="H163" s="1327"/>
    </row>
    <row r="164" spans="1:8" s="1299" customFormat="1" ht="14.25" customHeight="1">
      <c r="A164" s="1307" t="s">
        <v>297</v>
      </c>
      <c r="B164" s="1312" t="s">
        <v>1803</v>
      </c>
      <c r="C164" s="1312">
        <v>6560</v>
      </c>
      <c r="D164" s="1312">
        <v>6530</v>
      </c>
      <c r="E164" s="1312">
        <v>7110</v>
      </c>
      <c r="F164" s="1320">
        <v>1340</v>
      </c>
      <c r="H164" s="1327"/>
    </row>
    <row r="165" spans="1:8" s="1299" customFormat="1" ht="14.25" customHeight="1">
      <c r="A165" s="1307" t="s">
        <v>297</v>
      </c>
      <c r="B165" s="1312" t="s">
        <v>1814</v>
      </c>
      <c r="C165" s="1312">
        <v>7450</v>
      </c>
      <c r="D165" s="1312">
        <v>7430</v>
      </c>
      <c r="E165" s="1312">
        <v>8110</v>
      </c>
      <c r="F165" s="1320">
        <v>1290</v>
      </c>
      <c r="H165" s="1327"/>
    </row>
    <row r="166" spans="1:8" s="1299" customFormat="1" ht="14.25" customHeight="1">
      <c r="A166" s="1307" t="s">
        <v>297</v>
      </c>
      <c r="B166" s="1312" t="s">
        <v>1824</v>
      </c>
      <c r="C166" s="1312">
        <v>7490</v>
      </c>
      <c r="D166" s="1312">
        <v>7460</v>
      </c>
      <c r="E166" s="1312">
        <v>8150</v>
      </c>
      <c r="F166" s="1320">
        <v>1350</v>
      </c>
      <c r="H166" s="1327"/>
    </row>
    <row r="167" spans="1:8" s="1299" customFormat="1" ht="14.25" customHeight="1">
      <c r="A167" s="1307" t="s">
        <v>297</v>
      </c>
      <c r="B167" s="1312" t="s">
        <v>1834</v>
      </c>
      <c r="C167" s="1312">
        <v>7540</v>
      </c>
      <c r="D167" s="1312">
        <v>7510</v>
      </c>
      <c r="E167" s="1312">
        <v>8030</v>
      </c>
      <c r="F167" s="1329"/>
      <c r="H167" s="1327"/>
    </row>
    <row r="168" spans="1:8" s="1299" customFormat="1" ht="14.25" customHeight="1">
      <c r="A168" s="1307" t="s">
        <v>297</v>
      </c>
      <c r="B168" s="1312" t="s">
        <v>1844</v>
      </c>
      <c r="C168" s="1312">
        <v>7210</v>
      </c>
      <c r="D168" s="1312">
        <v>7180</v>
      </c>
      <c r="E168" s="1312">
        <v>7830</v>
      </c>
      <c r="F168" s="1329"/>
      <c r="H168" s="1327"/>
    </row>
    <row r="169" spans="1:8" s="1299" customFormat="1" ht="14.25" customHeight="1">
      <c r="A169" s="1307" t="s">
        <v>297</v>
      </c>
      <c r="B169" s="1312" t="s">
        <v>1854</v>
      </c>
      <c r="C169" s="1312">
        <v>7040</v>
      </c>
      <c r="D169" s="1312">
        <v>7020</v>
      </c>
      <c r="E169" s="1312">
        <v>7670</v>
      </c>
      <c r="F169" s="1329"/>
      <c r="H169" s="1327"/>
    </row>
    <row r="170" spans="1:8" s="1299" customFormat="1" ht="14.25" customHeight="1">
      <c r="A170" s="1307" t="s">
        <v>297</v>
      </c>
      <c r="B170" s="1312" t="s">
        <v>1864</v>
      </c>
      <c r="C170" s="1312">
        <v>8040</v>
      </c>
      <c r="D170" s="1312">
        <v>7190</v>
      </c>
      <c r="E170" s="1312">
        <v>7850</v>
      </c>
      <c r="F170" s="1329"/>
      <c r="H170" s="1327"/>
    </row>
    <row r="171" spans="1:8" s="1299" customFormat="1" ht="14.25" customHeight="1">
      <c r="A171" s="1307" t="s">
        <v>297</v>
      </c>
      <c r="B171" s="1312" t="s">
        <v>1874</v>
      </c>
      <c r="C171" s="1312">
        <v>7860</v>
      </c>
      <c r="D171" s="1312">
        <v>7720</v>
      </c>
      <c r="E171" s="1312">
        <v>8150</v>
      </c>
      <c r="F171" s="1320">
        <v>1110</v>
      </c>
      <c r="H171" s="1327"/>
    </row>
    <row r="172" spans="1:8" s="1299" customFormat="1" ht="14.25" customHeight="1">
      <c r="A172" s="1307" t="s">
        <v>297</v>
      </c>
      <c r="B172" s="1312" t="s">
        <v>1884</v>
      </c>
      <c r="C172" s="1312">
        <v>7210</v>
      </c>
      <c r="D172" s="1312">
        <v>7170</v>
      </c>
      <c r="E172" s="1312">
        <v>7320</v>
      </c>
      <c r="F172" s="1329"/>
      <c r="H172" s="1327"/>
    </row>
    <row r="173" spans="1:8" s="1299" customFormat="1" ht="14.25" customHeight="1">
      <c r="A173" s="1307" t="s">
        <v>297</v>
      </c>
      <c r="B173" s="1312" t="s">
        <v>1894</v>
      </c>
      <c r="C173" s="1312">
        <v>6860</v>
      </c>
      <c r="D173" s="1312">
        <v>6810</v>
      </c>
      <c r="E173" s="1312">
        <v>7440</v>
      </c>
      <c r="F173" s="1329"/>
      <c r="H173" s="1327"/>
    </row>
    <row r="174" spans="1:8" s="1299" customFormat="1" ht="14.25" customHeight="1">
      <c r="A174" s="1307" t="s">
        <v>297</v>
      </c>
      <c r="B174" s="1312" t="s">
        <v>1904</v>
      </c>
      <c r="C174" s="1312">
        <v>7120</v>
      </c>
      <c r="D174" s="1312">
        <v>7090</v>
      </c>
      <c r="E174" s="1312">
        <v>7500</v>
      </c>
      <c r="F174" s="1320">
        <v>1490</v>
      </c>
      <c r="H174" s="1327"/>
    </row>
    <row r="175" spans="1:8" s="1299" customFormat="1" ht="14.25" customHeight="1">
      <c r="A175" s="1307" t="s">
        <v>297</v>
      </c>
      <c r="B175" s="1312" t="s">
        <v>1914</v>
      </c>
      <c r="C175" s="1312">
        <v>7850</v>
      </c>
      <c r="D175" s="1312">
        <v>7820</v>
      </c>
      <c r="E175" s="1312">
        <v>8120</v>
      </c>
      <c r="F175" s="1320">
        <v>1530</v>
      </c>
      <c r="H175" s="1327"/>
    </row>
    <row r="176" spans="1:8" s="1299" customFormat="1" ht="14.25" customHeight="1">
      <c r="A176" s="1307" t="s">
        <v>297</v>
      </c>
      <c r="B176" s="1312" t="s">
        <v>1924</v>
      </c>
      <c r="C176" s="1312">
        <v>7620</v>
      </c>
      <c r="D176" s="1312">
        <v>7570</v>
      </c>
      <c r="E176" s="1312">
        <v>7990</v>
      </c>
      <c r="F176" s="1320">
        <v>1480</v>
      </c>
      <c r="H176" s="1327"/>
    </row>
    <row r="177" spans="1:8" s="1299" customFormat="1" ht="14.25" customHeight="1">
      <c r="A177" s="1307" t="s">
        <v>297</v>
      </c>
      <c r="B177" s="1312" t="s">
        <v>1933</v>
      </c>
      <c r="C177" s="1312">
        <v>8590</v>
      </c>
      <c r="D177" s="1312">
        <v>8570</v>
      </c>
      <c r="E177" s="1312">
        <v>8740</v>
      </c>
      <c r="F177" s="1320">
        <v>1540</v>
      </c>
      <c r="H177" s="1327"/>
    </row>
    <row r="178" spans="1:8" s="1299" customFormat="1" ht="14.25" customHeight="1">
      <c r="A178" s="1307" t="s">
        <v>297</v>
      </c>
      <c r="B178" s="1312" t="s">
        <v>1941</v>
      </c>
      <c r="C178" s="1312">
        <v>7510</v>
      </c>
      <c r="D178" s="1312">
        <v>7470</v>
      </c>
      <c r="E178" s="1312">
        <v>8090</v>
      </c>
      <c r="F178" s="1320">
        <v>1320</v>
      </c>
      <c r="H178" s="1327"/>
    </row>
    <row r="179" spans="1:8" s="1299" customFormat="1" ht="14.25" customHeight="1">
      <c r="A179" s="1307" t="s">
        <v>297</v>
      </c>
      <c r="B179" s="1312" t="s">
        <v>1949</v>
      </c>
      <c r="C179" s="1312">
        <v>6380</v>
      </c>
      <c r="D179" s="1312">
        <v>6340</v>
      </c>
      <c r="E179" s="1312">
        <v>6810</v>
      </c>
      <c r="F179" s="1329"/>
      <c r="H179" s="1327"/>
    </row>
    <row r="180" spans="1:8" s="1299" customFormat="1" ht="14.25" customHeight="1">
      <c r="A180" s="1307" t="s">
        <v>297</v>
      </c>
      <c r="B180" s="1312" t="s">
        <v>1956</v>
      </c>
      <c r="C180" s="1312">
        <v>7830</v>
      </c>
      <c r="D180" s="1312">
        <v>7800</v>
      </c>
      <c r="E180" s="1312">
        <v>7780</v>
      </c>
      <c r="F180" s="1320">
        <v>1440</v>
      </c>
      <c r="H180" s="1327"/>
    </row>
    <row r="181" spans="1:8" s="1299" customFormat="1" ht="14.25" customHeight="1">
      <c r="A181" s="1307" t="s">
        <v>297</v>
      </c>
      <c r="B181" s="1312" t="s">
        <v>1963</v>
      </c>
      <c r="C181" s="1312">
        <v>7110</v>
      </c>
      <c r="D181" s="1312">
        <v>7080</v>
      </c>
      <c r="E181" s="1312">
        <v>7730</v>
      </c>
      <c r="F181" s="1320">
        <v>1350</v>
      </c>
      <c r="H181" s="1327"/>
    </row>
    <row r="182" spans="1:8" s="1299" customFormat="1" ht="14.25" customHeight="1">
      <c r="A182" s="1307" t="s">
        <v>297</v>
      </c>
      <c r="B182" s="1312" t="s">
        <v>1970</v>
      </c>
      <c r="C182" s="1312">
        <v>7310</v>
      </c>
      <c r="D182" s="1312">
        <v>7280</v>
      </c>
      <c r="E182" s="1312">
        <v>7950</v>
      </c>
      <c r="F182" s="1320">
        <v>1220</v>
      </c>
      <c r="H182" s="1327"/>
    </row>
    <row r="183" spans="1:8" s="1299" customFormat="1" ht="14.25" customHeight="1">
      <c r="A183" s="1307" t="s">
        <v>297</v>
      </c>
      <c r="B183" s="1312" t="s">
        <v>1977</v>
      </c>
      <c r="C183" s="1312">
        <v>7470</v>
      </c>
      <c r="D183" s="1312">
        <v>7440</v>
      </c>
      <c r="E183" s="1312">
        <v>7880</v>
      </c>
      <c r="F183" s="1329"/>
      <c r="H183" s="1327"/>
    </row>
    <row r="184" spans="1:8" s="1299" customFormat="1" ht="14.25" customHeight="1">
      <c r="A184" s="1307" t="s">
        <v>297</v>
      </c>
      <c r="B184" s="1312" t="s">
        <v>1984</v>
      </c>
      <c r="C184" s="1312">
        <v>6960</v>
      </c>
      <c r="D184" s="1312">
        <v>6930</v>
      </c>
      <c r="E184" s="1312">
        <v>7570</v>
      </c>
      <c r="F184" s="1329"/>
      <c r="H184" s="1327"/>
    </row>
    <row r="185" spans="1:8" s="1299" customFormat="1" ht="14.25" customHeight="1">
      <c r="A185" s="1307" t="s">
        <v>297</v>
      </c>
      <c r="B185" s="1312" t="s">
        <v>1989</v>
      </c>
      <c r="C185" s="1312">
        <v>7260</v>
      </c>
      <c r="D185" s="1312">
        <v>7230</v>
      </c>
      <c r="E185" s="1312">
        <v>7710</v>
      </c>
      <c r="F185" s="1320">
        <v>1360</v>
      </c>
      <c r="H185" s="1327"/>
    </row>
    <row r="186" spans="1:8" s="1299" customFormat="1" ht="14.25" customHeight="1">
      <c r="A186" s="1307" t="s">
        <v>297</v>
      </c>
      <c r="B186" s="1312" t="s">
        <v>1994</v>
      </c>
      <c r="C186" s="1312"/>
      <c r="D186" s="1312"/>
      <c r="E186" s="1312"/>
      <c r="F186" s="1320">
        <v>1560</v>
      </c>
      <c r="H186" s="1327"/>
    </row>
    <row r="187" spans="1:8" s="1299" customFormat="1" ht="14.25" customHeight="1">
      <c r="A187" s="1307" t="s">
        <v>297</v>
      </c>
      <c r="B187" s="1312" t="s">
        <v>1999</v>
      </c>
      <c r="C187" s="1312"/>
      <c r="D187" s="1312"/>
      <c r="E187" s="1312"/>
      <c r="F187" s="1320">
        <v>1560</v>
      </c>
      <c r="H187" s="1327"/>
    </row>
    <row r="188" spans="1:8" s="1299" customFormat="1" ht="14.25" customHeight="1">
      <c r="A188" s="1307" t="s">
        <v>297</v>
      </c>
      <c r="B188" s="1312" t="s">
        <v>2004</v>
      </c>
      <c r="C188" s="1312"/>
      <c r="D188" s="1312"/>
      <c r="E188" s="1312"/>
      <c r="F188" s="1320">
        <v>1560</v>
      </c>
      <c r="H188" s="1327"/>
    </row>
    <row r="189" spans="1:8" s="1299" customFormat="1" ht="14.25" customHeight="1">
      <c r="A189" s="1307" t="s">
        <v>297</v>
      </c>
      <c r="B189" s="1312" t="s">
        <v>2009</v>
      </c>
      <c r="C189" s="1312"/>
      <c r="D189" s="1312"/>
      <c r="E189" s="1312"/>
      <c r="F189" s="1320">
        <v>1320</v>
      </c>
      <c r="H189" s="1327"/>
    </row>
    <row r="190" spans="1:8" s="1299" customFormat="1" ht="14.25" customHeight="1">
      <c r="A190" s="1307" t="s">
        <v>297</v>
      </c>
      <c r="B190" s="1312" t="s">
        <v>2014</v>
      </c>
      <c r="C190" s="1312"/>
      <c r="D190" s="1312"/>
      <c r="E190" s="1312"/>
      <c r="F190" s="1320">
        <v>1320</v>
      </c>
      <c r="H190" s="1327"/>
    </row>
    <row r="191" spans="1:8" s="1299" customFormat="1" ht="14.25" customHeight="1">
      <c r="A191" s="1307" t="s">
        <v>297</v>
      </c>
      <c r="B191" s="1312" t="s">
        <v>2019</v>
      </c>
      <c r="C191" s="1312"/>
      <c r="D191" s="1312"/>
      <c r="E191" s="1312"/>
      <c r="F191" s="1320">
        <v>1320</v>
      </c>
      <c r="H191" s="1327"/>
    </row>
    <row r="192" spans="1:8" s="1299" customFormat="1" ht="14.25" customHeight="1">
      <c r="A192" s="1307" t="s">
        <v>297</v>
      </c>
      <c r="B192" s="1312" t="s">
        <v>2023</v>
      </c>
      <c r="C192" s="1312"/>
      <c r="D192" s="1312"/>
      <c r="E192" s="1312"/>
      <c r="F192" s="1320">
        <v>1100</v>
      </c>
      <c r="H192" s="1327"/>
    </row>
    <row r="193" spans="1:8" s="1299" customFormat="1" ht="14.25" customHeight="1">
      <c r="A193" s="1307" t="s">
        <v>297</v>
      </c>
      <c r="B193" s="1312" t="s">
        <v>2027</v>
      </c>
      <c r="C193" s="1312"/>
      <c r="D193" s="1312"/>
      <c r="E193" s="1312"/>
      <c r="F193" s="1320">
        <v>1100</v>
      </c>
      <c r="H193" s="1327"/>
    </row>
    <row r="194" spans="1:8" s="1299" customFormat="1" ht="14.25" customHeight="1">
      <c r="A194" s="1307" t="s">
        <v>297</v>
      </c>
      <c r="B194" s="1312" t="s">
        <v>2031</v>
      </c>
      <c r="C194" s="1312"/>
      <c r="D194" s="1312"/>
      <c r="E194" s="1312"/>
      <c r="F194" s="1320">
        <v>1080</v>
      </c>
      <c r="H194" s="1327"/>
    </row>
    <row r="195" spans="1:8" s="1299" customFormat="1" ht="14.25" customHeight="1">
      <c r="A195" s="1307" t="s">
        <v>297</v>
      </c>
      <c r="B195" s="1312" t="s">
        <v>2035</v>
      </c>
      <c r="C195" s="1312"/>
      <c r="D195" s="1312"/>
      <c r="E195" s="1312"/>
      <c r="F195" s="1320">
        <v>1270</v>
      </c>
      <c r="H195" s="1327"/>
    </row>
    <row r="196" spans="1:8" s="1299" customFormat="1" ht="14.25" customHeight="1">
      <c r="A196" s="1307" t="s">
        <v>297</v>
      </c>
      <c r="B196" s="1312" t="s">
        <v>2039</v>
      </c>
      <c r="C196" s="1312"/>
      <c r="D196" s="1312"/>
      <c r="E196" s="1312"/>
      <c r="F196" s="1320">
        <v>1150</v>
      </c>
      <c r="H196" s="1327"/>
    </row>
    <row r="197" spans="1:8" s="1299" customFormat="1" ht="14.25" customHeight="1">
      <c r="A197" s="1307" t="s">
        <v>297</v>
      </c>
      <c r="B197" s="1312" t="s">
        <v>2043</v>
      </c>
      <c r="C197" s="1312"/>
      <c r="D197" s="1312"/>
      <c r="E197" s="1312"/>
      <c r="F197" s="1320">
        <v>1330</v>
      </c>
      <c r="H197" s="1327"/>
    </row>
    <row r="198" spans="1:8" s="1299" customFormat="1" ht="14.25" customHeight="1">
      <c r="A198" s="1307" t="s">
        <v>297</v>
      </c>
      <c r="B198" s="1312" t="s">
        <v>2046</v>
      </c>
      <c r="C198" s="1312"/>
      <c r="D198" s="1312"/>
      <c r="E198" s="1312"/>
      <c r="F198" s="1320">
        <v>1170</v>
      </c>
      <c r="H198" s="1327"/>
    </row>
    <row r="199" spans="1:8" s="1299" customFormat="1" ht="14.25" customHeight="1">
      <c r="A199" s="1307" t="s">
        <v>297</v>
      </c>
      <c r="B199" s="1312" t="s">
        <v>2049</v>
      </c>
      <c r="C199" s="1312"/>
      <c r="D199" s="1312"/>
      <c r="E199" s="1312"/>
      <c r="F199" s="1320">
        <v>1120</v>
      </c>
      <c r="H199" s="1327"/>
    </row>
    <row r="200" spans="1:8" s="1299" customFormat="1" ht="14.25" customHeight="1">
      <c r="A200" s="1307" t="s">
        <v>297</v>
      </c>
      <c r="B200" s="1312" t="s">
        <v>2052</v>
      </c>
      <c r="C200" s="1312"/>
      <c r="D200" s="1312"/>
      <c r="E200" s="1312"/>
      <c r="F200" s="1320">
        <v>1120</v>
      </c>
      <c r="H200" s="1327"/>
    </row>
    <row r="201" spans="1:8" s="1299" customFormat="1" ht="14.25" customHeight="1">
      <c r="A201" s="1307" t="s">
        <v>297</v>
      </c>
      <c r="B201" s="1312" t="s">
        <v>2055</v>
      </c>
      <c r="C201" s="1312"/>
      <c r="D201" s="1312"/>
      <c r="E201" s="1312"/>
      <c r="F201" s="1320">
        <v>1540</v>
      </c>
      <c r="H201" s="1327"/>
    </row>
    <row r="202" spans="1:8" s="1299" customFormat="1" ht="14.25" customHeight="1">
      <c r="A202" s="1307" t="s">
        <v>297</v>
      </c>
      <c r="B202" s="1312" t="s">
        <v>2058</v>
      </c>
      <c r="C202" s="1312"/>
      <c r="D202" s="1312"/>
      <c r="E202" s="1312"/>
      <c r="F202" s="1320">
        <v>1310</v>
      </c>
      <c r="H202" s="1327"/>
    </row>
    <row r="203" spans="1:8" s="1299" customFormat="1" ht="14.25" customHeight="1">
      <c r="A203" s="1307" t="s">
        <v>297</v>
      </c>
      <c r="B203" s="1312" t="s">
        <v>2061</v>
      </c>
      <c r="C203" s="1312"/>
      <c r="D203" s="1312"/>
      <c r="E203" s="1312"/>
      <c r="F203" s="1320">
        <v>1310</v>
      </c>
      <c r="H203" s="1327"/>
    </row>
    <row r="204" spans="1:8" s="1299" customFormat="1" ht="14.25" customHeight="1">
      <c r="A204" s="1307" t="s">
        <v>297</v>
      </c>
      <c r="B204" s="1312" t="s">
        <v>2063</v>
      </c>
      <c r="C204" s="1312"/>
      <c r="D204" s="1312"/>
      <c r="E204" s="1312"/>
      <c r="F204" s="1320">
        <v>1080</v>
      </c>
      <c r="H204" s="1327"/>
    </row>
    <row r="205" spans="1:8" s="1299" customFormat="1" ht="14.25" customHeight="1">
      <c r="A205" s="1307" t="s">
        <v>297</v>
      </c>
      <c r="B205" s="1312" t="s">
        <v>2065</v>
      </c>
      <c r="C205" s="1312"/>
      <c r="D205" s="1312"/>
      <c r="E205" s="1312"/>
      <c r="F205" s="1320">
        <v>1080</v>
      </c>
      <c r="H205" s="1327"/>
    </row>
    <row r="206" spans="1:8" s="1299" customFormat="1" ht="14.25" customHeight="1">
      <c r="A206" s="1307" t="s">
        <v>302</v>
      </c>
      <c r="B206" s="1308" t="s">
        <v>1732</v>
      </c>
      <c r="C206" s="1308">
        <v>5450</v>
      </c>
      <c r="D206" s="1308">
        <v>5430</v>
      </c>
      <c r="E206" s="1308">
        <v>5700</v>
      </c>
      <c r="F206" s="1309">
        <v>1020</v>
      </c>
      <c r="H206" s="1327"/>
    </row>
    <row r="207" spans="1:8" s="1299" customFormat="1" ht="14.25" customHeight="1">
      <c r="A207" s="1307" t="s">
        <v>302</v>
      </c>
      <c r="B207" s="1312" t="s">
        <v>1745</v>
      </c>
      <c r="C207" s="1312">
        <v>5860</v>
      </c>
      <c r="D207" s="1312">
        <v>5820</v>
      </c>
      <c r="E207" s="1312">
        <v>6050</v>
      </c>
      <c r="F207" s="1320">
        <v>1080</v>
      </c>
      <c r="H207" s="1327"/>
    </row>
    <row r="208" spans="1:8" s="1299" customFormat="1" ht="14.25" customHeight="1">
      <c r="A208" s="1307" t="s">
        <v>302</v>
      </c>
      <c r="B208" s="1312" t="s">
        <v>1758</v>
      </c>
      <c r="C208" s="1312">
        <v>4630</v>
      </c>
      <c r="D208" s="1312">
        <v>4600</v>
      </c>
      <c r="E208" s="1312">
        <v>4840</v>
      </c>
      <c r="F208" s="1320">
        <v>900</v>
      </c>
      <c r="H208" s="1327"/>
    </row>
    <row r="209" spans="1:8" s="1299" customFormat="1" ht="14.25" customHeight="1">
      <c r="A209" s="1307" t="s">
        <v>302</v>
      </c>
      <c r="B209" s="1312" t="s">
        <v>1770</v>
      </c>
      <c r="C209" s="1312">
        <v>5320</v>
      </c>
      <c r="D209" s="1312">
        <v>5270</v>
      </c>
      <c r="E209" s="1312">
        <v>5540</v>
      </c>
      <c r="F209" s="1320">
        <v>980</v>
      </c>
      <c r="H209" s="1327"/>
    </row>
    <row r="210" spans="1:8" s="1299" customFormat="1" ht="14.25" customHeight="1">
      <c r="A210" s="1307" t="s">
        <v>302</v>
      </c>
      <c r="B210" s="1312" t="s">
        <v>1782</v>
      </c>
      <c r="C210" s="1312">
        <v>5760</v>
      </c>
      <c r="D210" s="1312">
        <v>5710</v>
      </c>
      <c r="E210" s="1312">
        <v>6010</v>
      </c>
      <c r="F210" s="1320">
        <v>870</v>
      </c>
      <c r="H210" s="1327"/>
    </row>
    <row r="211" spans="1:8" s="1299" customFormat="1" ht="14.25" customHeight="1">
      <c r="A211" s="1307" t="s">
        <v>302</v>
      </c>
      <c r="B211" s="1312" t="s">
        <v>1793</v>
      </c>
      <c r="C211" s="1312">
        <v>4160</v>
      </c>
      <c r="D211" s="1312">
        <v>4100</v>
      </c>
      <c r="E211" s="1312">
        <v>4270</v>
      </c>
      <c r="F211" s="1320">
        <v>790</v>
      </c>
      <c r="H211" s="1327"/>
    </row>
    <row r="212" spans="1:8" s="1299" customFormat="1" ht="14.25" customHeight="1">
      <c r="A212" s="1307" t="s">
        <v>302</v>
      </c>
      <c r="B212" s="1312" t="s">
        <v>1804</v>
      </c>
      <c r="C212" s="1312">
        <v>4880</v>
      </c>
      <c r="D212" s="1312">
        <v>4850</v>
      </c>
      <c r="E212" s="1312">
        <v>5110</v>
      </c>
      <c r="F212" s="1320">
        <v>940</v>
      </c>
      <c r="H212" s="1327"/>
    </row>
    <row r="213" spans="1:8" s="1299" customFormat="1" ht="14.25" customHeight="1">
      <c r="A213" s="1307" t="s">
        <v>302</v>
      </c>
      <c r="B213" s="1312" t="s">
        <v>1815</v>
      </c>
      <c r="C213" s="1312">
        <v>4640</v>
      </c>
      <c r="D213" s="1312">
        <v>4590</v>
      </c>
      <c r="E213" s="1312">
        <v>4700</v>
      </c>
      <c r="F213" s="1320">
        <v>1030</v>
      </c>
      <c r="H213" s="1327"/>
    </row>
    <row r="214" spans="1:8" s="1299" customFormat="1" ht="14.25" customHeight="1">
      <c r="A214" s="1307" t="s">
        <v>302</v>
      </c>
      <c r="B214" s="1312" t="s">
        <v>1825</v>
      </c>
      <c r="C214" s="1312">
        <v>4540</v>
      </c>
      <c r="D214" s="1312">
        <v>4490</v>
      </c>
      <c r="E214" s="1312">
        <v>4610</v>
      </c>
      <c r="F214" s="1329"/>
      <c r="H214" s="1327"/>
    </row>
    <row r="215" spans="1:8" s="1299" customFormat="1" ht="14.25" customHeight="1">
      <c r="A215" s="1307" t="s">
        <v>302</v>
      </c>
      <c r="B215" s="1312" t="s">
        <v>1835</v>
      </c>
      <c r="C215" s="1312">
        <v>5280</v>
      </c>
      <c r="D215" s="1312">
        <v>5250</v>
      </c>
      <c r="E215" s="1312">
        <v>5520</v>
      </c>
      <c r="F215" s="1320">
        <v>1000</v>
      </c>
      <c r="H215" s="1327"/>
    </row>
    <row r="216" spans="1:8" s="1299" customFormat="1" ht="14.25" customHeight="1">
      <c r="A216" s="1307" t="s">
        <v>302</v>
      </c>
      <c r="B216" s="1312" t="s">
        <v>1845</v>
      </c>
      <c r="C216" s="1312">
        <v>5100</v>
      </c>
      <c r="D216" s="1312">
        <v>5050</v>
      </c>
      <c r="E216" s="1312">
        <v>5300</v>
      </c>
      <c r="F216" s="1320">
        <v>950</v>
      </c>
      <c r="H216" s="1327"/>
    </row>
    <row r="217" spans="1:8" s="1299" customFormat="1" ht="14.25" customHeight="1">
      <c r="A217" s="1307" t="s">
        <v>302</v>
      </c>
      <c r="B217" s="1312" t="s">
        <v>1855</v>
      </c>
      <c r="C217" s="1312">
        <v>5370</v>
      </c>
      <c r="D217" s="1312">
        <v>5320</v>
      </c>
      <c r="E217" s="1312">
        <v>5410</v>
      </c>
      <c r="F217" s="1320">
        <v>950</v>
      </c>
      <c r="H217" s="1327"/>
    </row>
    <row r="218" spans="1:8" s="1299" customFormat="1" ht="14.25" customHeight="1">
      <c r="A218" s="1307" t="s">
        <v>302</v>
      </c>
      <c r="B218" s="1312" t="s">
        <v>1865</v>
      </c>
      <c r="C218" s="1312">
        <v>5540</v>
      </c>
      <c r="D218" s="1312">
        <v>5480</v>
      </c>
      <c r="E218" s="1312">
        <v>5740</v>
      </c>
      <c r="F218" s="1320">
        <v>1020</v>
      </c>
      <c r="H218" s="1327"/>
    </row>
    <row r="219" spans="1:8" s="1299" customFormat="1" ht="14.25" customHeight="1">
      <c r="A219" s="1307" t="s">
        <v>302</v>
      </c>
      <c r="B219" s="1312" t="s">
        <v>1875</v>
      </c>
      <c r="C219" s="1312">
        <v>5140</v>
      </c>
      <c r="D219" s="1312">
        <v>5100</v>
      </c>
      <c r="E219" s="1312">
        <v>5350</v>
      </c>
      <c r="F219" s="1320">
        <v>1120</v>
      </c>
      <c r="H219" s="1327"/>
    </row>
    <row r="220" spans="1:8" s="1299" customFormat="1" ht="14.25" customHeight="1">
      <c r="A220" s="1307" t="s">
        <v>302</v>
      </c>
      <c r="B220" s="1312" t="s">
        <v>1885</v>
      </c>
      <c r="C220" s="1312">
        <v>5040</v>
      </c>
      <c r="D220" s="1312">
        <v>5000</v>
      </c>
      <c r="E220" s="1312">
        <v>5240</v>
      </c>
      <c r="F220" s="1320">
        <v>980</v>
      </c>
      <c r="H220" s="1327"/>
    </row>
    <row r="221" spans="1:8" s="1299" customFormat="1" ht="14.25" customHeight="1">
      <c r="A221" s="1307" t="s">
        <v>302</v>
      </c>
      <c r="B221" s="1312" t="s">
        <v>1895</v>
      </c>
      <c r="C221" s="1334"/>
      <c r="D221" s="1334"/>
      <c r="E221" s="1334"/>
      <c r="F221" s="1320">
        <v>1070</v>
      </c>
      <c r="H221" s="1327"/>
    </row>
    <row r="222" spans="1:8" s="1299" customFormat="1" ht="14.25" customHeight="1">
      <c r="A222" s="1307" t="s">
        <v>302</v>
      </c>
      <c r="B222" s="1312" t="s">
        <v>1905</v>
      </c>
      <c r="C222" s="1334"/>
      <c r="D222" s="1334"/>
      <c r="E222" s="1334"/>
      <c r="F222" s="1320">
        <v>870</v>
      </c>
      <c r="H222" s="1327"/>
    </row>
    <row r="223" spans="1:8" s="1299" customFormat="1" ht="14.25" customHeight="1">
      <c r="A223" s="1307" t="s">
        <v>302</v>
      </c>
      <c r="B223" s="1312" t="s">
        <v>1915</v>
      </c>
      <c r="C223" s="1334"/>
      <c r="D223" s="1334"/>
      <c r="E223" s="1334"/>
      <c r="F223" s="1320">
        <v>940</v>
      </c>
      <c r="H223" s="1327"/>
    </row>
    <row r="224" spans="1:8" s="1299" customFormat="1" ht="14.25" customHeight="1">
      <c r="A224" s="1307" t="s">
        <v>302</v>
      </c>
      <c r="B224" s="1312" t="s">
        <v>1925</v>
      </c>
      <c r="C224" s="1334"/>
      <c r="D224" s="1334"/>
      <c r="E224" s="1334"/>
      <c r="F224" s="1320">
        <v>990</v>
      </c>
      <c r="H224" s="1327"/>
    </row>
    <row r="225" spans="1:8" s="1299" customFormat="1" ht="14.25" customHeight="1">
      <c r="A225" s="1307" t="s">
        <v>302</v>
      </c>
      <c r="B225" s="1312" t="s">
        <v>1934</v>
      </c>
      <c r="C225" s="1312">
        <v>5730</v>
      </c>
      <c r="D225" s="1312">
        <v>5680</v>
      </c>
      <c r="E225" s="1312">
        <v>6020</v>
      </c>
      <c r="F225" s="1320">
        <v>1000</v>
      </c>
      <c r="H225" s="1327"/>
    </row>
    <row r="226" spans="1:8" s="1299" customFormat="1" ht="14.25" customHeight="1">
      <c r="A226" s="1307" t="s">
        <v>302</v>
      </c>
      <c r="B226" s="1312" t="s">
        <v>1942</v>
      </c>
      <c r="C226" s="1312">
        <v>4970</v>
      </c>
      <c r="D226" s="1312">
        <v>4940</v>
      </c>
      <c r="E226" s="1312">
        <v>5180</v>
      </c>
      <c r="F226" s="1320">
        <v>960</v>
      </c>
      <c r="H226" s="1327"/>
    </row>
    <row r="227" spans="1:8" s="1299" customFormat="1" ht="14.25" customHeight="1">
      <c r="A227" s="1307" t="s">
        <v>302</v>
      </c>
      <c r="B227" s="1312" t="s">
        <v>1950</v>
      </c>
      <c r="C227" s="1312">
        <v>5550</v>
      </c>
      <c r="D227" s="1312">
        <v>5500</v>
      </c>
      <c r="E227" s="1312">
        <v>5780</v>
      </c>
      <c r="F227" s="1320">
        <v>940</v>
      </c>
      <c r="H227" s="1327"/>
    </row>
    <row r="228" spans="1:8" s="1299" customFormat="1" ht="14.25" customHeight="1">
      <c r="A228" s="1307" t="s">
        <v>302</v>
      </c>
      <c r="B228" s="1312" t="s">
        <v>1957</v>
      </c>
      <c r="C228" s="1312">
        <v>5460</v>
      </c>
      <c r="D228" s="1312">
        <v>5420</v>
      </c>
      <c r="E228" s="1312">
        <v>5690</v>
      </c>
      <c r="F228" s="1320">
        <v>910</v>
      </c>
      <c r="H228" s="1327"/>
    </row>
    <row r="229" spans="1:8" s="1299" customFormat="1" ht="14.25" customHeight="1">
      <c r="A229" s="1307" t="s">
        <v>302</v>
      </c>
      <c r="B229" s="1312" t="s">
        <v>1964</v>
      </c>
      <c r="C229" s="1312">
        <v>5310</v>
      </c>
      <c r="D229" s="1312">
        <v>5270</v>
      </c>
      <c r="E229" s="1312">
        <v>5510</v>
      </c>
      <c r="F229" s="1329"/>
      <c r="H229" s="1327"/>
    </row>
    <row r="230" spans="1:8" s="1299" customFormat="1" ht="14.25" customHeight="1">
      <c r="A230" s="1307" t="s">
        <v>302</v>
      </c>
      <c r="B230" s="1312" t="s">
        <v>1971</v>
      </c>
      <c r="C230" s="1312">
        <v>4540</v>
      </c>
      <c r="D230" s="1312">
        <v>4500</v>
      </c>
      <c r="E230" s="1312">
        <v>4730</v>
      </c>
      <c r="F230" s="1329"/>
      <c r="H230" s="1327"/>
    </row>
    <row r="231" spans="1:8" s="1299" customFormat="1" ht="14.25" customHeight="1">
      <c r="A231" s="1307" t="s">
        <v>302</v>
      </c>
      <c r="B231" s="1312" t="s">
        <v>1978</v>
      </c>
      <c r="C231" s="1312">
        <v>4480</v>
      </c>
      <c r="D231" s="1312">
        <v>4410</v>
      </c>
      <c r="E231" s="1312">
        <v>4640</v>
      </c>
      <c r="F231" s="1329"/>
      <c r="H231" s="1327"/>
    </row>
    <row r="232" spans="1:8" s="1299" customFormat="1" ht="14.25" customHeight="1">
      <c r="A232" s="1307" t="s">
        <v>302</v>
      </c>
      <c r="B232" s="1312" t="s">
        <v>1985</v>
      </c>
      <c r="C232" s="1312">
        <v>5670</v>
      </c>
      <c r="D232" s="1312">
        <v>5600</v>
      </c>
      <c r="E232" s="1312">
        <v>5890</v>
      </c>
      <c r="F232" s="1320">
        <v>1150</v>
      </c>
      <c r="H232" s="1327"/>
    </row>
    <row r="233" spans="1:8" s="1299" customFormat="1" ht="14.25" customHeight="1">
      <c r="A233" s="1307" t="s">
        <v>302</v>
      </c>
      <c r="B233" s="1312" t="s">
        <v>1990</v>
      </c>
      <c r="C233" s="1312">
        <v>4590</v>
      </c>
      <c r="D233" s="1312">
        <v>4500</v>
      </c>
      <c r="E233" s="1312">
        <v>4600</v>
      </c>
      <c r="F233" s="1329"/>
      <c r="H233" s="1327"/>
    </row>
    <row r="234" spans="1:8" s="1299" customFormat="1" ht="14.25" customHeight="1">
      <c r="A234" s="1307" t="s">
        <v>302</v>
      </c>
      <c r="B234" s="1312" t="s">
        <v>1995</v>
      </c>
      <c r="C234" s="1312">
        <v>3990</v>
      </c>
      <c r="D234" s="1312">
        <v>3950</v>
      </c>
      <c r="E234" s="1312">
        <v>4180</v>
      </c>
      <c r="F234" s="1329"/>
      <c r="H234" s="1327"/>
    </row>
    <row r="235" spans="1:8" s="1299" customFormat="1" ht="14.25" customHeight="1">
      <c r="A235" s="1307" t="s">
        <v>302</v>
      </c>
      <c r="B235" s="1312" t="s">
        <v>2000</v>
      </c>
      <c r="C235" s="1312">
        <v>5590</v>
      </c>
      <c r="D235" s="1312">
        <v>5540</v>
      </c>
      <c r="E235" s="1312">
        <v>5810</v>
      </c>
      <c r="F235" s="1320">
        <v>970</v>
      </c>
      <c r="H235" s="1327"/>
    </row>
    <row r="236" spans="1:8" s="1299" customFormat="1" ht="14.25" customHeight="1">
      <c r="A236" s="1307" t="s">
        <v>302</v>
      </c>
      <c r="B236" s="1312" t="s">
        <v>2005</v>
      </c>
      <c r="C236" s="1312"/>
      <c r="D236" s="1312"/>
      <c r="E236" s="1312"/>
      <c r="F236" s="1320">
        <v>1020</v>
      </c>
      <c r="H236" s="1327"/>
    </row>
    <row r="237" spans="1:8" s="1299" customFormat="1" ht="14.25" customHeight="1">
      <c r="A237" s="1307" t="s">
        <v>302</v>
      </c>
      <c r="B237" s="1312" t="s">
        <v>2010</v>
      </c>
      <c r="C237" s="1312"/>
      <c r="D237" s="1312"/>
      <c r="E237" s="1312"/>
      <c r="F237" s="1320">
        <v>960</v>
      </c>
      <c r="H237" s="1327"/>
    </row>
    <row r="238" spans="1:8" s="1299" customFormat="1" ht="14.25" customHeight="1">
      <c r="A238" s="1307" t="s">
        <v>302</v>
      </c>
      <c r="B238" s="1312" t="s">
        <v>2015</v>
      </c>
      <c r="C238" s="1312"/>
      <c r="D238" s="1312"/>
      <c r="E238" s="1312"/>
      <c r="F238" s="1320">
        <v>960</v>
      </c>
      <c r="H238" s="1327"/>
    </row>
    <row r="239" spans="1:8" s="1299" customFormat="1" ht="14.25" customHeight="1">
      <c r="A239" s="1307" t="s">
        <v>302</v>
      </c>
      <c r="B239" s="1312" t="s">
        <v>2020</v>
      </c>
      <c r="C239" s="1312"/>
      <c r="D239" s="1312"/>
      <c r="E239" s="1312"/>
      <c r="F239" s="1320">
        <v>960</v>
      </c>
      <c r="H239" s="1327"/>
    </row>
    <row r="240" spans="1:8" s="1299" customFormat="1" ht="14.25" customHeight="1">
      <c r="A240" s="1307" t="s">
        <v>302</v>
      </c>
      <c r="B240" s="1312" t="s">
        <v>2024</v>
      </c>
      <c r="C240" s="1312"/>
      <c r="D240" s="1312"/>
      <c r="E240" s="1312"/>
      <c r="F240" s="1320">
        <v>990</v>
      </c>
      <c r="H240" s="1327"/>
    </row>
    <row r="241" spans="1:8" s="1299" customFormat="1" ht="14.25" customHeight="1">
      <c r="A241" s="1307" t="s">
        <v>302</v>
      </c>
      <c r="B241" s="1312" t="s">
        <v>2028</v>
      </c>
      <c r="C241" s="1312"/>
      <c r="D241" s="1312"/>
      <c r="E241" s="1312"/>
      <c r="F241" s="1320">
        <v>1000</v>
      </c>
      <c r="H241" s="1327"/>
    </row>
    <row r="242" spans="1:8" s="1299" customFormat="1" ht="14.25" customHeight="1">
      <c r="A242" s="1307" t="s">
        <v>302</v>
      </c>
      <c r="B242" s="1312" t="s">
        <v>2032</v>
      </c>
      <c r="C242" s="1312"/>
      <c r="D242" s="1312"/>
      <c r="E242" s="1312"/>
      <c r="F242" s="1320">
        <v>980</v>
      </c>
      <c r="H242" s="1327"/>
    </row>
    <row r="243" spans="1:8" s="1299" customFormat="1" ht="14.25" customHeight="1">
      <c r="A243" s="1307" t="s">
        <v>302</v>
      </c>
      <c r="B243" s="1312" t="s">
        <v>2036</v>
      </c>
      <c r="C243" s="1312"/>
      <c r="D243" s="1312"/>
      <c r="E243" s="1312"/>
      <c r="F243" s="1320">
        <v>970</v>
      </c>
      <c r="H243" s="1327"/>
    </row>
    <row r="244" spans="1:8" s="1299" customFormat="1" ht="14.25" customHeight="1">
      <c r="A244" s="1307" t="s">
        <v>302</v>
      </c>
      <c r="B244" s="1318" t="s">
        <v>2040</v>
      </c>
      <c r="C244" s="1318"/>
      <c r="D244" s="1318"/>
      <c r="E244" s="1318"/>
      <c r="F244" s="1328">
        <v>970</v>
      </c>
      <c r="H244" s="1327"/>
    </row>
    <row r="245" spans="1:8" s="1299" customFormat="1" ht="14.25" customHeight="1">
      <c r="A245" s="1307" t="s">
        <v>305</v>
      </c>
      <c r="B245" s="1308" t="s">
        <v>1733</v>
      </c>
      <c r="C245" s="1308">
        <v>4050</v>
      </c>
      <c r="D245" s="1308">
        <v>4020</v>
      </c>
      <c r="E245" s="1308">
        <v>4160</v>
      </c>
      <c r="F245" s="1309">
        <v>840</v>
      </c>
      <c r="H245" s="1327"/>
    </row>
    <row r="246" spans="1:8" s="1299" customFormat="1" ht="14.25" customHeight="1">
      <c r="A246" s="1307" t="s">
        <v>305</v>
      </c>
      <c r="B246" s="1312" t="s">
        <v>1746</v>
      </c>
      <c r="C246" s="1312">
        <v>4010</v>
      </c>
      <c r="D246" s="1312">
        <v>3960</v>
      </c>
      <c r="E246" s="1312">
        <v>4130</v>
      </c>
      <c r="F246" s="1320">
        <v>840</v>
      </c>
      <c r="H246" s="1327"/>
    </row>
    <row r="247" spans="1:8" s="1299" customFormat="1" ht="14.25" customHeight="1">
      <c r="A247" s="1307" t="s">
        <v>305</v>
      </c>
      <c r="B247" s="1312" t="s">
        <v>1759</v>
      </c>
      <c r="C247" s="1312">
        <v>3170</v>
      </c>
      <c r="D247" s="1312">
        <v>3140</v>
      </c>
      <c r="E247" s="1312">
        <v>3270</v>
      </c>
      <c r="F247" s="1320">
        <v>640</v>
      </c>
      <c r="H247" s="1327"/>
    </row>
    <row r="248" spans="1:8" s="1299" customFormat="1" ht="14.25" customHeight="1">
      <c r="A248" s="1307" t="s">
        <v>305</v>
      </c>
      <c r="B248" s="1312" t="s">
        <v>1771</v>
      </c>
      <c r="C248" s="1312">
        <v>3140</v>
      </c>
      <c r="D248" s="1312">
        <v>3120</v>
      </c>
      <c r="E248" s="1312">
        <v>3240</v>
      </c>
      <c r="F248" s="1320">
        <v>620</v>
      </c>
      <c r="H248" s="1327"/>
    </row>
    <row r="249" spans="1:8" s="1299" customFormat="1" ht="14.25" customHeight="1">
      <c r="A249" s="1307" t="s">
        <v>305</v>
      </c>
      <c r="B249" s="1312" t="s">
        <v>1783</v>
      </c>
      <c r="C249" s="1312">
        <v>3200</v>
      </c>
      <c r="D249" s="1312">
        <v>3100</v>
      </c>
      <c r="E249" s="1312">
        <v>3230</v>
      </c>
      <c r="F249" s="1320">
        <v>750</v>
      </c>
      <c r="H249" s="1327"/>
    </row>
    <row r="250" spans="1:8" s="1299" customFormat="1" ht="14.25" customHeight="1">
      <c r="A250" s="1307" t="s">
        <v>305</v>
      </c>
      <c r="B250" s="1312" t="s">
        <v>1794</v>
      </c>
      <c r="C250" s="1312">
        <v>4060</v>
      </c>
      <c r="D250" s="1312">
        <v>4000</v>
      </c>
      <c r="E250" s="1312">
        <v>4140</v>
      </c>
      <c r="F250" s="1320">
        <v>790</v>
      </c>
      <c r="H250" s="1327"/>
    </row>
    <row r="251" spans="1:8" s="1299" customFormat="1" ht="14.25" customHeight="1">
      <c r="A251" s="1307" t="s">
        <v>305</v>
      </c>
      <c r="B251" s="1312" t="s">
        <v>1805</v>
      </c>
      <c r="C251" s="1312">
        <v>3990</v>
      </c>
      <c r="D251" s="1312">
        <v>3970</v>
      </c>
      <c r="E251" s="1312">
        <v>4110</v>
      </c>
      <c r="F251" s="1320">
        <v>730</v>
      </c>
      <c r="H251" s="1327"/>
    </row>
    <row r="252" spans="1:8" s="1299" customFormat="1" ht="14.25" customHeight="1">
      <c r="A252" s="1307" t="s">
        <v>305</v>
      </c>
      <c r="B252" s="1312" t="s">
        <v>1816</v>
      </c>
      <c r="C252" s="1312">
        <v>3560</v>
      </c>
      <c r="D252" s="1312">
        <v>3530</v>
      </c>
      <c r="E252" s="1312">
        <v>3650</v>
      </c>
      <c r="F252" s="1320">
        <v>750</v>
      </c>
      <c r="H252" s="1327"/>
    </row>
    <row r="253" spans="1:8" s="1299" customFormat="1" ht="14.25" customHeight="1">
      <c r="A253" s="1307" t="s">
        <v>305</v>
      </c>
      <c r="B253" s="1312" t="s">
        <v>1826</v>
      </c>
      <c r="C253" s="1312">
        <v>3780</v>
      </c>
      <c r="D253" s="1312">
        <v>3750</v>
      </c>
      <c r="E253" s="1312">
        <v>3870</v>
      </c>
      <c r="F253" s="1320">
        <v>770</v>
      </c>
      <c r="H253" s="1327"/>
    </row>
    <row r="254" spans="1:8" s="1299" customFormat="1" ht="14.25" customHeight="1">
      <c r="A254" s="1307" t="s">
        <v>305</v>
      </c>
      <c r="B254" s="1312" t="s">
        <v>1836</v>
      </c>
      <c r="C254" s="1334"/>
      <c r="D254" s="1334"/>
      <c r="E254" s="1334"/>
      <c r="F254" s="1320">
        <v>740</v>
      </c>
      <c r="H254" s="1327"/>
    </row>
    <row r="255" spans="1:8" s="1299" customFormat="1" ht="14.25" customHeight="1">
      <c r="A255" s="1307" t="s">
        <v>305</v>
      </c>
      <c r="B255" s="1312" t="s">
        <v>1846</v>
      </c>
      <c r="C255" s="1334"/>
      <c r="D255" s="1334"/>
      <c r="E255" s="1334"/>
      <c r="F255" s="1320">
        <v>760</v>
      </c>
      <c r="H255" s="1327"/>
    </row>
    <row r="256" spans="1:8" s="1299" customFormat="1" ht="14.25" customHeight="1">
      <c r="A256" s="1307" t="s">
        <v>305</v>
      </c>
      <c r="B256" s="1312" t="s">
        <v>1856</v>
      </c>
      <c r="C256" s="1312">
        <v>3760</v>
      </c>
      <c r="D256" s="1312">
        <v>3730</v>
      </c>
      <c r="E256" s="1312">
        <v>3870</v>
      </c>
      <c r="F256" s="1320">
        <v>830</v>
      </c>
      <c r="H256" s="1327"/>
    </row>
    <row r="257" spans="1:8" s="1299" customFormat="1" ht="14.25" customHeight="1">
      <c r="A257" s="1307" t="s">
        <v>305</v>
      </c>
      <c r="B257" s="1312" t="s">
        <v>1866</v>
      </c>
      <c r="C257" s="1312">
        <v>3570</v>
      </c>
      <c r="D257" s="1312">
        <v>3540</v>
      </c>
      <c r="E257" s="1312">
        <v>3650</v>
      </c>
      <c r="F257" s="1320">
        <v>790</v>
      </c>
      <c r="H257" s="1327"/>
    </row>
    <row r="258" spans="1:8" s="1299" customFormat="1" ht="14.25" customHeight="1">
      <c r="A258" s="1307" t="s">
        <v>305</v>
      </c>
      <c r="B258" s="1312" t="s">
        <v>1876</v>
      </c>
      <c r="C258" s="1312">
        <v>3410</v>
      </c>
      <c r="D258" s="1312">
        <v>3380</v>
      </c>
      <c r="E258" s="1312">
        <v>3500</v>
      </c>
      <c r="F258" s="1320">
        <v>830</v>
      </c>
      <c r="H258" s="1327"/>
    </row>
    <row r="259" spans="1:8" s="1299" customFormat="1" ht="14.25" customHeight="1">
      <c r="A259" s="1307" t="s">
        <v>305</v>
      </c>
      <c r="B259" s="1312" t="s">
        <v>1886</v>
      </c>
      <c r="C259" s="1312">
        <v>3870</v>
      </c>
      <c r="D259" s="1312">
        <v>3840</v>
      </c>
      <c r="E259" s="1312">
        <v>3970</v>
      </c>
      <c r="F259" s="1320">
        <v>830</v>
      </c>
      <c r="H259" s="1327"/>
    </row>
    <row r="260" spans="1:8" s="1299" customFormat="1" ht="14.25" customHeight="1">
      <c r="A260" s="1307" t="s">
        <v>305</v>
      </c>
      <c r="B260" s="1312" t="s">
        <v>1896</v>
      </c>
      <c r="C260" s="1312">
        <v>3700</v>
      </c>
      <c r="D260" s="1312">
        <v>3660</v>
      </c>
      <c r="E260" s="1312">
        <v>3810</v>
      </c>
      <c r="F260" s="1320">
        <v>790</v>
      </c>
      <c r="H260" s="1327"/>
    </row>
    <row r="261" spans="1:8" s="1299" customFormat="1" ht="14.25" customHeight="1">
      <c r="A261" s="1307" t="s">
        <v>305</v>
      </c>
      <c r="B261" s="1312" t="s">
        <v>1906</v>
      </c>
      <c r="C261" s="1312">
        <v>3470</v>
      </c>
      <c r="D261" s="1312">
        <v>3430</v>
      </c>
      <c r="E261" s="1312">
        <v>3640</v>
      </c>
      <c r="F261" s="1320">
        <v>760</v>
      </c>
      <c r="H261" s="1327"/>
    </row>
    <row r="262" spans="1:8" s="1299" customFormat="1" ht="14.25" customHeight="1">
      <c r="A262" s="1307" t="s">
        <v>305</v>
      </c>
      <c r="B262" s="1312" t="s">
        <v>1916</v>
      </c>
      <c r="C262" s="1312">
        <v>3510</v>
      </c>
      <c r="D262" s="1312">
        <v>3470</v>
      </c>
      <c r="E262" s="1312">
        <v>3680</v>
      </c>
      <c r="F262" s="1329"/>
      <c r="H262" s="1327"/>
    </row>
    <row r="263" spans="1:8" s="1299" customFormat="1" ht="14.25" customHeight="1">
      <c r="A263" s="1307" t="s">
        <v>305</v>
      </c>
      <c r="B263" s="1312" t="s">
        <v>1926</v>
      </c>
      <c r="C263" s="1312">
        <v>3960</v>
      </c>
      <c r="D263" s="1312">
        <v>3930</v>
      </c>
      <c r="E263" s="1312">
        <v>4070</v>
      </c>
      <c r="F263" s="1320">
        <v>830</v>
      </c>
      <c r="H263" s="1327"/>
    </row>
    <row r="264" spans="1:8" s="1299" customFormat="1" ht="14.25" customHeight="1">
      <c r="A264" s="1307" t="s">
        <v>305</v>
      </c>
      <c r="B264" s="1312" t="s">
        <v>1935</v>
      </c>
      <c r="C264" s="1312">
        <v>4010</v>
      </c>
      <c r="D264" s="1312">
        <v>3980</v>
      </c>
      <c r="E264" s="1312">
        <v>4150</v>
      </c>
      <c r="F264" s="1320">
        <v>760</v>
      </c>
      <c r="H264" s="1327"/>
    </row>
    <row r="265" spans="1:8" s="1299" customFormat="1" ht="14.25" customHeight="1">
      <c r="A265" s="1307" t="s">
        <v>305</v>
      </c>
      <c r="B265" s="1312" t="s">
        <v>1943</v>
      </c>
      <c r="C265" s="1312">
        <v>3910</v>
      </c>
      <c r="D265" s="1312">
        <v>3890</v>
      </c>
      <c r="E265" s="1312">
        <v>4040</v>
      </c>
      <c r="F265" s="1320">
        <v>780</v>
      </c>
      <c r="H265" s="1327"/>
    </row>
    <row r="266" spans="1:8" s="1299" customFormat="1" ht="14.25" customHeight="1">
      <c r="A266" s="1307" t="s">
        <v>305</v>
      </c>
      <c r="B266" s="1312" t="s">
        <v>1951</v>
      </c>
      <c r="C266" s="1312">
        <v>3930</v>
      </c>
      <c r="D266" s="1312">
        <v>3900</v>
      </c>
      <c r="E266" s="1312">
        <v>4080</v>
      </c>
      <c r="F266" s="1320">
        <v>770</v>
      </c>
      <c r="H266" s="1327"/>
    </row>
    <row r="267" spans="1:8" s="1299" customFormat="1" ht="14.25" customHeight="1">
      <c r="A267" s="1307" t="s">
        <v>305</v>
      </c>
      <c r="B267" s="1312" t="s">
        <v>1958</v>
      </c>
      <c r="C267" s="1312">
        <v>3800</v>
      </c>
      <c r="D267" s="1312">
        <v>3780</v>
      </c>
      <c r="E267" s="1312">
        <v>3930</v>
      </c>
      <c r="F267" s="1329"/>
      <c r="H267" s="1327"/>
    </row>
    <row r="268" spans="1:8" s="1299" customFormat="1" ht="14.25" customHeight="1">
      <c r="A268" s="1307" t="s">
        <v>305</v>
      </c>
      <c r="B268" s="1312" t="s">
        <v>1965</v>
      </c>
      <c r="C268" s="1312">
        <v>3460</v>
      </c>
      <c r="D268" s="1312">
        <v>3430</v>
      </c>
      <c r="E268" s="1312">
        <v>3560</v>
      </c>
      <c r="F268" s="1320">
        <v>840</v>
      </c>
      <c r="H268" s="1327"/>
    </row>
    <row r="269" spans="1:8" s="1299" customFormat="1" ht="14.25" customHeight="1">
      <c r="A269" s="1307" t="s">
        <v>305</v>
      </c>
      <c r="B269" s="1312" t="s">
        <v>1972</v>
      </c>
      <c r="C269" s="1312">
        <v>3210</v>
      </c>
      <c r="D269" s="1312">
        <v>3190</v>
      </c>
      <c r="E269" s="1312">
        <v>3310</v>
      </c>
      <c r="F269" s="1320">
        <v>730</v>
      </c>
      <c r="H269" s="1327"/>
    </row>
    <row r="270" spans="1:8" s="1299" customFormat="1" ht="14.25" customHeight="1">
      <c r="A270" s="1307" t="s">
        <v>305</v>
      </c>
      <c r="B270" s="1312" t="s">
        <v>1979</v>
      </c>
      <c r="C270" s="1312">
        <v>3240</v>
      </c>
      <c r="D270" s="1312">
        <v>3210</v>
      </c>
      <c r="E270" s="1312">
        <v>3390</v>
      </c>
      <c r="F270" s="1320">
        <v>820</v>
      </c>
      <c r="H270" s="1327"/>
    </row>
    <row r="271" spans="1:8" s="1299" customFormat="1" ht="14.25" customHeight="1">
      <c r="A271" s="1307" t="s">
        <v>305</v>
      </c>
      <c r="B271" s="1312" t="s">
        <v>1986</v>
      </c>
      <c r="C271" s="1312">
        <v>3300</v>
      </c>
      <c r="D271" s="1312">
        <v>3270</v>
      </c>
      <c r="E271" s="1312">
        <v>3380</v>
      </c>
      <c r="F271" s="1320">
        <v>750</v>
      </c>
      <c r="H271" s="1327"/>
    </row>
    <row r="272" spans="1:8" s="1299" customFormat="1" ht="14.25" customHeight="1">
      <c r="A272" s="1307" t="s">
        <v>305</v>
      </c>
      <c r="B272" s="1312" t="s">
        <v>1991</v>
      </c>
      <c r="C272" s="1334"/>
      <c r="D272" s="1334"/>
      <c r="E272" s="1334"/>
      <c r="F272" s="1320">
        <v>740</v>
      </c>
      <c r="H272" s="1327"/>
    </row>
    <row r="273" spans="1:8" s="1299" customFormat="1" ht="14.25" customHeight="1">
      <c r="A273" s="1307" t="s">
        <v>305</v>
      </c>
      <c r="B273" s="1312" t="s">
        <v>1996</v>
      </c>
      <c r="C273" s="1312">
        <v>3130</v>
      </c>
      <c r="D273" s="1312">
        <v>3100</v>
      </c>
      <c r="E273" s="1312">
        <v>3230</v>
      </c>
      <c r="F273" s="1320">
        <v>700</v>
      </c>
      <c r="H273" s="1327"/>
    </row>
    <row r="274" spans="1:8" s="1299" customFormat="1" ht="14.25" customHeight="1">
      <c r="A274" s="1307" t="s">
        <v>305</v>
      </c>
      <c r="B274" s="1312" t="s">
        <v>2001</v>
      </c>
      <c r="C274" s="1312">
        <v>3460</v>
      </c>
      <c r="D274" s="1312">
        <v>3430</v>
      </c>
      <c r="E274" s="1312">
        <v>3560</v>
      </c>
      <c r="F274" s="1320">
        <v>690</v>
      </c>
      <c r="H274" s="1327"/>
    </row>
    <row r="275" spans="1:8" s="1299" customFormat="1" ht="14.25" customHeight="1">
      <c r="A275" s="1307" t="s">
        <v>305</v>
      </c>
      <c r="B275" s="1312" t="s">
        <v>2006</v>
      </c>
      <c r="C275" s="1312">
        <v>4040</v>
      </c>
      <c r="D275" s="1312">
        <v>4020</v>
      </c>
      <c r="E275" s="1312">
        <v>4160</v>
      </c>
      <c r="F275" s="1320">
        <v>820</v>
      </c>
      <c r="H275" s="1327"/>
    </row>
    <row r="276" spans="1:8" s="1299" customFormat="1" ht="14.25" customHeight="1">
      <c r="A276" s="1307" t="s">
        <v>305</v>
      </c>
      <c r="B276" s="1312" t="s">
        <v>2011</v>
      </c>
      <c r="C276" s="1312">
        <v>3270</v>
      </c>
      <c r="D276" s="1312">
        <v>3240</v>
      </c>
      <c r="E276" s="1312">
        <v>3350</v>
      </c>
      <c r="F276" s="1320">
        <v>680</v>
      </c>
      <c r="H276" s="1327"/>
    </row>
    <row r="277" spans="1:8" s="1299" customFormat="1" ht="14.25" customHeight="1">
      <c r="A277" s="1307" t="s">
        <v>305</v>
      </c>
      <c r="B277" s="1312" t="s">
        <v>2016</v>
      </c>
      <c r="C277" s="1312">
        <v>2930</v>
      </c>
      <c r="D277" s="1312">
        <v>2900</v>
      </c>
      <c r="E277" s="1312">
        <v>3000</v>
      </c>
      <c r="F277" s="1320">
        <v>640</v>
      </c>
      <c r="H277" s="1327"/>
    </row>
    <row r="278" spans="1:8" s="1299" customFormat="1" ht="14.25" customHeight="1">
      <c r="A278" s="1307" t="s">
        <v>305</v>
      </c>
      <c r="B278" s="1312" t="s">
        <v>2021</v>
      </c>
      <c r="C278" s="1312">
        <v>4080</v>
      </c>
      <c r="D278" s="1312">
        <v>4030</v>
      </c>
      <c r="E278" s="1312">
        <v>4140</v>
      </c>
      <c r="F278" s="1320">
        <v>850</v>
      </c>
      <c r="H278" s="1327"/>
    </row>
    <row r="279" spans="1:8" s="1299" customFormat="1" ht="14.25" customHeight="1">
      <c r="A279" s="1307" t="s">
        <v>305</v>
      </c>
      <c r="B279" s="1312" t="s">
        <v>2025</v>
      </c>
      <c r="C279" s="1312"/>
      <c r="D279" s="1312"/>
      <c r="E279" s="1312"/>
      <c r="F279" s="1320">
        <v>760</v>
      </c>
      <c r="H279" s="1327"/>
    </row>
    <row r="280" spans="1:8" s="1299" customFormat="1" ht="14.25" customHeight="1">
      <c r="A280" s="1307" t="s">
        <v>305</v>
      </c>
      <c r="B280" s="1312" t="s">
        <v>2029</v>
      </c>
      <c r="C280" s="1312"/>
      <c r="D280" s="1312"/>
      <c r="E280" s="1312"/>
      <c r="F280" s="1320">
        <v>760</v>
      </c>
      <c r="H280" s="1327"/>
    </row>
    <row r="281" spans="1:8" s="1299" customFormat="1" ht="14.25" customHeight="1">
      <c r="A281" s="1307" t="s">
        <v>305</v>
      </c>
      <c r="B281" s="1312" t="s">
        <v>2033</v>
      </c>
      <c r="C281" s="1312"/>
      <c r="D281" s="1312"/>
      <c r="E281" s="1312"/>
      <c r="F281" s="1320">
        <v>780</v>
      </c>
      <c r="H281" s="1327"/>
    </row>
    <row r="282" spans="1:8" s="1299" customFormat="1" ht="14.25" customHeight="1">
      <c r="A282" s="1307" t="s">
        <v>305</v>
      </c>
      <c r="B282" s="1312" t="s">
        <v>2037</v>
      </c>
      <c r="C282" s="1312"/>
      <c r="D282" s="1312"/>
      <c r="E282" s="1312"/>
      <c r="F282" s="1320">
        <v>730</v>
      </c>
      <c r="H282" s="1327"/>
    </row>
    <row r="283" spans="1:8" s="1299" customFormat="1" ht="14.25" customHeight="1">
      <c r="A283" s="1307" t="s">
        <v>305</v>
      </c>
      <c r="B283" s="1312" t="s">
        <v>2041</v>
      </c>
      <c r="C283" s="1312"/>
      <c r="D283" s="1312"/>
      <c r="E283" s="1312"/>
      <c r="F283" s="1320">
        <v>770</v>
      </c>
      <c r="H283" s="1327"/>
    </row>
    <row r="284" spans="1:8" s="1299" customFormat="1" ht="14.25" customHeight="1">
      <c r="A284" s="1307" t="s">
        <v>305</v>
      </c>
      <c r="B284" s="1312" t="s">
        <v>2044</v>
      </c>
      <c r="C284" s="1312"/>
      <c r="D284" s="1312"/>
      <c r="E284" s="1312"/>
      <c r="F284" s="1320">
        <v>640</v>
      </c>
      <c r="H284" s="1327"/>
    </row>
    <row r="285" spans="1:8" s="1299" customFormat="1" ht="14.25" customHeight="1">
      <c r="A285" s="1307" t="s">
        <v>305</v>
      </c>
      <c r="B285" s="1312" t="s">
        <v>2047</v>
      </c>
      <c r="C285" s="1312"/>
      <c r="D285" s="1312"/>
      <c r="E285" s="1312"/>
      <c r="F285" s="1320">
        <v>640</v>
      </c>
      <c r="H285" s="1327"/>
    </row>
    <row r="286" spans="1:8" s="1299" customFormat="1" ht="14.25" customHeight="1">
      <c r="A286" s="1307" t="s">
        <v>305</v>
      </c>
      <c r="B286" s="1312" t="s">
        <v>2050</v>
      </c>
      <c r="C286" s="1312"/>
      <c r="D286" s="1312"/>
      <c r="E286" s="1312"/>
      <c r="F286" s="1320">
        <v>850</v>
      </c>
      <c r="H286" s="1327"/>
    </row>
    <row r="287" spans="1:8" s="1299" customFormat="1" ht="14.25" customHeight="1">
      <c r="A287" s="1307" t="s">
        <v>305</v>
      </c>
      <c r="B287" s="1312" t="s">
        <v>2053</v>
      </c>
      <c r="C287" s="1312"/>
      <c r="D287" s="1312"/>
      <c r="E287" s="1312"/>
      <c r="F287" s="1320">
        <v>760</v>
      </c>
      <c r="H287" s="1327"/>
    </row>
    <row r="288" spans="1:8" s="1299" customFormat="1" ht="14.25" customHeight="1">
      <c r="A288" s="1307" t="s">
        <v>305</v>
      </c>
      <c r="B288" s="1312" t="s">
        <v>2056</v>
      </c>
      <c r="C288" s="1312"/>
      <c r="D288" s="1312"/>
      <c r="E288" s="1312"/>
      <c r="F288" s="1320">
        <v>830</v>
      </c>
      <c r="H288" s="1327"/>
    </row>
    <row r="289" spans="1:8" s="1299" customFormat="1" ht="14.25" customHeight="1">
      <c r="A289" s="1307" t="s">
        <v>305</v>
      </c>
      <c r="B289" s="1318" t="s">
        <v>2059</v>
      </c>
      <c r="C289" s="1318"/>
      <c r="D289" s="1318"/>
      <c r="E289" s="1318"/>
      <c r="F289" s="1328">
        <v>680</v>
      </c>
      <c r="H289" s="1327"/>
    </row>
    <row r="290" spans="1:8" s="1299" customFormat="1" ht="14.25" customHeight="1">
      <c r="A290" s="1307" t="s">
        <v>308</v>
      </c>
      <c r="B290" s="1308" t="s">
        <v>1734</v>
      </c>
      <c r="C290" s="1308">
        <v>2770</v>
      </c>
      <c r="D290" s="1308">
        <v>2740</v>
      </c>
      <c r="E290" s="1308">
        <v>2720</v>
      </c>
      <c r="F290" s="1335"/>
      <c r="H290" s="1327"/>
    </row>
    <row r="291" spans="1:8" s="1299" customFormat="1" ht="14.25" customHeight="1">
      <c r="A291" s="1307" t="s">
        <v>308</v>
      </c>
      <c r="B291" s="1312" t="s">
        <v>1747</v>
      </c>
      <c r="C291" s="1312">
        <v>2670</v>
      </c>
      <c r="D291" s="1312">
        <v>2640</v>
      </c>
      <c r="E291" s="1312">
        <v>2620</v>
      </c>
      <c r="F291" s="1329"/>
      <c r="H291" s="1327"/>
    </row>
    <row r="292" spans="1:8" s="1299" customFormat="1" ht="14.25" customHeight="1">
      <c r="A292" s="1307" t="s">
        <v>308</v>
      </c>
      <c r="B292" s="1312" t="s">
        <v>1760</v>
      </c>
      <c r="C292" s="1312">
        <v>2180</v>
      </c>
      <c r="D292" s="1312">
        <v>2140</v>
      </c>
      <c r="E292" s="1312">
        <v>2120</v>
      </c>
      <c r="F292" s="1320">
        <v>490</v>
      </c>
      <c r="H292" s="1327"/>
    </row>
    <row r="293" spans="1:8" s="1299" customFormat="1" ht="14.25" customHeight="1">
      <c r="A293" s="1307" t="s">
        <v>308</v>
      </c>
      <c r="B293" s="1312" t="s">
        <v>2066</v>
      </c>
      <c r="C293" s="1312"/>
      <c r="D293" s="1312"/>
      <c r="E293" s="1312"/>
      <c r="F293" s="1320">
        <v>470</v>
      </c>
      <c r="H293" s="1327"/>
    </row>
    <row r="294" spans="1:8" s="1299" customFormat="1" ht="14.25" customHeight="1">
      <c r="A294" s="1307" t="s">
        <v>308</v>
      </c>
      <c r="B294" s="1312" t="s">
        <v>1772</v>
      </c>
      <c r="C294" s="1312">
        <v>2730</v>
      </c>
      <c r="D294" s="1312">
        <v>2700</v>
      </c>
      <c r="E294" s="1312">
        <v>2680</v>
      </c>
      <c r="F294" s="1320">
        <v>490</v>
      </c>
      <c r="H294" s="1327"/>
    </row>
    <row r="295" spans="1:8" s="1299" customFormat="1" ht="14.25" customHeight="1">
      <c r="A295" s="1307" t="s">
        <v>308</v>
      </c>
      <c r="B295" s="1312" t="s">
        <v>1784</v>
      </c>
      <c r="C295" s="1312">
        <v>2380</v>
      </c>
      <c r="D295" s="1312">
        <v>2350</v>
      </c>
      <c r="E295" s="1312">
        <v>2330</v>
      </c>
      <c r="F295" s="1320">
        <v>530</v>
      </c>
      <c r="H295" s="1327"/>
    </row>
    <row r="296" spans="1:8" s="1299" customFormat="1" ht="14.25" customHeight="1">
      <c r="A296" s="1307" t="s">
        <v>308</v>
      </c>
      <c r="B296" s="1312" t="s">
        <v>1795</v>
      </c>
      <c r="C296" s="1312">
        <v>2650</v>
      </c>
      <c r="D296" s="1312">
        <v>2620</v>
      </c>
      <c r="E296" s="1312">
        <v>2590</v>
      </c>
      <c r="F296" s="1320">
        <v>590</v>
      </c>
      <c r="H296" s="1327"/>
    </row>
    <row r="297" spans="1:8" s="1299" customFormat="1" ht="14.25" customHeight="1">
      <c r="A297" s="1307" t="s">
        <v>308</v>
      </c>
      <c r="B297" s="1312" t="s">
        <v>1806</v>
      </c>
      <c r="C297" s="1312">
        <v>2700</v>
      </c>
      <c r="D297" s="1312">
        <v>2670</v>
      </c>
      <c r="E297" s="1312">
        <v>2650</v>
      </c>
      <c r="F297" s="1320">
        <v>630</v>
      </c>
      <c r="H297" s="1327"/>
    </row>
    <row r="298" spans="1:8" s="1299" customFormat="1" ht="14.25" customHeight="1">
      <c r="A298" s="1307" t="s">
        <v>308</v>
      </c>
      <c r="B298" s="1312" t="s">
        <v>1817</v>
      </c>
      <c r="C298" s="1312">
        <v>2650</v>
      </c>
      <c r="D298" s="1312">
        <v>2620</v>
      </c>
      <c r="E298" s="1312">
        <v>2590</v>
      </c>
      <c r="F298" s="1320">
        <v>640</v>
      </c>
      <c r="H298" s="1327"/>
    </row>
    <row r="299" spans="1:8" s="1299" customFormat="1" ht="14.25" customHeight="1">
      <c r="A299" s="1307" t="s">
        <v>308</v>
      </c>
      <c r="B299" s="1312" t="s">
        <v>1827</v>
      </c>
      <c r="C299" s="1312">
        <v>2500</v>
      </c>
      <c r="D299" s="1312">
        <v>2480</v>
      </c>
      <c r="E299" s="1312">
        <v>2460</v>
      </c>
      <c r="F299" s="1329"/>
      <c r="H299" s="1327"/>
    </row>
    <row r="300" spans="1:8" s="1299" customFormat="1" ht="14.25" customHeight="1">
      <c r="A300" s="1307" t="s">
        <v>308</v>
      </c>
      <c r="B300" s="1312" t="s">
        <v>1837</v>
      </c>
      <c r="C300" s="1312">
        <v>2760</v>
      </c>
      <c r="D300" s="1312">
        <v>2730</v>
      </c>
      <c r="E300" s="1312">
        <v>2700</v>
      </c>
      <c r="F300" s="1320">
        <v>630</v>
      </c>
      <c r="H300" s="1327"/>
    </row>
    <row r="301" spans="1:8" s="1299" customFormat="1" ht="14.25" customHeight="1">
      <c r="A301" s="1307" t="s">
        <v>308</v>
      </c>
      <c r="B301" s="1312" t="s">
        <v>1847</v>
      </c>
      <c r="C301" s="1312">
        <v>2510</v>
      </c>
      <c r="D301" s="1312">
        <v>2480</v>
      </c>
      <c r="E301" s="1312">
        <v>2460</v>
      </c>
      <c r="F301" s="1329"/>
      <c r="H301" s="1327"/>
    </row>
    <row r="302" spans="1:8" s="1299" customFormat="1" ht="14.25" customHeight="1">
      <c r="A302" s="1307" t="s">
        <v>308</v>
      </c>
      <c r="B302" s="1312" t="s">
        <v>1857</v>
      </c>
      <c r="C302" s="1312">
        <v>2480</v>
      </c>
      <c r="D302" s="1312">
        <v>2450</v>
      </c>
      <c r="E302" s="1312">
        <v>2420</v>
      </c>
      <c r="F302" s="1320">
        <v>600</v>
      </c>
      <c r="H302" s="1327"/>
    </row>
    <row r="303" spans="1:8" s="1299" customFormat="1" ht="14.25" customHeight="1">
      <c r="A303" s="1307" t="s">
        <v>308</v>
      </c>
      <c r="B303" s="1312" t="s">
        <v>1867</v>
      </c>
      <c r="C303" s="1312">
        <v>2270</v>
      </c>
      <c r="D303" s="1312">
        <v>2240</v>
      </c>
      <c r="E303" s="1312">
        <v>2210</v>
      </c>
      <c r="F303" s="1320">
        <v>540</v>
      </c>
      <c r="H303" s="1327"/>
    </row>
    <row r="304" spans="1:8" s="1299" customFormat="1" ht="14.25" customHeight="1">
      <c r="A304" s="1307" t="s">
        <v>308</v>
      </c>
      <c r="B304" s="1312" t="s">
        <v>1877</v>
      </c>
      <c r="C304" s="1312">
        <v>2310</v>
      </c>
      <c r="D304" s="1312">
        <v>2290</v>
      </c>
      <c r="E304" s="1312">
        <v>2270</v>
      </c>
      <c r="F304" s="1329"/>
      <c r="H304" s="1327"/>
    </row>
    <row r="305" spans="1:8" s="1299" customFormat="1" ht="14.25" customHeight="1">
      <c r="A305" s="1307" t="s">
        <v>308</v>
      </c>
      <c r="B305" s="1312" t="s">
        <v>1887</v>
      </c>
      <c r="C305" s="1312">
        <v>2490</v>
      </c>
      <c r="D305" s="1312">
        <v>2470</v>
      </c>
      <c r="E305" s="1312">
        <v>2440</v>
      </c>
      <c r="F305" s="1320">
        <v>560</v>
      </c>
      <c r="H305" s="1327"/>
    </row>
    <row r="306" spans="1:8" s="1299" customFormat="1" ht="14.25" customHeight="1">
      <c r="A306" s="1307" t="s">
        <v>308</v>
      </c>
      <c r="B306" s="1312" t="s">
        <v>1897</v>
      </c>
      <c r="C306" s="1312">
        <v>2420</v>
      </c>
      <c r="D306" s="1312">
        <v>2400</v>
      </c>
      <c r="E306" s="1312">
        <v>2380</v>
      </c>
      <c r="F306" s="1329"/>
      <c r="H306" s="1327"/>
    </row>
    <row r="307" spans="1:8" s="1299" customFormat="1" ht="14.25" customHeight="1">
      <c r="A307" s="1307" t="s">
        <v>308</v>
      </c>
      <c r="B307" s="1312" t="s">
        <v>1907</v>
      </c>
      <c r="C307" s="1312">
        <v>2770</v>
      </c>
      <c r="D307" s="1312">
        <v>2740</v>
      </c>
      <c r="E307" s="1312">
        <v>2710</v>
      </c>
      <c r="F307" s="1320">
        <v>650</v>
      </c>
      <c r="H307" s="1327"/>
    </row>
    <row r="308" spans="1:8" s="1299" customFormat="1" ht="14.25" customHeight="1">
      <c r="A308" s="1307" t="s">
        <v>308</v>
      </c>
      <c r="B308" s="1312" t="s">
        <v>1917</v>
      </c>
      <c r="C308" s="1312">
        <v>2610</v>
      </c>
      <c r="D308" s="1312">
        <v>2580</v>
      </c>
      <c r="E308" s="1312">
        <v>2550</v>
      </c>
      <c r="F308" s="1320">
        <v>580</v>
      </c>
      <c r="H308" s="1327"/>
    </row>
    <row r="309" spans="1:8" s="1299" customFormat="1" ht="14.25" customHeight="1">
      <c r="A309" s="1307" t="s">
        <v>308</v>
      </c>
      <c r="B309" s="1312" t="s">
        <v>1927</v>
      </c>
      <c r="C309" s="1312">
        <v>2690</v>
      </c>
      <c r="D309" s="1312">
        <v>2670</v>
      </c>
      <c r="E309" s="1312">
        <v>2650</v>
      </c>
      <c r="F309" s="1329"/>
      <c r="H309" s="1327"/>
    </row>
    <row r="310" spans="1:8" s="1299" customFormat="1" ht="14.25" customHeight="1">
      <c r="A310" s="1307" t="s">
        <v>308</v>
      </c>
      <c r="B310" s="1312" t="s">
        <v>1936</v>
      </c>
      <c r="C310" s="1312">
        <v>2360</v>
      </c>
      <c r="D310" s="1312">
        <v>2330</v>
      </c>
      <c r="E310" s="1312">
        <v>2310</v>
      </c>
      <c r="F310" s="1320">
        <v>560</v>
      </c>
      <c r="H310" s="1327"/>
    </row>
    <row r="311" spans="1:8" s="1299" customFormat="1" ht="14.25" customHeight="1">
      <c r="A311" s="1307" t="s">
        <v>308</v>
      </c>
      <c r="B311" s="1312" t="s">
        <v>1944</v>
      </c>
      <c r="C311" s="1312">
        <v>1970</v>
      </c>
      <c r="D311" s="1312">
        <v>1950</v>
      </c>
      <c r="E311" s="1312">
        <v>1920</v>
      </c>
      <c r="F311" s="1320">
        <v>470</v>
      </c>
      <c r="H311" s="1327"/>
    </row>
    <row r="312" spans="1:8" s="1299" customFormat="1" ht="14.25" customHeight="1">
      <c r="A312" s="1307" t="s">
        <v>308</v>
      </c>
      <c r="B312" s="1312" t="s">
        <v>1952</v>
      </c>
      <c r="C312" s="1312">
        <v>2230</v>
      </c>
      <c r="D312" s="1312">
        <v>2200</v>
      </c>
      <c r="E312" s="1312">
        <v>2170</v>
      </c>
      <c r="F312" s="1320">
        <v>460</v>
      </c>
      <c r="H312" s="1327"/>
    </row>
    <row r="313" spans="1:8" s="1299" customFormat="1" ht="14.25" customHeight="1">
      <c r="A313" s="1307" t="s">
        <v>308</v>
      </c>
      <c r="B313" s="1312" t="s">
        <v>1959</v>
      </c>
      <c r="C313" s="1312">
        <v>2770</v>
      </c>
      <c r="D313" s="1312">
        <v>2740</v>
      </c>
      <c r="E313" s="1312">
        <v>2710</v>
      </c>
      <c r="F313" s="1320">
        <v>610</v>
      </c>
      <c r="H313" s="1327"/>
    </row>
    <row r="314" spans="1:8" s="1299" customFormat="1" ht="14.25" customHeight="1">
      <c r="A314" s="1307" t="s">
        <v>308</v>
      </c>
      <c r="B314" s="1312" t="s">
        <v>1966</v>
      </c>
      <c r="C314" s="1312"/>
      <c r="D314" s="1312"/>
      <c r="E314" s="1312"/>
      <c r="F314" s="1320">
        <v>490</v>
      </c>
      <c r="H314" s="1327"/>
    </row>
    <row r="315" spans="1:8" s="1299" customFormat="1" ht="14.25" customHeight="1">
      <c r="A315" s="1307" t="s">
        <v>308</v>
      </c>
      <c r="B315" s="1312" t="s">
        <v>1973</v>
      </c>
      <c r="C315" s="1312"/>
      <c r="D315" s="1312"/>
      <c r="E315" s="1312"/>
      <c r="F315" s="1320">
        <v>520</v>
      </c>
      <c r="H315" s="1327"/>
    </row>
    <row r="316" spans="1:8" s="1299" customFormat="1" ht="14.25" customHeight="1">
      <c r="A316" s="1307" t="s">
        <v>308</v>
      </c>
      <c r="B316" s="1318" t="s">
        <v>1980</v>
      </c>
      <c r="C316" s="1318"/>
      <c r="D316" s="1318"/>
      <c r="E316" s="1318"/>
      <c r="F316" s="1328">
        <v>460</v>
      </c>
      <c r="H316" s="1327"/>
    </row>
    <row r="317" spans="1:8" s="1299" customFormat="1" ht="14.25" customHeight="1">
      <c r="A317" s="1307" t="s">
        <v>311</v>
      </c>
      <c r="B317" s="1308" t="s">
        <v>1735</v>
      </c>
      <c r="C317" s="1308">
        <v>1200</v>
      </c>
      <c r="D317" s="1308">
        <v>1180</v>
      </c>
      <c r="E317" s="1308">
        <v>1160</v>
      </c>
      <c r="F317" s="1309">
        <v>370</v>
      </c>
      <c r="H317" s="1301"/>
    </row>
    <row r="318" spans="1:8" s="1299" customFormat="1" ht="14.25" customHeight="1">
      <c r="A318" s="1307" t="s">
        <v>311</v>
      </c>
      <c r="B318" s="1312" t="s">
        <v>1748</v>
      </c>
      <c r="C318" s="1312">
        <v>1090</v>
      </c>
      <c r="D318" s="1312">
        <v>1060</v>
      </c>
      <c r="E318" s="1312">
        <v>1040</v>
      </c>
      <c r="F318" s="1329"/>
      <c r="H318" s="1301"/>
    </row>
    <row r="319" spans="1:8" s="1299" customFormat="1" ht="14.25" customHeight="1">
      <c r="A319" s="1307" t="s">
        <v>311</v>
      </c>
      <c r="B319" s="1312" t="s">
        <v>1761</v>
      </c>
      <c r="C319" s="1312">
        <v>1520</v>
      </c>
      <c r="D319" s="1312">
        <v>1470</v>
      </c>
      <c r="E319" s="1312">
        <v>1440</v>
      </c>
      <c r="F319" s="1320">
        <v>370</v>
      </c>
      <c r="H319" s="1301"/>
    </row>
    <row r="320" spans="1:8" s="1299" customFormat="1" ht="14.25" customHeight="1">
      <c r="A320" s="1307" t="s">
        <v>311</v>
      </c>
      <c r="B320" s="1312" t="s">
        <v>1773</v>
      </c>
      <c r="C320" s="1312">
        <v>1360</v>
      </c>
      <c r="D320" s="1312">
        <v>1300</v>
      </c>
      <c r="E320" s="1312">
        <v>1270</v>
      </c>
      <c r="F320" s="1329"/>
      <c r="H320" s="1301"/>
    </row>
    <row r="321" spans="1:8" s="1299" customFormat="1" ht="14.25" customHeight="1">
      <c r="A321" s="1307" t="s">
        <v>311</v>
      </c>
      <c r="B321" s="1312" t="s">
        <v>1785</v>
      </c>
      <c r="C321" s="1312">
        <v>1750</v>
      </c>
      <c r="D321" s="1312">
        <v>1690</v>
      </c>
      <c r="E321" s="1312">
        <v>1660</v>
      </c>
      <c r="F321" s="1329"/>
      <c r="H321" s="1301"/>
    </row>
    <row r="322" spans="1:8" s="1299" customFormat="1" ht="14.25" customHeight="1">
      <c r="A322" s="1307" t="s">
        <v>311</v>
      </c>
      <c r="B322" s="1312" t="s">
        <v>1796</v>
      </c>
      <c r="C322" s="1312">
        <v>1650</v>
      </c>
      <c r="D322" s="1312">
        <v>1610</v>
      </c>
      <c r="E322" s="1312">
        <v>1580</v>
      </c>
      <c r="F322" s="1320">
        <v>500</v>
      </c>
      <c r="H322" s="1301"/>
    </row>
    <row r="323" spans="1:8" s="1299" customFormat="1" ht="14.25" customHeight="1">
      <c r="A323" s="1307" t="s">
        <v>311</v>
      </c>
      <c r="B323" s="1312" t="s">
        <v>1807</v>
      </c>
      <c r="C323" s="1312">
        <v>1780</v>
      </c>
      <c r="D323" s="1312">
        <v>1740</v>
      </c>
      <c r="E323" s="1312">
        <v>1720</v>
      </c>
      <c r="F323" s="1329"/>
      <c r="H323" s="1301"/>
    </row>
    <row r="324" spans="1:8" s="1299" customFormat="1" ht="14.25" customHeight="1">
      <c r="A324" s="1307" t="s">
        <v>311</v>
      </c>
      <c r="B324" s="1312" t="s">
        <v>1818</v>
      </c>
      <c r="C324" s="1312">
        <v>1650</v>
      </c>
      <c r="D324" s="1312">
        <v>1610</v>
      </c>
      <c r="E324" s="1312">
        <v>1580</v>
      </c>
      <c r="F324" s="1329"/>
      <c r="H324" s="1301"/>
    </row>
    <row r="325" spans="1:8" s="1299" customFormat="1" ht="14.25" customHeight="1">
      <c r="A325" s="1307" t="s">
        <v>311</v>
      </c>
      <c r="B325" s="1312" t="s">
        <v>1828</v>
      </c>
      <c r="C325" s="1312">
        <v>1330</v>
      </c>
      <c r="D325" s="1312">
        <v>1270</v>
      </c>
      <c r="E325" s="1312">
        <v>1240</v>
      </c>
      <c r="F325" s="1320">
        <v>430</v>
      </c>
      <c r="H325" s="1301"/>
    </row>
    <row r="326" spans="1:8" s="1299" customFormat="1" ht="14.25" customHeight="1">
      <c r="A326" s="1307" t="s">
        <v>311</v>
      </c>
      <c r="B326" s="1312" t="s">
        <v>1838</v>
      </c>
      <c r="C326" s="1312">
        <v>1470</v>
      </c>
      <c r="D326" s="1312">
        <v>1430</v>
      </c>
      <c r="E326" s="1312">
        <v>1400</v>
      </c>
      <c r="F326" s="1329"/>
      <c r="H326" s="1301"/>
    </row>
    <row r="327" spans="1:8" s="1299" customFormat="1" ht="14.25" customHeight="1">
      <c r="A327" s="1307" t="s">
        <v>311</v>
      </c>
      <c r="B327" s="1312" t="s">
        <v>1848</v>
      </c>
      <c r="C327" s="1312">
        <v>1420</v>
      </c>
      <c r="D327" s="1312">
        <v>1380</v>
      </c>
      <c r="E327" s="1312">
        <v>1360</v>
      </c>
      <c r="F327" s="1320">
        <v>420</v>
      </c>
      <c r="H327" s="1301"/>
    </row>
    <row r="328" spans="1:8" s="1299" customFormat="1" ht="14.25" customHeight="1">
      <c r="A328" s="1307" t="s">
        <v>311</v>
      </c>
      <c r="B328" s="1312" t="s">
        <v>1858</v>
      </c>
      <c r="C328" s="1312">
        <v>1400</v>
      </c>
      <c r="D328" s="1312">
        <v>1360</v>
      </c>
      <c r="E328" s="1312">
        <v>1330</v>
      </c>
      <c r="F328" s="1320">
        <v>460</v>
      </c>
      <c r="H328" s="1301"/>
    </row>
    <row r="329" spans="1:8" s="1299" customFormat="1" ht="14.25" customHeight="1">
      <c r="A329" s="1307" t="s">
        <v>311</v>
      </c>
      <c r="B329" s="1312" t="s">
        <v>1868</v>
      </c>
      <c r="C329" s="1312">
        <v>1640</v>
      </c>
      <c r="D329" s="1312">
        <v>1610</v>
      </c>
      <c r="E329" s="1312">
        <v>1580</v>
      </c>
      <c r="F329" s="1320">
        <v>410</v>
      </c>
      <c r="H329" s="1301"/>
    </row>
    <row r="330" spans="1:8" s="1299" customFormat="1" ht="14.25" customHeight="1">
      <c r="A330" s="1307" t="s">
        <v>311</v>
      </c>
      <c r="B330" s="1312" t="s">
        <v>1878</v>
      </c>
      <c r="C330" s="1312">
        <v>1260</v>
      </c>
      <c r="D330" s="1312">
        <v>1220</v>
      </c>
      <c r="E330" s="1312">
        <v>1200</v>
      </c>
      <c r="F330" s="1329"/>
      <c r="H330" s="1301"/>
    </row>
    <row r="331" spans="1:8" s="1299" customFormat="1" ht="14.25" customHeight="1">
      <c r="A331" s="1307" t="s">
        <v>311</v>
      </c>
      <c r="B331" s="1312" t="s">
        <v>1888</v>
      </c>
      <c r="C331" s="1312">
        <v>1620</v>
      </c>
      <c r="D331" s="1312">
        <v>1560</v>
      </c>
      <c r="E331" s="1312">
        <v>1530</v>
      </c>
      <c r="F331" s="1320">
        <v>490</v>
      </c>
      <c r="H331" s="1301"/>
    </row>
    <row r="332" spans="1:8" s="1299" customFormat="1" ht="14.25" customHeight="1">
      <c r="A332" s="1307" t="s">
        <v>311</v>
      </c>
      <c r="B332" s="1312" t="s">
        <v>1898</v>
      </c>
      <c r="C332" s="1312">
        <v>1520</v>
      </c>
      <c r="D332" s="1312">
        <v>1470</v>
      </c>
      <c r="E332" s="1312">
        <v>1440</v>
      </c>
      <c r="F332" s="1320">
        <v>440</v>
      </c>
      <c r="H332" s="1301"/>
    </row>
    <row r="333" spans="1:8" s="1299" customFormat="1" ht="14.25" customHeight="1">
      <c r="A333" s="1307" t="s">
        <v>311</v>
      </c>
      <c r="B333" s="1312" t="s">
        <v>1908</v>
      </c>
      <c r="C333" s="1312">
        <v>1370</v>
      </c>
      <c r="D333" s="1312">
        <v>1320</v>
      </c>
      <c r="E333" s="1312">
        <v>1300</v>
      </c>
      <c r="F333" s="1320">
        <v>460</v>
      </c>
      <c r="H333" s="1301"/>
    </row>
    <row r="334" spans="1:8" s="1299" customFormat="1" ht="14.25" customHeight="1">
      <c r="A334" s="1307" t="s">
        <v>311</v>
      </c>
      <c r="B334" s="1312" t="s">
        <v>1918</v>
      </c>
      <c r="C334" s="1312">
        <v>1410</v>
      </c>
      <c r="D334" s="1312">
        <v>1340</v>
      </c>
      <c r="E334" s="1312">
        <v>1310</v>
      </c>
      <c r="F334" s="1320">
        <v>410</v>
      </c>
      <c r="H334" s="1301"/>
    </row>
    <row r="335" spans="1:8" s="1299" customFormat="1" ht="14.25" customHeight="1">
      <c r="A335" s="1307" t="s">
        <v>311</v>
      </c>
      <c r="B335" s="1312" t="s">
        <v>1928</v>
      </c>
      <c r="C335" s="1312">
        <v>1260</v>
      </c>
      <c r="D335" s="1312">
        <v>1220</v>
      </c>
      <c r="E335" s="1312">
        <v>1200</v>
      </c>
      <c r="F335" s="1329"/>
      <c r="H335" s="1301"/>
    </row>
    <row r="336" spans="1:8" s="1299" customFormat="1" ht="14.25" customHeight="1">
      <c r="A336" s="1307" t="s">
        <v>311</v>
      </c>
      <c r="B336" s="1312" t="s">
        <v>1937</v>
      </c>
      <c r="C336" s="1312">
        <v>1160</v>
      </c>
      <c r="D336" s="1312">
        <v>1140</v>
      </c>
      <c r="E336" s="1312">
        <v>1120</v>
      </c>
      <c r="F336" s="1320">
        <v>430</v>
      </c>
      <c r="H336" s="1301"/>
    </row>
    <row r="337" spans="1:8" s="1299" customFormat="1" ht="14.25" customHeight="1">
      <c r="A337" s="1307" t="s">
        <v>311</v>
      </c>
      <c r="B337" s="1318" t="s">
        <v>1945</v>
      </c>
      <c r="C337" s="1318"/>
      <c r="D337" s="1318"/>
      <c r="E337" s="1318"/>
      <c r="F337" s="1328">
        <v>380</v>
      </c>
      <c r="H337" s="1301"/>
    </row>
    <row r="338" spans="1:8" s="1299" customFormat="1" ht="14.25" customHeight="1">
      <c r="A338" s="1307" t="s">
        <v>314</v>
      </c>
      <c r="B338" s="1308" t="s">
        <v>1736</v>
      </c>
      <c r="C338" s="1308">
        <v>880</v>
      </c>
      <c r="D338" s="1308">
        <v>850</v>
      </c>
      <c r="E338" s="1308">
        <v>830</v>
      </c>
      <c r="F338" s="1335"/>
      <c r="H338" s="1301"/>
    </row>
    <row r="339" spans="1:8" s="1299" customFormat="1" ht="14.25" customHeight="1">
      <c r="A339" s="1307" t="s">
        <v>314</v>
      </c>
      <c r="B339" s="1312" t="s">
        <v>1749</v>
      </c>
      <c r="C339" s="1312">
        <v>830</v>
      </c>
      <c r="D339" s="1312">
        <v>800</v>
      </c>
      <c r="E339" s="1312">
        <v>780</v>
      </c>
      <c r="F339" s="1329"/>
      <c r="H339" s="1301"/>
    </row>
    <row r="340" spans="1:8" s="1299" customFormat="1" ht="14.25" customHeight="1">
      <c r="A340" s="1307" t="s">
        <v>314</v>
      </c>
      <c r="B340" s="1312" t="s">
        <v>1762</v>
      </c>
      <c r="C340" s="1312">
        <v>980</v>
      </c>
      <c r="D340" s="1312">
        <v>950</v>
      </c>
      <c r="E340" s="1312">
        <v>920</v>
      </c>
      <c r="F340" s="1329"/>
      <c r="H340" s="1301"/>
    </row>
    <row r="341" spans="1:8" s="1299" customFormat="1" ht="14.25" customHeight="1">
      <c r="A341" s="1307" t="s">
        <v>314</v>
      </c>
      <c r="B341" s="1312" t="s">
        <v>1774</v>
      </c>
      <c r="C341" s="1312">
        <v>760</v>
      </c>
      <c r="D341" s="1312">
        <v>720</v>
      </c>
      <c r="E341" s="1312">
        <v>690</v>
      </c>
      <c r="F341" s="1320">
        <v>350</v>
      </c>
      <c r="H341" s="1301"/>
    </row>
    <row r="342" spans="1:8" s="1299" customFormat="1" ht="14.25" customHeight="1">
      <c r="A342" s="1307" t="s">
        <v>314</v>
      </c>
      <c r="B342" s="1312" t="s">
        <v>1786</v>
      </c>
      <c r="C342" s="1312">
        <v>910</v>
      </c>
      <c r="D342" s="1312">
        <v>870</v>
      </c>
      <c r="E342" s="1312">
        <v>850</v>
      </c>
      <c r="F342" s="1320">
        <v>370</v>
      </c>
      <c r="H342" s="1301"/>
    </row>
    <row r="343" spans="1:8" s="1299" customFormat="1" ht="14.25" customHeight="1">
      <c r="A343" s="1307" t="s">
        <v>314</v>
      </c>
      <c r="B343" s="1312" t="s">
        <v>1797</v>
      </c>
      <c r="C343" s="1312">
        <v>800</v>
      </c>
      <c r="D343" s="1312">
        <v>760</v>
      </c>
      <c r="E343" s="1312">
        <v>730</v>
      </c>
      <c r="F343" s="1320">
        <v>340</v>
      </c>
      <c r="H343" s="1301"/>
    </row>
    <row r="344" spans="1:8" s="1299" customFormat="1" ht="14.25" customHeight="1">
      <c r="A344" s="1307" t="s">
        <v>314</v>
      </c>
      <c r="B344" s="1318" t="s">
        <v>1808</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2067</v>
      </c>
      <c r="B1" s="1290"/>
      <c r="C1" s="1290"/>
      <c r="D1" s="1290"/>
      <c r="E1" s="1290"/>
      <c r="F1" s="1290"/>
      <c r="G1" s="1290"/>
      <c r="H1" s="1290"/>
      <c r="I1" s="1290"/>
      <c r="J1" s="1290"/>
      <c r="K1" s="1290"/>
      <c r="L1" s="1290"/>
      <c r="M1" s="1290"/>
      <c r="N1" s="1290"/>
    </row>
    <row r="2" spans="1:14">
      <c r="A2" s="1291" t="s">
        <v>105</v>
      </c>
      <c r="B2" s="1292" t="s">
        <v>240</v>
      </c>
      <c r="C2" s="1292" t="s">
        <v>253</v>
      </c>
      <c r="D2" s="1292" t="s">
        <v>265</v>
      </c>
      <c r="E2" s="1292" t="s">
        <v>275</v>
      </c>
      <c r="F2" s="1292" t="s">
        <v>284</v>
      </c>
      <c r="G2" s="1292" t="s">
        <v>292</v>
      </c>
      <c r="H2" s="1293" t="s">
        <v>297</v>
      </c>
      <c r="I2" s="1293" t="s">
        <v>302</v>
      </c>
      <c r="J2" s="1296" t="s">
        <v>305</v>
      </c>
      <c r="K2" s="1296" t="s">
        <v>308</v>
      </c>
      <c r="L2" s="1296" t="s">
        <v>311</v>
      </c>
      <c r="M2" s="1296" t="s">
        <v>314</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2068</v>
      </c>
      <c r="B103" s="1290"/>
      <c r="C103" s="1290"/>
      <c r="D103" s="1290"/>
      <c r="E103" s="1290"/>
      <c r="F103" s="1290"/>
      <c r="G103" s="1290"/>
      <c r="H103" s="1290"/>
      <c r="I103" s="1290"/>
      <c r="J103" s="1290"/>
      <c r="K103" s="1290"/>
      <c r="L103" s="1290"/>
      <c r="M103" s="1290"/>
      <c r="N103" s="1290"/>
    </row>
    <row r="104" spans="1:14" ht="14.25">
      <c r="A104" s="1291" t="s">
        <v>105</v>
      </c>
      <c r="B104" s="1292" t="s">
        <v>240</v>
      </c>
      <c r="C104" s="1292" t="s">
        <v>253</v>
      </c>
      <c r="D104" s="1292" t="s">
        <v>265</v>
      </c>
      <c r="E104" s="1292" t="s">
        <v>275</v>
      </c>
      <c r="F104" s="1292" t="s">
        <v>284</v>
      </c>
      <c r="G104" s="1292" t="s">
        <v>292</v>
      </c>
      <c r="H104" s="1293" t="s">
        <v>297</v>
      </c>
      <c r="I104" s="1293" t="s">
        <v>302</v>
      </c>
      <c r="J104" s="1296" t="s">
        <v>305</v>
      </c>
      <c r="K104" s="1296" t="s">
        <v>308</v>
      </c>
      <c r="L104" s="1296" t="s">
        <v>311</v>
      </c>
      <c r="M104" s="1296" t="s">
        <v>314</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2069</v>
      </c>
      <c r="B205" s="1290"/>
      <c r="C205" s="1290"/>
      <c r="D205" s="1290"/>
      <c r="E205" s="1290"/>
      <c r="F205" s="1290"/>
      <c r="G205" s="1290"/>
      <c r="H205" s="1290"/>
      <c r="I205" s="1290"/>
      <c r="J205" s="1290"/>
      <c r="K205" s="1290"/>
      <c r="L205" s="1290"/>
      <c r="M205" s="1290"/>
    </row>
    <row r="206" spans="1:13">
      <c r="A206" s="1291" t="s">
        <v>105</v>
      </c>
      <c r="B206" s="1292" t="s">
        <v>240</v>
      </c>
      <c r="C206" s="1292" t="s">
        <v>253</v>
      </c>
      <c r="D206" s="1292" t="s">
        <v>265</v>
      </c>
      <c r="E206" s="1292" t="s">
        <v>275</v>
      </c>
      <c r="F206" s="1292" t="s">
        <v>284</v>
      </c>
      <c r="G206" s="1292" t="s">
        <v>292</v>
      </c>
      <c r="H206" s="1293" t="s">
        <v>297</v>
      </c>
      <c r="I206" s="1293" t="s">
        <v>302</v>
      </c>
      <c r="J206" s="1296" t="s">
        <v>305</v>
      </c>
      <c r="K206" s="1296" t="s">
        <v>308</v>
      </c>
      <c r="L206" s="1296" t="s">
        <v>311</v>
      </c>
      <c r="M206" s="1296" t="s">
        <v>314</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2070</v>
      </c>
      <c r="B307" s="1290"/>
      <c r="C307" s="1290"/>
      <c r="D307" s="1290"/>
      <c r="E307" s="1290"/>
      <c r="F307" s="1290"/>
      <c r="G307" s="1290"/>
      <c r="H307" s="1290"/>
      <c r="I307" s="1290"/>
      <c r="J307" s="1290"/>
      <c r="K307" s="1290"/>
      <c r="L307" s="1290"/>
      <c r="M307" s="1290"/>
    </row>
    <row r="308" spans="1:13">
      <c r="A308" s="1291" t="s">
        <v>105</v>
      </c>
      <c r="B308" s="1292" t="s">
        <v>240</v>
      </c>
      <c r="C308" s="1292" t="s">
        <v>253</v>
      </c>
      <c r="D308" s="1292" t="s">
        <v>265</v>
      </c>
      <c r="E308" s="1292" t="s">
        <v>275</v>
      </c>
      <c r="F308" s="1292" t="s">
        <v>284</v>
      </c>
      <c r="G308" s="1292" t="s">
        <v>292</v>
      </c>
      <c r="H308" s="1293" t="s">
        <v>297</v>
      </c>
      <c r="I308" s="1293" t="s">
        <v>302</v>
      </c>
      <c r="J308" s="1296" t="s">
        <v>305</v>
      </c>
      <c r="K308" s="1296" t="s">
        <v>308</v>
      </c>
      <c r="L308" s="1296" t="s">
        <v>311</v>
      </c>
      <c r="M308" s="1296" t="s">
        <v>314</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108" customWidth="1"/>
  </cols>
  <sheetData>
    <row r="1" spans="1:6">
      <c r="A1" s="3406" t="s">
        <v>2071</v>
      </c>
      <c r="B1" s="3406"/>
    </row>
    <row r="2" spans="1:6">
      <c r="A2" s="1258"/>
      <c r="B2" s="1258"/>
    </row>
    <row r="3" spans="1:6">
      <c r="A3" s="1258"/>
      <c r="B3" s="1258"/>
      <c r="C3" s="1259" t="s">
        <v>370</v>
      </c>
      <c r="D3" s="1259" t="s">
        <v>371</v>
      </c>
      <c r="E3" s="1259" t="s">
        <v>369</v>
      </c>
      <c r="F3" s="1259" t="s">
        <v>164</v>
      </c>
    </row>
    <row r="4" spans="1:6">
      <c r="A4" s="1260" t="s">
        <v>1737</v>
      </c>
      <c r="B4" s="1261" t="s">
        <v>418</v>
      </c>
      <c r="C4" s="1259"/>
      <c r="D4" s="1259"/>
      <c r="E4" s="1259"/>
      <c r="F4" s="1259"/>
    </row>
    <row r="5" spans="1:6">
      <c r="A5" s="1262" t="s">
        <v>240</v>
      </c>
      <c r="B5" s="1263" t="s">
        <v>1725</v>
      </c>
      <c r="C5" s="1264">
        <v>8.8999999999999996E-2</v>
      </c>
      <c r="D5" s="1264">
        <v>7.3999999999999996E-2</v>
      </c>
      <c r="E5" s="1264">
        <v>7.4999999999999997E-2</v>
      </c>
      <c r="F5" s="1265">
        <v>0.1</v>
      </c>
    </row>
    <row r="6" spans="1:6">
      <c r="A6" s="1262" t="s">
        <v>240</v>
      </c>
      <c r="B6" s="1266" t="s">
        <v>1738</v>
      </c>
      <c r="C6" s="1267">
        <v>0.1</v>
      </c>
      <c r="D6" s="1267">
        <v>9.0999999999999998E-2</v>
      </c>
      <c r="E6" s="1267">
        <v>9.0999999999999998E-2</v>
      </c>
      <c r="F6" s="1268">
        <v>0.1</v>
      </c>
    </row>
    <row r="7" spans="1:6">
      <c r="A7" s="1262" t="s">
        <v>240</v>
      </c>
      <c r="B7" s="1269" t="s">
        <v>1751</v>
      </c>
      <c r="C7" s="1267">
        <v>8.5999999999999993E-2</v>
      </c>
      <c r="D7" s="1267">
        <v>9.6000000000000002E-2</v>
      </c>
      <c r="E7" s="1267">
        <v>7.5999999999999998E-2</v>
      </c>
      <c r="F7" s="1268">
        <v>0.1</v>
      </c>
    </row>
    <row r="8" spans="1:6">
      <c r="A8" s="1262" t="s">
        <v>240</v>
      </c>
      <c r="B8" s="1266" t="s">
        <v>1763</v>
      </c>
      <c r="C8" s="1267">
        <v>9.9000000000000005E-2</v>
      </c>
      <c r="D8" s="1267">
        <v>9.8000000000000004E-2</v>
      </c>
      <c r="E8" s="1267">
        <v>9.8000000000000004E-2</v>
      </c>
      <c r="F8" s="1268">
        <v>0.1</v>
      </c>
    </row>
    <row r="9" spans="1:6">
      <c r="A9" s="1270" t="s">
        <v>240</v>
      </c>
      <c r="B9" s="1271" t="s">
        <v>1775</v>
      </c>
      <c r="C9" s="1272">
        <v>0.05</v>
      </c>
      <c r="D9" s="1273"/>
      <c r="E9" s="1273"/>
      <c r="F9" s="1274"/>
    </row>
    <row r="10" spans="1:6">
      <c r="A10" s="1262" t="s">
        <v>253</v>
      </c>
      <c r="B10" s="1263" t="s">
        <v>1726</v>
      </c>
      <c r="C10" s="1264">
        <v>8.8999999999999996E-2</v>
      </c>
      <c r="D10" s="1264">
        <v>7.2999999999999995E-2</v>
      </c>
      <c r="E10" s="1264">
        <v>8.2000000000000003E-2</v>
      </c>
      <c r="F10" s="1265">
        <v>0.1</v>
      </c>
    </row>
    <row r="11" spans="1:6">
      <c r="A11" s="1262" t="s">
        <v>253</v>
      </c>
      <c r="B11" s="1269" t="s">
        <v>1739</v>
      </c>
      <c r="C11" s="1267">
        <v>8.8999999999999996E-2</v>
      </c>
      <c r="D11" s="1267">
        <v>7.2999999999999995E-2</v>
      </c>
      <c r="E11" s="1267">
        <v>8.2000000000000003E-2</v>
      </c>
      <c r="F11" s="1268">
        <v>0.1</v>
      </c>
    </row>
    <row r="12" spans="1:6">
      <c r="A12" s="1262" t="s">
        <v>253</v>
      </c>
      <c r="B12" s="1269" t="s">
        <v>1752</v>
      </c>
      <c r="C12" s="1267">
        <v>6.0999999999999999E-2</v>
      </c>
      <c r="D12" s="1267">
        <v>7.0999999999999994E-2</v>
      </c>
      <c r="E12" s="1267">
        <v>9.6000000000000002E-2</v>
      </c>
      <c r="F12" s="1268">
        <v>0.1</v>
      </c>
    </row>
    <row r="13" spans="1:6">
      <c r="A13" s="1262" t="s">
        <v>253</v>
      </c>
      <c r="B13" s="1269" t="s">
        <v>1764</v>
      </c>
      <c r="C13" s="1267">
        <v>6.9000000000000006E-2</v>
      </c>
      <c r="D13" s="1267">
        <v>6.5000000000000002E-2</v>
      </c>
      <c r="E13" s="1267">
        <v>6.6000000000000003E-2</v>
      </c>
      <c r="F13" s="1268">
        <v>0.1</v>
      </c>
    </row>
    <row r="14" spans="1:6">
      <c r="A14" s="1262" t="s">
        <v>253</v>
      </c>
      <c r="B14" s="1269" t="s">
        <v>1776</v>
      </c>
      <c r="C14" s="1267">
        <v>0.1</v>
      </c>
      <c r="D14" s="1267">
        <v>6.5000000000000002E-2</v>
      </c>
      <c r="E14" s="1267">
        <v>7.0000000000000007E-2</v>
      </c>
      <c r="F14" s="1268">
        <v>0.1</v>
      </c>
    </row>
    <row r="15" spans="1:6">
      <c r="A15" s="1262" t="s">
        <v>253</v>
      </c>
      <c r="B15" s="1269" t="s">
        <v>1787</v>
      </c>
      <c r="C15" s="1267">
        <v>9.8000000000000004E-2</v>
      </c>
      <c r="D15" s="1267">
        <v>8.8999999999999996E-2</v>
      </c>
      <c r="E15" s="1267">
        <v>8.8999999999999996E-2</v>
      </c>
      <c r="F15" s="1268">
        <v>0.1</v>
      </c>
    </row>
    <row r="16" spans="1:6">
      <c r="A16" s="1262" t="s">
        <v>253</v>
      </c>
      <c r="B16" s="1269" t="s">
        <v>1798</v>
      </c>
      <c r="C16" s="1267">
        <v>7.0000000000000007E-2</v>
      </c>
      <c r="D16" s="1267">
        <v>9.2999999999999999E-2</v>
      </c>
      <c r="E16" s="1267">
        <v>9.6000000000000002E-2</v>
      </c>
      <c r="F16" s="1268">
        <v>0.1</v>
      </c>
    </row>
    <row r="17" spans="1:6">
      <c r="A17" s="1262" t="s">
        <v>253</v>
      </c>
      <c r="B17" s="1269" t="s">
        <v>1809</v>
      </c>
      <c r="C17" s="1267">
        <v>9.5000000000000001E-2</v>
      </c>
      <c r="D17" s="1267">
        <v>0.1</v>
      </c>
      <c r="E17" s="1267">
        <v>0.1</v>
      </c>
      <c r="F17" s="1275"/>
    </row>
    <row r="18" spans="1:6">
      <c r="A18" s="1262" t="s">
        <v>253</v>
      </c>
      <c r="B18" s="1269" t="s">
        <v>1819</v>
      </c>
      <c r="C18" s="1267">
        <v>7.3999999999999996E-2</v>
      </c>
      <c r="D18" s="1267">
        <v>9.9000000000000005E-2</v>
      </c>
      <c r="E18" s="1267">
        <v>0.1</v>
      </c>
      <c r="F18" s="1275"/>
    </row>
    <row r="19" spans="1:6">
      <c r="A19" s="1262" t="s">
        <v>253</v>
      </c>
      <c r="B19" s="1269" t="s">
        <v>1829</v>
      </c>
      <c r="C19" s="1267">
        <v>9.9000000000000005E-2</v>
      </c>
      <c r="D19" s="1267">
        <v>7.5999999999999998E-2</v>
      </c>
      <c r="E19" s="1267">
        <v>8.6999999999999994E-2</v>
      </c>
      <c r="F19" s="1275"/>
    </row>
    <row r="20" spans="1:6">
      <c r="A20" s="1262" t="s">
        <v>253</v>
      </c>
      <c r="B20" s="1269" t="s">
        <v>1839</v>
      </c>
      <c r="C20" s="1267">
        <v>9.8000000000000004E-2</v>
      </c>
      <c r="D20" s="1267">
        <v>8.5000000000000006E-2</v>
      </c>
      <c r="E20" s="1267">
        <v>8.2000000000000003E-2</v>
      </c>
      <c r="F20" s="1275"/>
    </row>
    <row r="21" spans="1:6">
      <c r="A21" s="1262" t="s">
        <v>253</v>
      </c>
      <c r="B21" s="1269" t="s">
        <v>1849</v>
      </c>
      <c r="C21" s="1267">
        <v>6.6000000000000003E-2</v>
      </c>
      <c r="D21" s="1267">
        <v>6.4000000000000001E-2</v>
      </c>
      <c r="E21" s="1267">
        <v>6.5000000000000002E-2</v>
      </c>
      <c r="F21" s="1275"/>
    </row>
    <row r="22" spans="1:6">
      <c r="A22" s="1262" t="s">
        <v>253</v>
      </c>
      <c r="B22" s="1269" t="s">
        <v>1859</v>
      </c>
      <c r="C22" s="1267">
        <v>0.08</v>
      </c>
      <c r="D22" s="1267">
        <v>9.8000000000000004E-2</v>
      </c>
      <c r="E22" s="1267">
        <v>9.8000000000000004E-2</v>
      </c>
      <c r="F22" s="1275"/>
    </row>
    <row r="23" spans="1:6">
      <c r="A23" s="1262" t="s">
        <v>253</v>
      </c>
      <c r="B23" s="1269" t="s">
        <v>1869</v>
      </c>
      <c r="C23" s="1267">
        <v>9.9000000000000005E-2</v>
      </c>
      <c r="D23" s="1267">
        <v>9.8000000000000004E-2</v>
      </c>
      <c r="E23" s="1267">
        <v>9.0999999999999998E-2</v>
      </c>
      <c r="F23" s="1275"/>
    </row>
    <row r="24" spans="1:6">
      <c r="A24" s="1262" t="s">
        <v>253</v>
      </c>
      <c r="B24" s="1269" t="s">
        <v>1879</v>
      </c>
      <c r="C24" s="1267">
        <v>8.8999999999999996E-2</v>
      </c>
      <c r="D24" s="1267">
        <v>9.7000000000000003E-2</v>
      </c>
      <c r="E24" s="1267">
        <v>7.0000000000000007E-2</v>
      </c>
      <c r="F24" s="1275"/>
    </row>
    <row r="25" spans="1:6">
      <c r="A25" s="1262" t="s">
        <v>253</v>
      </c>
      <c r="B25" s="1269" t="s">
        <v>1889</v>
      </c>
      <c r="C25" s="1267">
        <v>8.8999999999999996E-2</v>
      </c>
      <c r="D25" s="1267">
        <v>0.1</v>
      </c>
      <c r="E25" s="1267">
        <v>8.1000000000000003E-2</v>
      </c>
      <c r="F25" s="1275"/>
    </row>
    <row r="26" spans="1:6">
      <c r="A26" s="1262" t="s">
        <v>253</v>
      </c>
      <c r="B26" s="1269" t="s">
        <v>1899</v>
      </c>
      <c r="C26" s="1276"/>
      <c r="D26" s="1267">
        <v>9.6000000000000002E-2</v>
      </c>
      <c r="E26" s="1267">
        <v>9.2999999999999999E-2</v>
      </c>
      <c r="F26" s="1275"/>
    </row>
    <row r="27" spans="1:6">
      <c r="A27" s="1262" t="s">
        <v>253</v>
      </c>
      <c r="B27" s="1269" t="s">
        <v>1909</v>
      </c>
      <c r="C27" s="1276"/>
      <c r="D27" s="1267">
        <v>7.5999999999999998E-2</v>
      </c>
      <c r="E27" s="1267">
        <v>9.1999999999999998E-2</v>
      </c>
      <c r="F27" s="1275"/>
    </row>
    <row r="28" spans="1:6">
      <c r="A28" s="1270" t="s">
        <v>253</v>
      </c>
      <c r="B28" s="1271" t="s">
        <v>1919</v>
      </c>
      <c r="C28" s="1273"/>
      <c r="D28" s="1272">
        <v>7.5999999999999998E-2</v>
      </c>
      <c r="E28" s="1272">
        <v>9.1999999999999998E-2</v>
      </c>
      <c r="F28" s="1274"/>
    </row>
    <row r="29" spans="1:6">
      <c r="A29" s="1262" t="s">
        <v>265</v>
      </c>
      <c r="B29" s="1263" t="s">
        <v>1727</v>
      </c>
      <c r="C29" s="1264">
        <v>6.4000000000000001E-2</v>
      </c>
      <c r="D29" s="1264">
        <v>6.5000000000000002E-2</v>
      </c>
      <c r="E29" s="1264">
        <v>6.9000000000000006E-2</v>
      </c>
      <c r="F29" s="1265">
        <v>0.1</v>
      </c>
    </row>
    <row r="30" spans="1:6">
      <c r="A30" s="1262" t="s">
        <v>265</v>
      </c>
      <c r="B30" s="1269" t="s">
        <v>1740</v>
      </c>
      <c r="C30" s="1267">
        <v>6.4000000000000001E-2</v>
      </c>
      <c r="D30" s="1267">
        <v>9.9000000000000005E-2</v>
      </c>
      <c r="E30" s="1267">
        <v>0.1</v>
      </c>
      <c r="F30" s="1268">
        <v>0.1</v>
      </c>
    </row>
    <row r="31" spans="1:6">
      <c r="A31" s="1262" t="s">
        <v>265</v>
      </c>
      <c r="B31" s="1269" t="s">
        <v>1753</v>
      </c>
      <c r="C31" s="1267">
        <v>0.1</v>
      </c>
      <c r="D31" s="1267">
        <v>9.5000000000000001E-2</v>
      </c>
      <c r="E31" s="1267">
        <v>8.8999999999999996E-2</v>
      </c>
      <c r="F31" s="1268">
        <v>0.1</v>
      </c>
    </row>
    <row r="32" spans="1:6">
      <c r="A32" s="1262" t="s">
        <v>265</v>
      </c>
      <c r="B32" s="1269" t="s">
        <v>1765</v>
      </c>
      <c r="C32" s="1267">
        <v>0.05</v>
      </c>
      <c r="D32" s="1267">
        <v>0.05</v>
      </c>
      <c r="E32" s="1267">
        <v>8.7999999999999995E-2</v>
      </c>
      <c r="F32" s="1268">
        <v>0.1</v>
      </c>
    </row>
    <row r="33" spans="1:6">
      <c r="A33" s="1262" t="s">
        <v>265</v>
      </c>
      <c r="B33" s="1269" t="s">
        <v>1777</v>
      </c>
      <c r="C33" s="1267">
        <v>7.4999999999999997E-2</v>
      </c>
      <c r="D33" s="1267">
        <v>9.4E-2</v>
      </c>
      <c r="E33" s="1267">
        <v>9.7000000000000003E-2</v>
      </c>
      <c r="F33" s="1268">
        <v>0.1</v>
      </c>
    </row>
    <row r="34" spans="1:6">
      <c r="A34" s="1262" t="s">
        <v>265</v>
      </c>
      <c r="B34" s="1269" t="s">
        <v>1788</v>
      </c>
      <c r="C34" s="1267">
        <v>9.8000000000000004E-2</v>
      </c>
      <c r="D34" s="1267">
        <v>8.5999999999999993E-2</v>
      </c>
      <c r="E34" s="1267">
        <v>9.7000000000000003E-2</v>
      </c>
      <c r="F34" s="1268">
        <v>0.1</v>
      </c>
    </row>
    <row r="35" spans="1:6">
      <c r="A35" s="1262" t="s">
        <v>265</v>
      </c>
      <c r="B35" s="1269" t="s">
        <v>1799</v>
      </c>
      <c r="C35" s="1267">
        <v>5.8999999999999997E-2</v>
      </c>
      <c r="D35" s="1267">
        <v>6.5000000000000002E-2</v>
      </c>
      <c r="E35" s="1267">
        <v>7.0000000000000007E-2</v>
      </c>
      <c r="F35" s="1268">
        <v>0.1</v>
      </c>
    </row>
    <row r="36" spans="1:6">
      <c r="A36" s="1262" t="s">
        <v>265</v>
      </c>
      <c r="B36" s="1269" t="s">
        <v>1810</v>
      </c>
      <c r="C36" s="1267">
        <v>6.3E-2</v>
      </c>
      <c r="D36" s="1267">
        <v>0.1</v>
      </c>
      <c r="E36" s="1267">
        <v>0.1</v>
      </c>
      <c r="F36" s="1268">
        <v>0.1</v>
      </c>
    </row>
    <row r="37" spans="1:6">
      <c r="A37" s="1262" t="s">
        <v>265</v>
      </c>
      <c r="B37" s="1269" t="s">
        <v>1820</v>
      </c>
      <c r="C37" s="1267">
        <v>7.3999999999999996E-2</v>
      </c>
      <c r="D37" s="1267">
        <v>0.1</v>
      </c>
      <c r="E37" s="1267">
        <v>0.1</v>
      </c>
      <c r="F37" s="1268">
        <v>0.1</v>
      </c>
    </row>
    <row r="38" spans="1:6">
      <c r="A38" s="1262" t="s">
        <v>265</v>
      </c>
      <c r="B38" s="1269" t="s">
        <v>1830</v>
      </c>
      <c r="C38" s="1267">
        <v>0.1</v>
      </c>
      <c r="D38" s="1267">
        <v>9.6000000000000002E-2</v>
      </c>
      <c r="E38" s="1267">
        <v>9.6000000000000002E-2</v>
      </c>
      <c r="F38" s="1275"/>
    </row>
    <row r="39" spans="1:6">
      <c r="A39" s="1262" t="s">
        <v>265</v>
      </c>
      <c r="B39" s="1269" t="s">
        <v>1840</v>
      </c>
      <c r="C39" s="1267">
        <v>0.1</v>
      </c>
      <c r="D39" s="1267">
        <v>9.6000000000000002E-2</v>
      </c>
      <c r="E39" s="1267">
        <v>9.6000000000000002E-2</v>
      </c>
      <c r="F39" s="1275"/>
    </row>
    <row r="40" spans="1:6">
      <c r="A40" s="1262" t="s">
        <v>265</v>
      </c>
      <c r="B40" s="1269" t="s">
        <v>1850</v>
      </c>
      <c r="C40" s="1267">
        <v>9.6000000000000002E-2</v>
      </c>
      <c r="D40" s="1267">
        <v>0.1</v>
      </c>
      <c r="E40" s="1267">
        <v>9.9000000000000005E-2</v>
      </c>
      <c r="F40" s="1275"/>
    </row>
    <row r="41" spans="1:6">
      <c r="A41" s="1262" t="s">
        <v>265</v>
      </c>
      <c r="B41" s="1269" t="s">
        <v>1860</v>
      </c>
      <c r="C41" s="1267">
        <v>9.6000000000000002E-2</v>
      </c>
      <c r="D41" s="1267">
        <v>9.8000000000000004E-2</v>
      </c>
      <c r="E41" s="1267">
        <v>9.8000000000000004E-2</v>
      </c>
      <c r="F41" s="1275"/>
    </row>
    <row r="42" spans="1:6">
      <c r="A42" s="1262" t="s">
        <v>265</v>
      </c>
      <c r="B42" s="1269" t="s">
        <v>1870</v>
      </c>
      <c r="C42" s="1267">
        <v>0.1</v>
      </c>
      <c r="D42" s="1267">
        <v>8.7999999999999995E-2</v>
      </c>
      <c r="E42" s="1267">
        <v>0.1</v>
      </c>
      <c r="F42" s="1275"/>
    </row>
    <row r="43" spans="1:6">
      <c r="A43" s="1262" t="s">
        <v>265</v>
      </c>
      <c r="B43" s="1269" t="s">
        <v>1880</v>
      </c>
      <c r="C43" s="1267">
        <v>9.8000000000000004E-2</v>
      </c>
      <c r="D43" s="1267">
        <v>9.7000000000000003E-2</v>
      </c>
      <c r="E43" s="1267">
        <v>9.6000000000000002E-2</v>
      </c>
      <c r="F43" s="1275"/>
    </row>
    <row r="44" spans="1:6">
      <c r="A44" s="1262" t="s">
        <v>265</v>
      </c>
      <c r="B44" s="1269" t="s">
        <v>1890</v>
      </c>
      <c r="C44" s="1267">
        <v>8.5999999999999993E-2</v>
      </c>
      <c r="D44" s="1267">
        <v>7.9000000000000001E-2</v>
      </c>
      <c r="E44" s="1267">
        <v>7.0999999999999994E-2</v>
      </c>
      <c r="F44" s="1275"/>
    </row>
    <row r="45" spans="1:6">
      <c r="A45" s="1262" t="s">
        <v>265</v>
      </c>
      <c r="B45" s="1269" t="s">
        <v>1900</v>
      </c>
      <c r="C45" s="1267">
        <v>9.8000000000000004E-2</v>
      </c>
      <c r="D45" s="1267">
        <v>9.6000000000000002E-2</v>
      </c>
      <c r="E45" s="1267">
        <v>9.6000000000000002E-2</v>
      </c>
      <c r="F45" s="1275"/>
    </row>
    <row r="46" spans="1:6">
      <c r="A46" s="1262" t="s">
        <v>265</v>
      </c>
      <c r="B46" s="1269" t="s">
        <v>1910</v>
      </c>
      <c r="C46" s="1267">
        <v>8.5999999999999993E-2</v>
      </c>
      <c r="D46" s="1267">
        <v>9.8000000000000004E-2</v>
      </c>
      <c r="E46" s="1267">
        <v>8.7999999999999995E-2</v>
      </c>
      <c r="F46" s="1275"/>
    </row>
    <row r="47" spans="1:6">
      <c r="A47" s="1262" t="s">
        <v>265</v>
      </c>
      <c r="B47" s="1269" t="s">
        <v>1920</v>
      </c>
      <c r="C47" s="1267">
        <v>9.6000000000000002E-2</v>
      </c>
      <c r="D47" s="1276"/>
      <c r="E47" s="1267">
        <v>6.9000000000000006E-2</v>
      </c>
      <c r="F47" s="1275"/>
    </row>
    <row r="48" spans="1:6">
      <c r="A48" s="1270" t="s">
        <v>265</v>
      </c>
      <c r="B48" s="1271" t="s">
        <v>1929</v>
      </c>
      <c r="C48" s="1272">
        <v>9.8000000000000004E-2</v>
      </c>
      <c r="D48" s="1273"/>
      <c r="E48" s="1272">
        <v>9.5000000000000001E-2</v>
      </c>
      <c r="F48" s="1274"/>
    </row>
    <row r="49" spans="1:6">
      <c r="A49" s="1262" t="s">
        <v>275</v>
      </c>
      <c r="B49" s="1263" t="s">
        <v>1728</v>
      </c>
      <c r="C49" s="1264">
        <v>9.7000000000000003E-2</v>
      </c>
      <c r="D49" s="1264">
        <v>9.5000000000000001E-2</v>
      </c>
      <c r="E49" s="1264">
        <v>9.7000000000000003E-2</v>
      </c>
      <c r="F49" s="1265">
        <v>0.1</v>
      </c>
    </row>
    <row r="50" spans="1:6">
      <c r="A50" s="1262" t="s">
        <v>275</v>
      </c>
      <c r="B50" s="1266" t="s">
        <v>1741</v>
      </c>
      <c r="C50" s="1267">
        <v>7.4999999999999997E-2</v>
      </c>
      <c r="D50" s="1267">
        <v>9.5000000000000001E-2</v>
      </c>
      <c r="E50" s="1267">
        <v>0.1</v>
      </c>
      <c r="F50" s="1268">
        <v>0.1</v>
      </c>
    </row>
    <row r="51" spans="1:6">
      <c r="A51" s="1262" t="s">
        <v>275</v>
      </c>
      <c r="B51" s="1266" t="s">
        <v>1754</v>
      </c>
      <c r="C51" s="1267">
        <v>9.8000000000000004E-2</v>
      </c>
      <c r="D51" s="1267">
        <v>8.8999999999999996E-2</v>
      </c>
      <c r="E51" s="1267">
        <v>0.1</v>
      </c>
      <c r="F51" s="1268">
        <v>0.1</v>
      </c>
    </row>
    <row r="52" spans="1:6">
      <c r="A52" s="1262" t="s">
        <v>275</v>
      </c>
      <c r="B52" s="1266" t="s">
        <v>1766</v>
      </c>
      <c r="C52" s="1267">
        <v>9.8000000000000004E-2</v>
      </c>
      <c r="D52" s="1267">
        <v>9.7000000000000003E-2</v>
      </c>
      <c r="E52" s="1267">
        <v>8.1000000000000003E-2</v>
      </c>
      <c r="F52" s="1268">
        <v>0.1</v>
      </c>
    </row>
    <row r="53" spans="1:6">
      <c r="A53" s="1262" t="s">
        <v>275</v>
      </c>
      <c r="B53" s="1266" t="s">
        <v>1778</v>
      </c>
      <c r="C53" s="1267">
        <v>9.7000000000000003E-2</v>
      </c>
      <c r="D53" s="1267">
        <v>7.5999999999999998E-2</v>
      </c>
      <c r="E53" s="1267">
        <v>7.0999999999999994E-2</v>
      </c>
      <c r="F53" s="1268">
        <v>0.1</v>
      </c>
    </row>
    <row r="54" spans="1:6">
      <c r="A54" s="1262" t="s">
        <v>275</v>
      </c>
      <c r="B54" s="1266" t="s">
        <v>1789</v>
      </c>
      <c r="C54" s="1267">
        <v>7.5999999999999998E-2</v>
      </c>
      <c r="D54" s="1267">
        <v>0.1</v>
      </c>
      <c r="E54" s="1267">
        <v>9.9000000000000005E-2</v>
      </c>
      <c r="F54" s="1268">
        <v>0.1</v>
      </c>
    </row>
    <row r="55" spans="1:6">
      <c r="A55" s="1262" t="s">
        <v>275</v>
      </c>
      <c r="B55" s="1266" t="s">
        <v>1800</v>
      </c>
      <c r="C55" s="1267">
        <v>0.1</v>
      </c>
      <c r="D55" s="1267">
        <v>0.1</v>
      </c>
      <c r="E55" s="1267">
        <v>9.6000000000000002E-2</v>
      </c>
      <c r="F55" s="1268">
        <v>0.1</v>
      </c>
    </row>
    <row r="56" spans="1:6">
      <c r="A56" s="1262" t="s">
        <v>275</v>
      </c>
      <c r="B56" s="1266" t="s">
        <v>1811</v>
      </c>
      <c r="C56" s="1267">
        <v>0.1</v>
      </c>
      <c r="D56" s="1267">
        <v>9.6000000000000002E-2</v>
      </c>
      <c r="E56" s="1267">
        <v>5.1999999999999998E-2</v>
      </c>
      <c r="F56" s="1268">
        <v>0.1</v>
      </c>
    </row>
    <row r="57" spans="1:6">
      <c r="A57" s="1262" t="s">
        <v>275</v>
      </c>
      <c r="B57" s="1266" t="s">
        <v>1821</v>
      </c>
      <c r="C57" s="1267">
        <v>9.7000000000000003E-2</v>
      </c>
      <c r="D57" s="1267">
        <v>9.6000000000000002E-2</v>
      </c>
      <c r="E57" s="1267">
        <v>9.6000000000000002E-2</v>
      </c>
      <c r="F57" s="1268">
        <v>0.1</v>
      </c>
    </row>
    <row r="58" spans="1:6">
      <c r="A58" s="1262" t="s">
        <v>275</v>
      </c>
      <c r="B58" s="1266" t="s">
        <v>1831</v>
      </c>
      <c r="C58" s="1267">
        <v>9.6000000000000002E-2</v>
      </c>
      <c r="D58" s="1267">
        <v>9.9000000000000005E-2</v>
      </c>
      <c r="E58" s="1267">
        <v>9.6000000000000002E-2</v>
      </c>
      <c r="F58" s="1268">
        <v>0.1</v>
      </c>
    </row>
    <row r="59" spans="1:6">
      <c r="A59" s="1262" t="s">
        <v>275</v>
      </c>
      <c r="B59" s="1266" t="s">
        <v>1841</v>
      </c>
      <c r="C59" s="1267">
        <v>7.1999999999999995E-2</v>
      </c>
      <c r="D59" s="1267">
        <v>9.6000000000000002E-2</v>
      </c>
      <c r="E59" s="1267">
        <v>7.0999999999999994E-2</v>
      </c>
      <c r="F59" s="1268">
        <v>0.1</v>
      </c>
    </row>
    <row r="60" spans="1:6">
      <c r="A60" s="1262" t="s">
        <v>275</v>
      </c>
      <c r="B60" s="1266" t="s">
        <v>1851</v>
      </c>
      <c r="C60" s="1267">
        <v>9.6000000000000002E-2</v>
      </c>
      <c r="D60" s="1267">
        <v>8.8999999999999996E-2</v>
      </c>
      <c r="E60" s="1267">
        <v>9.6000000000000002E-2</v>
      </c>
      <c r="F60" s="1268">
        <v>0.1</v>
      </c>
    </row>
    <row r="61" spans="1:6">
      <c r="A61" s="1262" t="s">
        <v>275</v>
      </c>
      <c r="B61" s="1266" t="s">
        <v>1861</v>
      </c>
      <c r="C61" s="1267">
        <v>8.8999999999999996E-2</v>
      </c>
      <c r="D61" s="1267">
        <v>9.8000000000000004E-2</v>
      </c>
      <c r="E61" s="1267">
        <v>8.7999999999999995E-2</v>
      </c>
      <c r="F61" s="1275"/>
    </row>
    <row r="62" spans="1:6">
      <c r="A62" s="1262" t="s">
        <v>275</v>
      </c>
      <c r="B62" s="1266" t="s">
        <v>1871</v>
      </c>
      <c r="C62" s="1267">
        <v>9.8000000000000004E-2</v>
      </c>
      <c r="D62" s="1267">
        <v>9.2999999999999999E-2</v>
      </c>
      <c r="E62" s="1267">
        <v>9.7000000000000003E-2</v>
      </c>
      <c r="F62" s="1275"/>
    </row>
    <row r="63" spans="1:6">
      <c r="A63" s="1262" t="s">
        <v>275</v>
      </c>
      <c r="B63" s="1266" t="s">
        <v>1881</v>
      </c>
      <c r="C63" s="1267">
        <v>9.6000000000000002E-2</v>
      </c>
      <c r="D63" s="1267">
        <v>9.8000000000000004E-2</v>
      </c>
      <c r="E63" s="1267">
        <v>0.09</v>
      </c>
      <c r="F63" s="1275"/>
    </row>
    <row r="64" spans="1:6">
      <c r="A64" s="1262" t="s">
        <v>275</v>
      </c>
      <c r="B64" s="1266" t="s">
        <v>1891</v>
      </c>
      <c r="C64" s="1267">
        <v>9.9000000000000005E-2</v>
      </c>
      <c r="D64" s="1267">
        <v>9.7000000000000003E-2</v>
      </c>
      <c r="E64" s="1267">
        <v>9.9000000000000005E-2</v>
      </c>
      <c r="F64" s="1275"/>
    </row>
    <row r="65" spans="1:6">
      <c r="A65" s="1262" t="s">
        <v>275</v>
      </c>
      <c r="B65" s="1266" t="s">
        <v>1901</v>
      </c>
      <c r="C65" s="1267">
        <v>9.8000000000000004E-2</v>
      </c>
      <c r="D65" s="1267">
        <v>9.6000000000000002E-2</v>
      </c>
      <c r="E65" s="1267">
        <v>9.6000000000000002E-2</v>
      </c>
      <c r="F65" s="1275"/>
    </row>
    <row r="66" spans="1:6">
      <c r="A66" s="1262" t="s">
        <v>275</v>
      </c>
      <c r="B66" s="1266" t="s">
        <v>1911</v>
      </c>
      <c r="C66" s="1267">
        <v>9.6000000000000002E-2</v>
      </c>
      <c r="D66" s="1267">
        <v>9.1999999999999998E-2</v>
      </c>
      <c r="E66" s="1267">
        <v>9.6000000000000002E-2</v>
      </c>
      <c r="F66" s="1275"/>
    </row>
    <row r="67" spans="1:6">
      <c r="A67" s="1262" t="s">
        <v>275</v>
      </c>
      <c r="B67" s="1266" t="s">
        <v>1921</v>
      </c>
      <c r="C67" s="1267">
        <v>9.4E-2</v>
      </c>
      <c r="D67" s="1267">
        <v>0.1</v>
      </c>
      <c r="E67" s="1267">
        <v>8.7999999999999995E-2</v>
      </c>
      <c r="F67" s="1275"/>
    </row>
    <row r="68" spans="1:6">
      <c r="A68" s="1262" t="s">
        <v>275</v>
      </c>
      <c r="B68" s="1266" t="s">
        <v>1930</v>
      </c>
      <c r="C68" s="1267">
        <v>0.1</v>
      </c>
      <c r="D68" s="1267">
        <v>8.7999999999999995E-2</v>
      </c>
      <c r="E68" s="1267">
        <v>9.7000000000000003E-2</v>
      </c>
      <c r="F68" s="1275"/>
    </row>
    <row r="69" spans="1:6">
      <c r="A69" s="1262" t="s">
        <v>275</v>
      </c>
      <c r="B69" s="1266" t="s">
        <v>1938</v>
      </c>
      <c r="C69" s="1267">
        <v>6.4000000000000001E-2</v>
      </c>
      <c r="D69" s="1267">
        <v>0.1</v>
      </c>
      <c r="E69" s="1267">
        <v>0.1</v>
      </c>
      <c r="F69" s="1275"/>
    </row>
    <row r="70" spans="1:6">
      <c r="A70" s="1262" t="s">
        <v>275</v>
      </c>
      <c r="B70" s="1266" t="s">
        <v>1946</v>
      </c>
      <c r="C70" s="1267">
        <v>9.0999999999999998E-2</v>
      </c>
      <c r="D70" s="1276"/>
      <c r="E70" s="1276"/>
      <c r="F70" s="1275"/>
    </row>
    <row r="71" spans="1:6">
      <c r="A71" s="1262" t="s">
        <v>275</v>
      </c>
      <c r="B71" s="1266" t="s">
        <v>1953</v>
      </c>
      <c r="C71" s="1267">
        <v>0.1</v>
      </c>
      <c r="D71" s="1276"/>
      <c r="E71" s="1276"/>
      <c r="F71" s="1275"/>
    </row>
    <row r="72" spans="1:6">
      <c r="A72" s="1262" t="s">
        <v>275</v>
      </c>
      <c r="B72" s="1266" t="s">
        <v>1960</v>
      </c>
      <c r="C72" s="1276"/>
      <c r="D72" s="1276"/>
      <c r="E72" s="1276"/>
      <c r="F72" s="1268">
        <v>0.05</v>
      </c>
    </row>
    <row r="73" spans="1:6">
      <c r="A73" s="1262" t="s">
        <v>275</v>
      </c>
      <c r="B73" s="1266" t="s">
        <v>1967</v>
      </c>
      <c r="C73" s="1276"/>
      <c r="D73" s="1276"/>
      <c r="E73" s="1276"/>
      <c r="F73" s="1268">
        <v>0.05</v>
      </c>
    </row>
    <row r="74" spans="1:6">
      <c r="A74" s="1262" t="s">
        <v>275</v>
      </c>
      <c r="B74" s="1266" t="s">
        <v>1974</v>
      </c>
      <c r="C74" s="1276"/>
      <c r="D74" s="1276"/>
      <c r="E74" s="1276"/>
      <c r="F74" s="1268">
        <v>0.05</v>
      </c>
    </row>
    <row r="75" spans="1:6">
      <c r="A75" s="1270" t="s">
        <v>275</v>
      </c>
      <c r="B75" s="1277" t="s">
        <v>1981</v>
      </c>
      <c r="C75" s="1273"/>
      <c r="D75" s="1273"/>
      <c r="E75" s="1273"/>
      <c r="F75" s="1278">
        <v>0.05</v>
      </c>
    </row>
    <row r="76" spans="1:6">
      <c r="A76" s="1262" t="s">
        <v>284</v>
      </c>
      <c r="B76" s="1263" t="s">
        <v>1729</v>
      </c>
      <c r="C76" s="1264">
        <v>0.1</v>
      </c>
      <c r="D76" s="1264">
        <v>0.1</v>
      </c>
      <c r="E76" s="1264">
        <v>0.1</v>
      </c>
      <c r="F76" s="1265">
        <v>0.1</v>
      </c>
    </row>
    <row r="77" spans="1:6">
      <c r="A77" s="1262" t="s">
        <v>284</v>
      </c>
      <c r="B77" s="1266" t="s">
        <v>1742</v>
      </c>
      <c r="C77" s="1267">
        <v>8.7999999999999995E-2</v>
      </c>
      <c r="D77" s="1267">
        <v>8.6999999999999994E-2</v>
      </c>
      <c r="E77" s="1267">
        <v>7.9000000000000001E-2</v>
      </c>
      <c r="F77" s="1268">
        <v>0.1</v>
      </c>
    </row>
    <row r="78" spans="1:6">
      <c r="A78" s="1262" t="s">
        <v>284</v>
      </c>
      <c r="B78" s="1266" t="s">
        <v>1755</v>
      </c>
      <c r="C78" s="1267">
        <v>8.6999999999999994E-2</v>
      </c>
      <c r="D78" s="1267">
        <v>8.4000000000000005E-2</v>
      </c>
      <c r="E78" s="1267">
        <v>9.6000000000000002E-2</v>
      </c>
      <c r="F78" s="1268">
        <v>0.1</v>
      </c>
    </row>
    <row r="79" spans="1:6">
      <c r="A79" s="1262" t="s">
        <v>284</v>
      </c>
      <c r="B79" s="1266" t="s">
        <v>1767</v>
      </c>
      <c r="C79" s="1267">
        <v>9.8000000000000004E-2</v>
      </c>
      <c r="D79" s="1267">
        <v>9.8000000000000004E-2</v>
      </c>
      <c r="E79" s="1267">
        <v>9.0999999999999998E-2</v>
      </c>
      <c r="F79" s="1268">
        <v>0.1</v>
      </c>
    </row>
    <row r="80" spans="1:6">
      <c r="A80" s="1262" t="s">
        <v>284</v>
      </c>
      <c r="B80" s="1266" t="s">
        <v>1779</v>
      </c>
      <c r="C80" s="1267">
        <v>9.6000000000000002E-2</v>
      </c>
      <c r="D80" s="1267">
        <v>9.6000000000000002E-2</v>
      </c>
      <c r="E80" s="1267">
        <v>0.1</v>
      </c>
      <c r="F80" s="1268">
        <v>0.1</v>
      </c>
    </row>
    <row r="81" spans="1:6">
      <c r="A81" s="1262" t="s">
        <v>284</v>
      </c>
      <c r="B81" s="1266" t="s">
        <v>1790</v>
      </c>
      <c r="C81" s="1267">
        <v>9.9000000000000005E-2</v>
      </c>
      <c r="D81" s="1267">
        <v>9.9000000000000005E-2</v>
      </c>
      <c r="E81" s="1267">
        <v>9.8000000000000004E-2</v>
      </c>
      <c r="F81" s="1268">
        <v>0.1</v>
      </c>
    </row>
    <row r="82" spans="1:6">
      <c r="A82" s="1262" t="s">
        <v>284</v>
      </c>
      <c r="B82" s="1266" t="s">
        <v>1801</v>
      </c>
      <c r="C82" s="1267">
        <v>9.9000000000000005E-2</v>
      </c>
      <c r="D82" s="1267">
        <v>9.9000000000000005E-2</v>
      </c>
      <c r="E82" s="1267">
        <v>9.7000000000000003E-2</v>
      </c>
      <c r="F82" s="1268">
        <v>0.1</v>
      </c>
    </row>
    <row r="83" spans="1:6">
      <c r="A83" s="1262" t="s">
        <v>284</v>
      </c>
      <c r="B83" s="1266" t="s">
        <v>1812</v>
      </c>
      <c r="C83" s="1267">
        <v>9.8000000000000004E-2</v>
      </c>
      <c r="D83" s="1267">
        <v>9.8000000000000004E-2</v>
      </c>
      <c r="E83" s="1267">
        <v>9.8000000000000004E-2</v>
      </c>
      <c r="F83" s="1268">
        <v>0.1</v>
      </c>
    </row>
    <row r="84" spans="1:6">
      <c r="A84" s="1262" t="s">
        <v>284</v>
      </c>
      <c r="B84" s="1266" t="s">
        <v>1822</v>
      </c>
      <c r="C84" s="1267">
        <v>9.9000000000000005E-2</v>
      </c>
      <c r="D84" s="1267">
        <v>9.9000000000000005E-2</v>
      </c>
      <c r="E84" s="1267">
        <v>9.9000000000000005E-2</v>
      </c>
      <c r="F84" s="1268">
        <v>0.1</v>
      </c>
    </row>
    <row r="85" spans="1:6">
      <c r="A85" s="1262" t="s">
        <v>284</v>
      </c>
      <c r="B85" s="1266" t="s">
        <v>1832</v>
      </c>
      <c r="C85" s="1267">
        <v>9.9000000000000005E-2</v>
      </c>
      <c r="D85" s="1267">
        <v>9.9000000000000005E-2</v>
      </c>
      <c r="E85" s="1267">
        <v>9.9000000000000005E-2</v>
      </c>
      <c r="F85" s="1268">
        <v>0.1</v>
      </c>
    </row>
    <row r="86" spans="1:6">
      <c r="A86" s="1262" t="s">
        <v>284</v>
      </c>
      <c r="B86" s="1266" t="s">
        <v>1842</v>
      </c>
      <c r="C86" s="1267">
        <v>0.1</v>
      </c>
      <c r="D86" s="1267">
        <v>0.1</v>
      </c>
      <c r="E86" s="1267">
        <v>7.6999999999999999E-2</v>
      </c>
      <c r="F86" s="1268">
        <v>0.1</v>
      </c>
    </row>
    <row r="87" spans="1:6">
      <c r="A87" s="1262" t="s">
        <v>284</v>
      </c>
      <c r="B87" s="1266" t="s">
        <v>1852</v>
      </c>
      <c r="C87" s="1267">
        <v>0.1</v>
      </c>
      <c r="D87" s="1267">
        <v>0.1</v>
      </c>
      <c r="E87" s="1267">
        <v>9.8000000000000004E-2</v>
      </c>
      <c r="F87" s="1275"/>
    </row>
    <row r="88" spans="1:6">
      <c r="A88" s="1262" t="s">
        <v>284</v>
      </c>
      <c r="B88" s="1266" t="s">
        <v>1862</v>
      </c>
      <c r="C88" s="1267">
        <v>9.1999999999999998E-2</v>
      </c>
      <c r="D88" s="1267">
        <v>8.5000000000000006E-2</v>
      </c>
      <c r="E88" s="1267">
        <v>9.6000000000000002E-2</v>
      </c>
      <c r="F88" s="1275"/>
    </row>
    <row r="89" spans="1:6">
      <c r="A89" s="1262" t="s">
        <v>284</v>
      </c>
      <c r="B89" s="1266" t="s">
        <v>1872</v>
      </c>
      <c r="C89" s="1267">
        <v>0.1</v>
      </c>
      <c r="D89" s="1267">
        <v>0.1</v>
      </c>
      <c r="E89" s="1267">
        <v>9.7000000000000003E-2</v>
      </c>
      <c r="F89" s="1275"/>
    </row>
    <row r="90" spans="1:6">
      <c r="A90" s="1262" t="s">
        <v>284</v>
      </c>
      <c r="B90" s="1266" t="s">
        <v>1882</v>
      </c>
      <c r="C90" s="1267">
        <v>9.8000000000000004E-2</v>
      </c>
      <c r="D90" s="1267">
        <v>9.8000000000000004E-2</v>
      </c>
      <c r="E90" s="1267">
        <v>8.7999999999999995E-2</v>
      </c>
      <c r="F90" s="1275"/>
    </row>
    <row r="91" spans="1:6">
      <c r="A91" s="1262" t="s">
        <v>284</v>
      </c>
      <c r="B91" s="1266" t="s">
        <v>1892</v>
      </c>
      <c r="C91" s="1267">
        <v>9.9000000000000005E-2</v>
      </c>
      <c r="D91" s="1267">
        <v>9.9000000000000005E-2</v>
      </c>
      <c r="E91" s="1267">
        <v>9.0999999999999998E-2</v>
      </c>
      <c r="F91" s="1275"/>
    </row>
    <row r="92" spans="1:6">
      <c r="A92" s="1262" t="s">
        <v>284</v>
      </c>
      <c r="B92" s="1266" t="s">
        <v>1902</v>
      </c>
      <c r="C92" s="1267">
        <v>9.6000000000000002E-2</v>
      </c>
      <c r="D92" s="1267">
        <v>9.6000000000000002E-2</v>
      </c>
      <c r="E92" s="1267">
        <v>7.2999999999999995E-2</v>
      </c>
      <c r="F92" s="1275"/>
    </row>
    <row r="93" spans="1:6">
      <c r="A93" s="1262" t="s">
        <v>284</v>
      </c>
      <c r="B93" s="1266" t="s">
        <v>1912</v>
      </c>
      <c r="C93" s="1267">
        <v>9.6000000000000002E-2</v>
      </c>
      <c r="D93" s="1267">
        <v>9.6000000000000002E-2</v>
      </c>
      <c r="E93" s="1267">
        <v>9.9000000000000005E-2</v>
      </c>
      <c r="F93" s="1275"/>
    </row>
    <row r="94" spans="1:6">
      <c r="A94" s="1262" t="s">
        <v>284</v>
      </c>
      <c r="B94" s="1266" t="s">
        <v>1922</v>
      </c>
      <c r="C94" s="1267">
        <v>7.5999999999999998E-2</v>
      </c>
      <c r="D94" s="1267">
        <v>7.3999999999999996E-2</v>
      </c>
      <c r="E94" s="1267">
        <v>9.7000000000000003E-2</v>
      </c>
      <c r="F94" s="1275"/>
    </row>
    <row r="95" spans="1:6">
      <c r="A95" s="1262" t="s">
        <v>284</v>
      </c>
      <c r="B95" s="1266" t="s">
        <v>1931</v>
      </c>
      <c r="C95" s="1267">
        <v>9.9000000000000005E-2</v>
      </c>
      <c r="D95" s="1267">
        <v>9.4E-2</v>
      </c>
      <c r="E95" s="1267">
        <v>9.6000000000000002E-2</v>
      </c>
      <c r="F95" s="1275"/>
    </row>
    <row r="96" spans="1:6">
      <c r="A96" s="1262" t="s">
        <v>284</v>
      </c>
      <c r="B96" s="1266" t="s">
        <v>1939</v>
      </c>
      <c r="C96" s="1267">
        <v>9.9000000000000005E-2</v>
      </c>
      <c r="D96" s="1267">
        <v>9.9000000000000005E-2</v>
      </c>
      <c r="E96" s="1267">
        <v>9.9000000000000005E-2</v>
      </c>
      <c r="F96" s="1275"/>
    </row>
    <row r="97" spans="1:6">
      <c r="A97" s="1262" t="s">
        <v>284</v>
      </c>
      <c r="B97" s="1266" t="s">
        <v>1947</v>
      </c>
      <c r="C97" s="1267">
        <v>9.8000000000000004E-2</v>
      </c>
      <c r="D97" s="1267">
        <v>9.8000000000000004E-2</v>
      </c>
      <c r="E97" s="1267">
        <v>9.7000000000000003E-2</v>
      </c>
      <c r="F97" s="1275"/>
    </row>
    <row r="98" spans="1:6">
      <c r="A98" s="1262" t="s">
        <v>284</v>
      </c>
      <c r="B98" s="1266" t="s">
        <v>1954</v>
      </c>
      <c r="C98" s="1267">
        <v>0.1</v>
      </c>
      <c r="D98" s="1267">
        <v>0.1</v>
      </c>
      <c r="E98" s="1267">
        <v>9.7000000000000003E-2</v>
      </c>
      <c r="F98" s="1275"/>
    </row>
    <row r="99" spans="1:6">
      <c r="A99" s="1262" t="s">
        <v>284</v>
      </c>
      <c r="B99" s="1266" t="s">
        <v>1961</v>
      </c>
      <c r="C99" s="1267">
        <v>0.1</v>
      </c>
      <c r="D99" s="1267">
        <v>0.1</v>
      </c>
      <c r="E99" s="1276"/>
      <c r="F99" s="1275"/>
    </row>
    <row r="100" spans="1:6">
      <c r="A100" s="1262" t="s">
        <v>284</v>
      </c>
      <c r="B100" s="1266" t="s">
        <v>1968</v>
      </c>
      <c r="C100" s="1267">
        <v>0.09</v>
      </c>
      <c r="D100" s="1267">
        <v>8.8999999999999996E-2</v>
      </c>
      <c r="E100" s="1276"/>
      <c r="F100" s="1275"/>
    </row>
    <row r="101" spans="1:6">
      <c r="A101" s="1262" t="s">
        <v>284</v>
      </c>
      <c r="B101" s="1266" t="s">
        <v>1975</v>
      </c>
      <c r="C101" s="1267">
        <v>9.8000000000000004E-2</v>
      </c>
      <c r="D101" s="1267">
        <v>9.7000000000000003E-2</v>
      </c>
      <c r="E101" s="1276"/>
      <c r="F101" s="1275"/>
    </row>
    <row r="102" spans="1:6">
      <c r="A102" s="1262" t="s">
        <v>284</v>
      </c>
      <c r="B102" s="1266" t="s">
        <v>1982</v>
      </c>
      <c r="C102" s="1276"/>
      <c r="D102" s="1276"/>
      <c r="E102" s="1276"/>
      <c r="F102" s="1268">
        <v>0.05</v>
      </c>
    </row>
    <row r="103" spans="1:6" ht="24">
      <c r="A103" s="1262" t="s">
        <v>284</v>
      </c>
      <c r="B103" s="1266" t="s">
        <v>1987</v>
      </c>
      <c r="C103" s="1276"/>
      <c r="D103" s="1276"/>
      <c r="E103" s="1276"/>
      <c r="F103" s="1268">
        <v>0.05</v>
      </c>
    </row>
    <row r="104" spans="1:6">
      <c r="A104" s="1262" t="s">
        <v>284</v>
      </c>
      <c r="B104" s="1266" t="s">
        <v>1992</v>
      </c>
      <c r="C104" s="1276"/>
      <c r="D104" s="1276"/>
      <c r="E104" s="1276"/>
      <c r="F104" s="1268">
        <v>0.05</v>
      </c>
    </row>
    <row r="105" spans="1:6">
      <c r="A105" s="1262" t="s">
        <v>284</v>
      </c>
      <c r="B105" s="1266" t="s">
        <v>1997</v>
      </c>
      <c r="C105" s="1276"/>
      <c r="D105" s="1276"/>
      <c r="E105" s="1276"/>
      <c r="F105" s="1268">
        <v>0.05</v>
      </c>
    </row>
    <row r="106" spans="1:6">
      <c r="A106" s="1262" t="s">
        <v>284</v>
      </c>
      <c r="B106" s="1266" t="s">
        <v>2002</v>
      </c>
      <c r="C106" s="1276"/>
      <c r="D106" s="1276"/>
      <c r="E106" s="1276"/>
      <c r="F106" s="1268">
        <v>0.05</v>
      </c>
    </row>
    <row r="107" spans="1:6" ht="24">
      <c r="A107" s="1262" t="s">
        <v>284</v>
      </c>
      <c r="B107" s="1266" t="s">
        <v>2007</v>
      </c>
      <c r="C107" s="1276"/>
      <c r="D107" s="1276"/>
      <c r="E107" s="1276"/>
      <c r="F107" s="1268">
        <v>0.05</v>
      </c>
    </row>
    <row r="108" spans="1:6" ht="24">
      <c r="A108" s="1262" t="s">
        <v>284</v>
      </c>
      <c r="B108" s="1266" t="s">
        <v>2012</v>
      </c>
      <c r="C108" s="1276"/>
      <c r="D108" s="1276"/>
      <c r="E108" s="1276"/>
      <c r="F108" s="1268">
        <v>0.05</v>
      </c>
    </row>
    <row r="109" spans="1:6" ht="24">
      <c r="A109" s="1270" t="s">
        <v>284</v>
      </c>
      <c r="B109" s="1277" t="s">
        <v>2017</v>
      </c>
      <c r="C109" s="1273"/>
      <c r="D109" s="1273"/>
      <c r="E109" s="1273"/>
      <c r="F109" s="1278">
        <v>0.05</v>
      </c>
    </row>
    <row r="110" spans="1:6">
      <c r="A110" s="1262" t="s">
        <v>292</v>
      </c>
      <c r="B110" s="1263" t="s">
        <v>1730</v>
      </c>
      <c r="C110" s="1264">
        <v>0.129</v>
      </c>
      <c r="D110" s="1264">
        <v>0.129</v>
      </c>
      <c r="E110" s="1264">
        <v>0.126</v>
      </c>
      <c r="F110" s="1265">
        <v>0.13</v>
      </c>
    </row>
    <row r="111" spans="1:6">
      <c r="A111" s="1262" t="s">
        <v>292</v>
      </c>
      <c r="B111" s="1266" t="s">
        <v>1743</v>
      </c>
      <c r="C111" s="1267">
        <v>0.11</v>
      </c>
      <c r="D111" s="1267">
        <v>0.11</v>
      </c>
      <c r="E111" s="1267">
        <v>9.9000000000000005E-2</v>
      </c>
      <c r="F111" s="1268">
        <v>0.128</v>
      </c>
    </row>
    <row r="112" spans="1:6">
      <c r="A112" s="1262" t="s">
        <v>292</v>
      </c>
      <c r="B112" s="1266" t="s">
        <v>1756</v>
      </c>
      <c r="C112" s="1267">
        <v>0.125</v>
      </c>
      <c r="D112" s="1267">
        <v>0.125</v>
      </c>
      <c r="E112" s="1267">
        <v>0.12</v>
      </c>
      <c r="F112" s="1268">
        <v>0.125</v>
      </c>
    </row>
    <row r="113" spans="1:6">
      <c r="A113" s="1262" t="s">
        <v>292</v>
      </c>
      <c r="B113" s="1266" t="s">
        <v>1768</v>
      </c>
      <c r="C113" s="1267">
        <v>0.13</v>
      </c>
      <c r="D113" s="1267">
        <v>0.13</v>
      </c>
      <c r="E113" s="1267">
        <v>0.13</v>
      </c>
      <c r="F113" s="1268">
        <v>0.13</v>
      </c>
    </row>
    <row r="114" spans="1:6">
      <c r="A114" s="1262" t="s">
        <v>292</v>
      </c>
      <c r="B114" s="1266" t="s">
        <v>1780</v>
      </c>
      <c r="C114" s="1267">
        <v>0.123</v>
      </c>
      <c r="D114" s="1267">
        <v>0.123</v>
      </c>
      <c r="E114" s="1267">
        <v>0.12</v>
      </c>
      <c r="F114" s="1268">
        <v>0.13</v>
      </c>
    </row>
    <row r="115" spans="1:6">
      <c r="A115" s="1262" t="s">
        <v>292</v>
      </c>
      <c r="B115" s="1266" t="s">
        <v>1791</v>
      </c>
      <c r="C115" s="1267">
        <v>0.125</v>
      </c>
      <c r="D115" s="1267">
        <v>0.125</v>
      </c>
      <c r="E115" s="1267">
        <v>0.11700000000000001</v>
      </c>
      <c r="F115" s="1268">
        <v>0.13</v>
      </c>
    </row>
    <row r="116" spans="1:6">
      <c r="A116" s="1262" t="s">
        <v>292</v>
      </c>
      <c r="B116" s="1266" t="s">
        <v>1802</v>
      </c>
      <c r="C116" s="1267">
        <v>0.11700000000000001</v>
      </c>
      <c r="D116" s="1267">
        <v>0.11700000000000001</v>
      </c>
      <c r="E116" s="1267">
        <v>8.7999999999999995E-2</v>
      </c>
      <c r="F116" s="1268">
        <v>0.13</v>
      </c>
    </row>
    <row r="117" spans="1:6">
      <c r="A117" s="1262" t="s">
        <v>292</v>
      </c>
      <c r="B117" s="1266" t="s">
        <v>1813</v>
      </c>
      <c r="C117" s="1267">
        <v>0.13</v>
      </c>
      <c r="D117" s="1267">
        <v>0.13</v>
      </c>
      <c r="E117" s="1267">
        <v>0.129</v>
      </c>
      <c r="F117" s="1268">
        <v>0.13</v>
      </c>
    </row>
    <row r="118" spans="1:6">
      <c r="A118" s="1262" t="s">
        <v>292</v>
      </c>
      <c r="B118" s="1266" t="s">
        <v>1823</v>
      </c>
      <c r="C118" s="1267">
        <v>0.123</v>
      </c>
      <c r="D118" s="1267">
        <v>0.123</v>
      </c>
      <c r="E118" s="1267">
        <v>0.11600000000000001</v>
      </c>
      <c r="F118" s="1268">
        <v>0.13</v>
      </c>
    </row>
    <row r="119" spans="1:6">
      <c r="A119" s="1262" t="s">
        <v>292</v>
      </c>
      <c r="B119" s="1266" t="s">
        <v>1833</v>
      </c>
      <c r="C119" s="1267">
        <v>0.127</v>
      </c>
      <c r="D119" s="1267">
        <v>0.127</v>
      </c>
      <c r="E119" s="1267">
        <v>0.124</v>
      </c>
      <c r="F119" s="1268">
        <v>0.13</v>
      </c>
    </row>
    <row r="120" spans="1:6">
      <c r="A120" s="1262" t="s">
        <v>292</v>
      </c>
      <c r="B120" s="1266" t="s">
        <v>1843</v>
      </c>
      <c r="C120" s="1267">
        <v>0.125</v>
      </c>
      <c r="D120" s="1267">
        <v>0.125</v>
      </c>
      <c r="E120" s="1267">
        <v>0.122</v>
      </c>
      <c r="F120" s="1268">
        <v>0.13</v>
      </c>
    </row>
    <row r="121" spans="1:6">
      <c r="A121" s="1262" t="s">
        <v>292</v>
      </c>
      <c r="B121" s="1266" t="s">
        <v>1853</v>
      </c>
      <c r="C121" s="1267">
        <v>0.13</v>
      </c>
      <c r="D121" s="1267">
        <v>0.13</v>
      </c>
      <c r="E121" s="1267">
        <v>0.13</v>
      </c>
      <c r="F121" s="1268">
        <v>0.13</v>
      </c>
    </row>
    <row r="122" spans="1:6">
      <c r="A122" s="1262" t="s">
        <v>292</v>
      </c>
      <c r="B122" s="1266" t="s">
        <v>1863</v>
      </c>
      <c r="C122" s="1267">
        <v>0.13</v>
      </c>
      <c r="D122" s="1267">
        <v>0.13</v>
      </c>
      <c r="E122" s="1267">
        <v>0.125</v>
      </c>
      <c r="F122" s="1268">
        <v>0.13</v>
      </c>
    </row>
    <row r="123" spans="1:6">
      <c r="A123" s="1262" t="s">
        <v>292</v>
      </c>
      <c r="B123" s="1266" t="s">
        <v>1873</v>
      </c>
      <c r="C123" s="1267">
        <v>0.129</v>
      </c>
      <c r="D123" s="1267">
        <v>0.129</v>
      </c>
      <c r="E123" s="1267">
        <v>0.123</v>
      </c>
      <c r="F123" s="1268">
        <v>0.13</v>
      </c>
    </row>
    <row r="124" spans="1:6">
      <c r="A124" s="1262" t="s">
        <v>292</v>
      </c>
      <c r="B124" s="1266" t="s">
        <v>1883</v>
      </c>
      <c r="C124" s="1267">
        <v>0.10199999999999999</v>
      </c>
      <c r="D124" s="1267">
        <v>0.10100000000000001</v>
      </c>
      <c r="E124" s="1267">
        <v>0.08</v>
      </c>
      <c r="F124" s="1275"/>
    </row>
    <row r="125" spans="1:6">
      <c r="A125" s="1262" t="s">
        <v>292</v>
      </c>
      <c r="B125" s="1266" t="s">
        <v>1893</v>
      </c>
      <c r="C125" s="1267">
        <v>0.13</v>
      </c>
      <c r="D125" s="1267">
        <v>0.13</v>
      </c>
      <c r="E125" s="1267">
        <v>0.129</v>
      </c>
      <c r="F125" s="1275"/>
    </row>
    <row r="126" spans="1:6">
      <c r="A126" s="1262" t="s">
        <v>292</v>
      </c>
      <c r="B126" s="1266" t="s">
        <v>1903</v>
      </c>
      <c r="C126" s="1267">
        <v>0.13</v>
      </c>
      <c r="D126" s="1267">
        <v>0.13</v>
      </c>
      <c r="E126" s="1267">
        <v>0.126</v>
      </c>
      <c r="F126" s="1275"/>
    </row>
    <row r="127" spans="1:6">
      <c r="A127" s="1262" t="s">
        <v>292</v>
      </c>
      <c r="B127" s="1266" t="s">
        <v>1913</v>
      </c>
      <c r="C127" s="1267">
        <v>0.125</v>
      </c>
      <c r="D127" s="1267">
        <v>0.125</v>
      </c>
      <c r="E127" s="1267">
        <v>0.121</v>
      </c>
      <c r="F127" s="1275"/>
    </row>
    <row r="128" spans="1:6">
      <c r="A128" s="1262" t="s">
        <v>292</v>
      </c>
      <c r="B128" s="1266" t="s">
        <v>1923</v>
      </c>
      <c r="C128" s="1267">
        <v>0.12</v>
      </c>
      <c r="D128" s="1267">
        <v>0.12</v>
      </c>
      <c r="E128" s="1267">
        <v>0.105</v>
      </c>
      <c r="F128" s="1275"/>
    </row>
    <row r="129" spans="1:6">
      <c r="A129" s="1262" t="s">
        <v>292</v>
      </c>
      <c r="B129" s="1266" t="s">
        <v>1932</v>
      </c>
      <c r="C129" s="1267">
        <v>0.13</v>
      </c>
      <c r="D129" s="1267">
        <v>0.13</v>
      </c>
      <c r="E129" s="1267">
        <v>0.126</v>
      </c>
      <c r="F129" s="1275"/>
    </row>
    <row r="130" spans="1:6">
      <c r="A130" s="1262" t="s">
        <v>292</v>
      </c>
      <c r="B130" s="1266" t="s">
        <v>1940</v>
      </c>
      <c r="C130" s="1267">
        <v>0.125</v>
      </c>
      <c r="D130" s="1267">
        <v>0.125</v>
      </c>
      <c r="E130" s="1267">
        <v>0.122</v>
      </c>
      <c r="F130" s="1275"/>
    </row>
    <row r="131" spans="1:6">
      <c r="A131" s="1262" t="s">
        <v>292</v>
      </c>
      <c r="B131" s="1266" t="s">
        <v>1948</v>
      </c>
      <c r="C131" s="1267">
        <v>0.127</v>
      </c>
      <c r="D131" s="1267">
        <v>0.126</v>
      </c>
      <c r="E131" s="1267">
        <v>0.123</v>
      </c>
      <c r="F131" s="1275"/>
    </row>
    <row r="132" spans="1:6">
      <c r="A132" s="1262" t="s">
        <v>292</v>
      </c>
      <c r="B132" s="1266" t="s">
        <v>1955</v>
      </c>
      <c r="C132" s="1267">
        <v>9.0999999999999998E-2</v>
      </c>
      <c r="D132" s="1267">
        <v>0.121</v>
      </c>
      <c r="E132" s="1267">
        <v>9.9000000000000005E-2</v>
      </c>
      <c r="F132" s="1275"/>
    </row>
    <row r="133" spans="1:6">
      <c r="A133" s="1262" t="s">
        <v>292</v>
      </c>
      <c r="B133" s="1266" t="s">
        <v>1962</v>
      </c>
      <c r="C133" s="1267">
        <v>0.13</v>
      </c>
      <c r="D133" s="1267">
        <v>0.13</v>
      </c>
      <c r="E133" s="1267">
        <v>0.129</v>
      </c>
      <c r="F133" s="1275"/>
    </row>
    <row r="134" spans="1:6">
      <c r="A134" s="1262" t="s">
        <v>292</v>
      </c>
      <c r="B134" s="1266" t="s">
        <v>1969</v>
      </c>
      <c r="C134" s="1267">
        <v>6.8000000000000005E-2</v>
      </c>
      <c r="D134" s="1267">
        <v>6.5000000000000002E-2</v>
      </c>
      <c r="E134" s="1267">
        <v>6.5000000000000002E-2</v>
      </c>
      <c r="F134" s="1268">
        <v>0.13</v>
      </c>
    </row>
    <row r="135" spans="1:6">
      <c r="A135" s="1262" t="s">
        <v>292</v>
      </c>
      <c r="B135" s="1266" t="s">
        <v>1976</v>
      </c>
      <c r="C135" s="1267">
        <v>0.123</v>
      </c>
      <c r="D135" s="1267">
        <v>0.123</v>
      </c>
      <c r="E135" s="1267">
        <v>0.11</v>
      </c>
      <c r="F135" s="1275"/>
    </row>
    <row r="136" spans="1:6">
      <c r="A136" s="1262" t="s">
        <v>292</v>
      </c>
      <c r="B136" s="1266" t="s">
        <v>1983</v>
      </c>
      <c r="C136" s="1267">
        <v>0.13</v>
      </c>
      <c r="D136" s="1267">
        <v>0.13</v>
      </c>
      <c r="E136" s="1267">
        <v>0.125</v>
      </c>
      <c r="F136" s="1275"/>
    </row>
    <row r="137" spans="1:6">
      <c r="A137" s="1262" t="s">
        <v>292</v>
      </c>
      <c r="B137" s="1266" t="s">
        <v>1988</v>
      </c>
      <c r="C137" s="1267">
        <v>0.121</v>
      </c>
      <c r="D137" s="1267">
        <v>0.122</v>
      </c>
      <c r="E137" s="1267">
        <v>0.115</v>
      </c>
      <c r="F137" s="1275"/>
    </row>
    <row r="138" spans="1:6">
      <c r="A138" s="1262" t="s">
        <v>292</v>
      </c>
      <c r="B138" s="1266" t="s">
        <v>1993</v>
      </c>
      <c r="C138" s="1267">
        <v>0.105</v>
      </c>
      <c r="D138" s="1267">
        <v>0.125</v>
      </c>
      <c r="E138" s="1267">
        <v>0.112</v>
      </c>
      <c r="F138" s="1275"/>
    </row>
    <row r="139" spans="1:6">
      <c r="A139" s="1262" t="s">
        <v>292</v>
      </c>
      <c r="B139" s="1266" t="s">
        <v>1998</v>
      </c>
      <c r="C139" s="1267">
        <v>0.127</v>
      </c>
      <c r="D139" s="1267">
        <v>0.127</v>
      </c>
      <c r="E139" s="1267">
        <v>0.122</v>
      </c>
      <c r="F139" s="1268">
        <v>0.13</v>
      </c>
    </row>
    <row r="140" spans="1:6">
      <c r="A140" s="1262" t="s">
        <v>292</v>
      </c>
      <c r="B140" s="1266" t="s">
        <v>2003</v>
      </c>
      <c r="C140" s="1267">
        <v>0.125</v>
      </c>
      <c r="D140" s="1267">
        <v>0.125</v>
      </c>
      <c r="E140" s="1267">
        <v>0.11899999999999999</v>
      </c>
      <c r="F140" s="1268">
        <v>0.13</v>
      </c>
    </row>
    <row r="141" spans="1:6">
      <c r="A141" s="1262" t="s">
        <v>292</v>
      </c>
      <c r="B141" s="1266" t="s">
        <v>2008</v>
      </c>
      <c r="C141" s="1267">
        <v>0.125</v>
      </c>
      <c r="D141" s="1267">
        <v>0.125</v>
      </c>
      <c r="E141" s="1267">
        <v>0.11700000000000001</v>
      </c>
      <c r="F141" s="1275"/>
    </row>
    <row r="142" spans="1:6">
      <c r="A142" s="1262" t="s">
        <v>292</v>
      </c>
      <c r="B142" s="1266" t="s">
        <v>2013</v>
      </c>
      <c r="C142" s="1267">
        <v>0.125</v>
      </c>
      <c r="D142" s="1267">
        <v>0.125</v>
      </c>
      <c r="E142" s="1267">
        <v>0.115</v>
      </c>
      <c r="F142" s="1275"/>
    </row>
    <row r="143" spans="1:6">
      <c r="A143" s="1262" t="s">
        <v>292</v>
      </c>
      <c r="B143" s="1266" t="s">
        <v>2018</v>
      </c>
      <c r="C143" s="1267">
        <v>0.121</v>
      </c>
      <c r="D143" s="1267">
        <v>0.121</v>
      </c>
      <c r="E143" s="1267">
        <v>0.108</v>
      </c>
      <c r="F143" s="1275"/>
    </row>
    <row r="144" spans="1:6">
      <c r="A144" s="1262" t="s">
        <v>292</v>
      </c>
      <c r="B144" s="1279" t="s">
        <v>2022</v>
      </c>
      <c r="C144" s="1280">
        <v>0.126</v>
      </c>
      <c r="D144" s="1280">
        <v>0.126</v>
      </c>
      <c r="E144" s="1280">
        <v>0.121</v>
      </c>
      <c r="F144" s="1275"/>
    </row>
    <row r="145" spans="1:6">
      <c r="A145" s="1270" t="s">
        <v>292</v>
      </c>
      <c r="B145" s="1281" t="s">
        <v>2026</v>
      </c>
      <c r="C145" s="1282"/>
      <c r="D145" s="1282"/>
      <c r="E145" s="1282"/>
      <c r="F145" s="1283">
        <v>0.05</v>
      </c>
    </row>
    <row r="146" spans="1:6" ht="24">
      <c r="A146" s="1284" t="s">
        <v>292</v>
      </c>
      <c r="B146" s="1269" t="s">
        <v>2030</v>
      </c>
      <c r="C146" s="1276"/>
      <c r="D146" s="1276"/>
      <c r="E146" s="1276"/>
      <c r="F146" s="1285">
        <v>0.05</v>
      </c>
    </row>
    <row r="147" spans="1:6" ht="24">
      <c r="A147" s="1262" t="s">
        <v>292</v>
      </c>
      <c r="B147" s="1266" t="s">
        <v>2034</v>
      </c>
      <c r="C147" s="1276"/>
      <c r="D147" s="1276"/>
      <c r="E147" s="1276"/>
      <c r="F147" s="1268">
        <v>0.05</v>
      </c>
    </row>
    <row r="148" spans="1:6" ht="24">
      <c r="A148" s="1262" t="s">
        <v>292</v>
      </c>
      <c r="B148" s="1266" t="s">
        <v>2038</v>
      </c>
      <c r="C148" s="1276"/>
      <c r="D148" s="1276"/>
      <c r="E148" s="1276"/>
      <c r="F148" s="1268">
        <v>0.05</v>
      </c>
    </row>
    <row r="149" spans="1:6" ht="24">
      <c r="A149" s="1262" t="s">
        <v>292</v>
      </c>
      <c r="B149" s="1266" t="s">
        <v>2042</v>
      </c>
      <c r="C149" s="1276"/>
      <c r="D149" s="1276"/>
      <c r="E149" s="1276"/>
      <c r="F149" s="1268">
        <v>0.05</v>
      </c>
    </row>
    <row r="150" spans="1:6" ht="24">
      <c r="A150" s="1262" t="s">
        <v>292</v>
      </c>
      <c r="B150" s="1266" t="s">
        <v>2045</v>
      </c>
      <c r="C150" s="1276"/>
      <c r="D150" s="1276"/>
      <c r="E150" s="1276"/>
      <c r="F150" s="1268">
        <v>0.05</v>
      </c>
    </row>
    <row r="151" spans="1:6" ht="24">
      <c r="A151" s="1262" t="s">
        <v>292</v>
      </c>
      <c r="B151" s="1266" t="s">
        <v>2048</v>
      </c>
      <c r="C151" s="1276"/>
      <c r="D151" s="1276"/>
      <c r="E151" s="1276"/>
      <c r="F151" s="1268">
        <v>0.05</v>
      </c>
    </row>
    <row r="152" spans="1:6" ht="24">
      <c r="A152" s="1262" t="s">
        <v>292</v>
      </c>
      <c r="B152" s="1266" t="s">
        <v>2051</v>
      </c>
      <c r="C152" s="1276"/>
      <c r="D152" s="1276"/>
      <c r="E152" s="1276"/>
      <c r="F152" s="1268">
        <v>0.05</v>
      </c>
    </row>
    <row r="153" spans="1:6">
      <c r="A153" s="1262" t="s">
        <v>292</v>
      </c>
      <c r="B153" s="1266" t="s">
        <v>2054</v>
      </c>
      <c r="C153" s="1276"/>
      <c r="D153" s="1276"/>
      <c r="E153" s="1276"/>
      <c r="F153" s="1268">
        <v>0.05</v>
      </c>
    </row>
    <row r="154" spans="1:6">
      <c r="A154" s="1262" t="s">
        <v>292</v>
      </c>
      <c r="B154" s="1266" t="s">
        <v>2057</v>
      </c>
      <c r="C154" s="1276"/>
      <c r="D154" s="1276"/>
      <c r="E154" s="1276"/>
      <c r="F154" s="1268">
        <v>0.05</v>
      </c>
    </row>
    <row r="155" spans="1:6" ht="24">
      <c r="A155" s="1262" t="s">
        <v>292</v>
      </c>
      <c r="B155" s="1266" t="s">
        <v>2060</v>
      </c>
      <c r="C155" s="1276"/>
      <c r="D155" s="1276"/>
      <c r="E155" s="1276"/>
      <c r="F155" s="1268">
        <v>0.05</v>
      </c>
    </row>
    <row r="156" spans="1:6" ht="24">
      <c r="A156" s="1262" t="s">
        <v>292</v>
      </c>
      <c r="B156" s="1266" t="s">
        <v>2062</v>
      </c>
      <c r="C156" s="1276"/>
      <c r="D156" s="1276"/>
      <c r="E156" s="1276"/>
      <c r="F156" s="1268">
        <v>0.05</v>
      </c>
    </row>
    <row r="157" spans="1:6">
      <c r="A157" s="1270" t="s">
        <v>292</v>
      </c>
      <c r="B157" s="1277" t="s">
        <v>2064</v>
      </c>
      <c r="C157" s="1273"/>
      <c r="D157" s="1273"/>
      <c r="E157" s="1273"/>
      <c r="F157" s="1278">
        <v>0.05</v>
      </c>
    </row>
    <row r="158" spans="1:6">
      <c r="A158" s="1262" t="s">
        <v>297</v>
      </c>
      <c r="B158" s="1263" t="s">
        <v>1731</v>
      </c>
      <c r="C158" s="1264">
        <v>0.13</v>
      </c>
      <c r="D158" s="1264">
        <v>0.13</v>
      </c>
      <c r="E158" s="1264">
        <v>0.13</v>
      </c>
      <c r="F158" s="1265">
        <v>0.13</v>
      </c>
    </row>
    <row r="159" spans="1:6">
      <c r="A159" s="1262" t="s">
        <v>297</v>
      </c>
      <c r="B159" s="1266" t="s">
        <v>1744</v>
      </c>
      <c r="C159" s="1267">
        <v>0.13</v>
      </c>
      <c r="D159" s="1267">
        <v>0.13</v>
      </c>
      <c r="E159" s="1267">
        <v>0.13</v>
      </c>
      <c r="F159" s="1268">
        <v>0.13</v>
      </c>
    </row>
    <row r="160" spans="1:6">
      <c r="A160" s="1262" t="s">
        <v>297</v>
      </c>
      <c r="B160" s="1266" t="s">
        <v>1757</v>
      </c>
      <c r="C160" s="1267">
        <v>0.13</v>
      </c>
      <c r="D160" s="1267">
        <v>0.13</v>
      </c>
      <c r="E160" s="1267">
        <v>0.129</v>
      </c>
      <c r="F160" s="1268">
        <v>0.13</v>
      </c>
    </row>
    <row r="161" spans="1:6">
      <c r="A161" s="1262" t="s">
        <v>297</v>
      </c>
      <c r="B161" s="1266" t="s">
        <v>1769</v>
      </c>
      <c r="C161" s="1267">
        <v>0.128</v>
      </c>
      <c r="D161" s="1267">
        <v>0.128</v>
      </c>
      <c r="E161" s="1267">
        <v>0.125</v>
      </c>
      <c r="F161" s="1268">
        <v>0.13</v>
      </c>
    </row>
    <row r="162" spans="1:6">
      <c r="A162" s="1262" t="s">
        <v>297</v>
      </c>
      <c r="B162" s="1266" t="s">
        <v>1781</v>
      </c>
      <c r="C162" s="1267">
        <v>0.122</v>
      </c>
      <c r="D162" s="1267">
        <v>0.122</v>
      </c>
      <c r="E162" s="1267">
        <v>0.126</v>
      </c>
      <c r="F162" s="1268">
        <v>0.122</v>
      </c>
    </row>
    <row r="163" spans="1:6">
      <c r="A163" s="1262" t="s">
        <v>297</v>
      </c>
      <c r="B163" s="1266" t="s">
        <v>1792</v>
      </c>
      <c r="C163" s="1267">
        <v>0.13</v>
      </c>
      <c r="D163" s="1267">
        <v>0.13</v>
      </c>
      <c r="E163" s="1267">
        <v>0.125</v>
      </c>
      <c r="F163" s="1268">
        <v>0.13</v>
      </c>
    </row>
    <row r="164" spans="1:6">
      <c r="A164" s="1262" t="s">
        <v>297</v>
      </c>
      <c r="B164" s="1266" t="s">
        <v>1803</v>
      </c>
      <c r="C164" s="1267">
        <v>0.13</v>
      </c>
      <c r="D164" s="1267">
        <v>0.13</v>
      </c>
      <c r="E164" s="1267">
        <v>0.13</v>
      </c>
      <c r="F164" s="1268">
        <v>0.13</v>
      </c>
    </row>
    <row r="165" spans="1:6">
      <c r="A165" s="1262" t="s">
        <v>297</v>
      </c>
      <c r="B165" s="1266" t="s">
        <v>1814</v>
      </c>
      <c r="C165" s="1267">
        <v>0.13</v>
      </c>
      <c r="D165" s="1267">
        <v>0.13</v>
      </c>
      <c r="E165" s="1267">
        <v>0.124</v>
      </c>
      <c r="F165" s="1268">
        <v>0.13</v>
      </c>
    </row>
    <row r="166" spans="1:6">
      <c r="A166" s="1262" t="s">
        <v>297</v>
      </c>
      <c r="B166" s="1266" t="s">
        <v>1824</v>
      </c>
      <c r="C166" s="1267">
        <v>0.13</v>
      </c>
      <c r="D166" s="1267">
        <v>0.13</v>
      </c>
      <c r="E166" s="1267">
        <v>0.13</v>
      </c>
      <c r="F166" s="1268">
        <v>0.13</v>
      </c>
    </row>
    <row r="167" spans="1:6">
      <c r="A167" s="1262" t="s">
        <v>297</v>
      </c>
      <c r="B167" s="1266" t="s">
        <v>1834</v>
      </c>
      <c r="C167" s="1267">
        <v>0.125</v>
      </c>
      <c r="D167" s="1267">
        <v>0.125</v>
      </c>
      <c r="E167" s="1267">
        <v>0.121</v>
      </c>
      <c r="F167" s="1275"/>
    </row>
    <row r="168" spans="1:6">
      <c r="A168" s="1262" t="s">
        <v>297</v>
      </c>
      <c r="B168" s="1266" t="s">
        <v>1844</v>
      </c>
      <c r="C168" s="1267">
        <v>0.13</v>
      </c>
      <c r="D168" s="1267">
        <v>0.13</v>
      </c>
      <c r="E168" s="1267">
        <v>0.126</v>
      </c>
      <c r="F168" s="1275"/>
    </row>
    <row r="169" spans="1:6">
      <c r="A169" s="1262" t="s">
        <v>297</v>
      </c>
      <c r="B169" s="1266" t="s">
        <v>1854</v>
      </c>
      <c r="C169" s="1267">
        <v>0.128</v>
      </c>
      <c r="D169" s="1267">
        <v>0.129</v>
      </c>
      <c r="E169" s="1267">
        <v>0.13</v>
      </c>
      <c r="F169" s="1275"/>
    </row>
    <row r="170" spans="1:6">
      <c r="A170" s="1262" t="s">
        <v>297</v>
      </c>
      <c r="B170" s="1266" t="s">
        <v>1864</v>
      </c>
      <c r="C170" s="1267">
        <v>0.14099999999999999</v>
      </c>
      <c r="D170" s="1267">
        <v>0.13</v>
      </c>
      <c r="E170" s="1267">
        <v>0.125</v>
      </c>
      <c r="F170" s="1275"/>
    </row>
    <row r="171" spans="1:6">
      <c r="A171" s="1262" t="s">
        <v>297</v>
      </c>
      <c r="B171" s="1266" t="s">
        <v>1874</v>
      </c>
      <c r="C171" s="1267">
        <v>0.127</v>
      </c>
      <c r="D171" s="1267">
        <v>0.126</v>
      </c>
      <c r="E171" s="1267">
        <v>0.126</v>
      </c>
      <c r="F171" s="1268">
        <v>0.11799999999999999</v>
      </c>
    </row>
    <row r="172" spans="1:6">
      <c r="A172" s="1262" t="s">
        <v>297</v>
      </c>
      <c r="B172" s="1266" t="s">
        <v>1884</v>
      </c>
      <c r="C172" s="1267">
        <v>0.13</v>
      </c>
      <c r="D172" s="1267">
        <v>0.13</v>
      </c>
      <c r="E172" s="1267">
        <v>0.13</v>
      </c>
      <c r="F172" s="1275"/>
    </row>
    <row r="173" spans="1:6">
      <c r="A173" s="1262" t="s">
        <v>297</v>
      </c>
      <c r="B173" s="1266" t="s">
        <v>1894</v>
      </c>
      <c r="C173" s="1267">
        <v>0.13</v>
      </c>
      <c r="D173" s="1267">
        <v>0.13</v>
      </c>
      <c r="E173" s="1267">
        <v>0.13</v>
      </c>
      <c r="F173" s="1275"/>
    </row>
    <row r="174" spans="1:6">
      <c r="A174" s="1262" t="s">
        <v>297</v>
      </c>
      <c r="B174" s="1266" t="s">
        <v>1904</v>
      </c>
      <c r="C174" s="1267">
        <v>0.13</v>
      </c>
      <c r="D174" s="1267">
        <v>0.13</v>
      </c>
      <c r="E174" s="1267">
        <v>0.13</v>
      </c>
      <c r="F174" s="1268">
        <v>0.13</v>
      </c>
    </row>
    <row r="175" spans="1:6">
      <c r="A175" s="1262" t="s">
        <v>297</v>
      </c>
      <c r="B175" s="1266" t="s">
        <v>1914</v>
      </c>
      <c r="C175" s="1267">
        <v>0.13</v>
      </c>
      <c r="D175" s="1267">
        <v>0.13</v>
      </c>
      <c r="E175" s="1267">
        <v>0.13</v>
      </c>
      <c r="F175" s="1268">
        <v>0.13</v>
      </c>
    </row>
    <row r="176" spans="1:6">
      <c r="A176" s="1262" t="s">
        <v>297</v>
      </c>
      <c r="B176" s="1266" t="s">
        <v>1924</v>
      </c>
      <c r="C176" s="1267">
        <v>0.13</v>
      </c>
      <c r="D176" s="1267">
        <v>0.13</v>
      </c>
      <c r="E176" s="1267">
        <v>0.13</v>
      </c>
      <c r="F176" s="1268">
        <v>0.13</v>
      </c>
    </row>
    <row r="177" spans="1:6">
      <c r="A177" s="1262" t="s">
        <v>297</v>
      </c>
      <c r="B177" s="1266" t="s">
        <v>1933</v>
      </c>
      <c r="C177" s="1267">
        <v>0.13</v>
      </c>
      <c r="D177" s="1267">
        <v>0.13</v>
      </c>
      <c r="E177" s="1267">
        <v>0.13</v>
      </c>
      <c r="F177" s="1268">
        <v>0.13</v>
      </c>
    </row>
    <row r="178" spans="1:6">
      <c r="A178" s="1262" t="s">
        <v>297</v>
      </c>
      <c r="B178" s="1266" t="s">
        <v>1941</v>
      </c>
      <c r="C178" s="1267">
        <v>0.13</v>
      </c>
      <c r="D178" s="1267">
        <v>0.13</v>
      </c>
      <c r="E178" s="1267">
        <v>0.13</v>
      </c>
      <c r="F178" s="1268">
        <v>0.127</v>
      </c>
    </row>
    <row r="179" spans="1:6">
      <c r="A179" s="1262" t="s">
        <v>297</v>
      </c>
      <c r="B179" s="1266" t="s">
        <v>1949</v>
      </c>
      <c r="C179" s="1267">
        <v>0.13</v>
      </c>
      <c r="D179" s="1267">
        <v>0.13</v>
      </c>
      <c r="E179" s="1267">
        <v>0.13</v>
      </c>
      <c r="F179" s="1275"/>
    </row>
    <row r="180" spans="1:6">
      <c r="A180" s="1262" t="s">
        <v>297</v>
      </c>
      <c r="B180" s="1266" t="s">
        <v>1956</v>
      </c>
      <c r="C180" s="1267">
        <v>0.13</v>
      </c>
      <c r="D180" s="1267">
        <v>0.13</v>
      </c>
      <c r="E180" s="1267">
        <v>0.125</v>
      </c>
      <c r="F180" s="1268">
        <v>0.13</v>
      </c>
    </row>
    <row r="181" spans="1:6">
      <c r="A181" s="1262" t="s">
        <v>297</v>
      </c>
      <c r="B181" s="1266" t="s">
        <v>1963</v>
      </c>
      <c r="C181" s="1267">
        <v>0.122</v>
      </c>
      <c r="D181" s="1267">
        <v>0.123</v>
      </c>
      <c r="E181" s="1267">
        <v>0.126</v>
      </c>
      <c r="F181" s="1268">
        <v>0.121</v>
      </c>
    </row>
    <row r="182" spans="1:6">
      <c r="A182" s="1262" t="s">
        <v>297</v>
      </c>
      <c r="B182" s="1266" t="s">
        <v>1970</v>
      </c>
      <c r="C182" s="1267">
        <v>0.125</v>
      </c>
      <c r="D182" s="1267">
        <v>0.125</v>
      </c>
      <c r="E182" s="1267">
        <v>0.11700000000000001</v>
      </c>
      <c r="F182" s="1268">
        <v>0.13</v>
      </c>
    </row>
    <row r="183" spans="1:6">
      <c r="A183" s="1262" t="s">
        <v>297</v>
      </c>
      <c r="B183" s="1266" t="s">
        <v>1977</v>
      </c>
      <c r="C183" s="1267">
        <v>0.127</v>
      </c>
      <c r="D183" s="1267">
        <v>0.127</v>
      </c>
      <c r="E183" s="1267">
        <v>0.128</v>
      </c>
      <c r="F183" s="1275"/>
    </row>
    <row r="184" spans="1:6">
      <c r="A184" s="1262" t="s">
        <v>297</v>
      </c>
      <c r="B184" s="1266" t="s">
        <v>1984</v>
      </c>
      <c r="C184" s="1267">
        <v>0.125</v>
      </c>
      <c r="D184" s="1267">
        <v>0.125</v>
      </c>
      <c r="E184" s="1267">
        <v>0.127</v>
      </c>
      <c r="F184" s="1275"/>
    </row>
    <row r="185" spans="1:6">
      <c r="A185" s="1262" t="s">
        <v>297</v>
      </c>
      <c r="B185" s="1266" t="s">
        <v>1989</v>
      </c>
      <c r="C185" s="1267">
        <v>0.127</v>
      </c>
      <c r="D185" s="1267">
        <v>0.127</v>
      </c>
      <c r="E185" s="1267">
        <v>0.128</v>
      </c>
      <c r="F185" s="1268">
        <v>0.13</v>
      </c>
    </row>
    <row r="186" spans="1:6" ht="24">
      <c r="A186" s="1262" t="s">
        <v>297</v>
      </c>
      <c r="B186" s="1266" t="s">
        <v>1994</v>
      </c>
      <c r="C186" s="1276"/>
      <c r="D186" s="1276"/>
      <c r="E186" s="1276"/>
      <c r="F186" s="1268">
        <v>0.05</v>
      </c>
    </row>
    <row r="187" spans="1:6">
      <c r="A187" s="1262" t="s">
        <v>297</v>
      </c>
      <c r="B187" s="1266" t="s">
        <v>1999</v>
      </c>
      <c r="C187" s="1276"/>
      <c r="D187" s="1276"/>
      <c r="E187" s="1276"/>
      <c r="F187" s="1268">
        <v>0.05</v>
      </c>
    </row>
    <row r="188" spans="1:6">
      <c r="A188" s="1262" t="s">
        <v>297</v>
      </c>
      <c r="B188" s="1266" t="s">
        <v>2004</v>
      </c>
      <c r="C188" s="1276"/>
      <c r="D188" s="1276"/>
      <c r="E188" s="1276"/>
      <c r="F188" s="1268">
        <v>0.05</v>
      </c>
    </row>
    <row r="189" spans="1:6" ht="24">
      <c r="A189" s="1262" t="s">
        <v>297</v>
      </c>
      <c r="B189" s="1266" t="s">
        <v>2009</v>
      </c>
      <c r="C189" s="1276"/>
      <c r="D189" s="1276"/>
      <c r="E189" s="1276"/>
      <c r="F189" s="1268">
        <v>0.05</v>
      </c>
    </row>
    <row r="190" spans="1:6" ht="24">
      <c r="A190" s="1262" t="s">
        <v>297</v>
      </c>
      <c r="B190" s="1266" t="s">
        <v>2014</v>
      </c>
      <c r="C190" s="1276"/>
      <c r="D190" s="1276"/>
      <c r="E190" s="1276"/>
      <c r="F190" s="1268">
        <v>0.05</v>
      </c>
    </row>
    <row r="191" spans="1:6" ht="24">
      <c r="A191" s="1262" t="s">
        <v>297</v>
      </c>
      <c r="B191" s="1266" t="s">
        <v>2019</v>
      </c>
      <c r="C191" s="1276"/>
      <c r="D191" s="1276"/>
      <c r="E191" s="1276"/>
      <c r="F191" s="1268">
        <v>0.05</v>
      </c>
    </row>
    <row r="192" spans="1:6" ht="24">
      <c r="A192" s="1262" t="s">
        <v>297</v>
      </c>
      <c r="B192" s="1266" t="s">
        <v>2023</v>
      </c>
      <c r="C192" s="1276"/>
      <c r="D192" s="1276"/>
      <c r="E192" s="1276"/>
      <c r="F192" s="1268">
        <v>0.05</v>
      </c>
    </row>
    <row r="193" spans="1:6" ht="24">
      <c r="A193" s="1262" t="s">
        <v>297</v>
      </c>
      <c r="B193" s="1266" t="s">
        <v>2027</v>
      </c>
      <c r="C193" s="1276"/>
      <c r="D193" s="1276"/>
      <c r="E193" s="1276"/>
      <c r="F193" s="1268">
        <v>0.05</v>
      </c>
    </row>
    <row r="194" spans="1:6" ht="24">
      <c r="A194" s="1262" t="s">
        <v>297</v>
      </c>
      <c r="B194" s="1266" t="s">
        <v>2031</v>
      </c>
      <c r="C194" s="1276"/>
      <c r="D194" s="1276"/>
      <c r="E194" s="1276"/>
      <c r="F194" s="1268">
        <v>0.05</v>
      </c>
    </row>
    <row r="195" spans="1:6">
      <c r="A195" s="1262" t="s">
        <v>297</v>
      </c>
      <c r="B195" s="1266" t="s">
        <v>2035</v>
      </c>
      <c r="C195" s="1276"/>
      <c r="D195" s="1276"/>
      <c r="E195" s="1276"/>
      <c r="F195" s="1268">
        <v>0.05</v>
      </c>
    </row>
    <row r="196" spans="1:6" ht="24">
      <c r="A196" s="1262" t="s">
        <v>297</v>
      </c>
      <c r="B196" s="1266" t="s">
        <v>2039</v>
      </c>
      <c r="C196" s="1276"/>
      <c r="D196" s="1276"/>
      <c r="E196" s="1276"/>
      <c r="F196" s="1268">
        <v>0.05</v>
      </c>
    </row>
    <row r="197" spans="1:6" ht="24">
      <c r="A197" s="1262" t="s">
        <v>297</v>
      </c>
      <c r="B197" s="1266" t="s">
        <v>2043</v>
      </c>
      <c r="C197" s="1276"/>
      <c r="D197" s="1276"/>
      <c r="E197" s="1276"/>
      <c r="F197" s="1268">
        <v>0.05</v>
      </c>
    </row>
    <row r="198" spans="1:6" ht="24">
      <c r="A198" s="1262" t="s">
        <v>297</v>
      </c>
      <c r="B198" s="1266" t="s">
        <v>2046</v>
      </c>
      <c r="C198" s="1276"/>
      <c r="D198" s="1276"/>
      <c r="E198" s="1276"/>
      <c r="F198" s="1268">
        <v>0.05</v>
      </c>
    </row>
    <row r="199" spans="1:6" ht="24">
      <c r="A199" s="1262" t="s">
        <v>297</v>
      </c>
      <c r="B199" s="1266" t="s">
        <v>2049</v>
      </c>
      <c r="C199" s="1276"/>
      <c r="D199" s="1276"/>
      <c r="E199" s="1276"/>
      <c r="F199" s="1268">
        <v>0.05</v>
      </c>
    </row>
    <row r="200" spans="1:6" ht="24">
      <c r="A200" s="1262" t="s">
        <v>297</v>
      </c>
      <c r="B200" s="1266" t="s">
        <v>2052</v>
      </c>
      <c r="C200" s="1276"/>
      <c r="D200" s="1276"/>
      <c r="E200" s="1276"/>
      <c r="F200" s="1268">
        <v>0.05</v>
      </c>
    </row>
    <row r="201" spans="1:6" ht="24">
      <c r="A201" s="1262" t="s">
        <v>297</v>
      </c>
      <c r="B201" s="1266" t="s">
        <v>2055</v>
      </c>
      <c r="C201" s="1276"/>
      <c r="D201" s="1276"/>
      <c r="E201" s="1276"/>
      <c r="F201" s="1268">
        <v>0.05</v>
      </c>
    </row>
    <row r="202" spans="1:6" ht="24">
      <c r="A202" s="1262" t="s">
        <v>297</v>
      </c>
      <c r="B202" s="1266" t="s">
        <v>2058</v>
      </c>
      <c r="C202" s="1276"/>
      <c r="D202" s="1276"/>
      <c r="E202" s="1276"/>
      <c r="F202" s="1268">
        <v>0.05</v>
      </c>
    </row>
    <row r="203" spans="1:6" ht="24">
      <c r="A203" s="1262" t="s">
        <v>297</v>
      </c>
      <c r="B203" s="1266" t="s">
        <v>2061</v>
      </c>
      <c r="C203" s="1276"/>
      <c r="D203" s="1276"/>
      <c r="E203" s="1276"/>
      <c r="F203" s="1268">
        <v>0.05</v>
      </c>
    </row>
    <row r="204" spans="1:6">
      <c r="A204" s="1262" t="s">
        <v>297</v>
      </c>
      <c r="B204" s="1266" t="s">
        <v>2063</v>
      </c>
      <c r="C204" s="1276"/>
      <c r="D204" s="1276"/>
      <c r="E204" s="1276"/>
      <c r="F204" s="1268">
        <v>0.05</v>
      </c>
    </row>
    <row r="205" spans="1:6">
      <c r="A205" s="1270" t="s">
        <v>297</v>
      </c>
      <c r="B205" s="1277" t="s">
        <v>2065</v>
      </c>
      <c r="C205" s="1273"/>
      <c r="D205" s="1273"/>
      <c r="E205" s="1273"/>
      <c r="F205" s="1278">
        <v>0.05</v>
      </c>
    </row>
    <row r="206" spans="1:6">
      <c r="A206" s="1262" t="s">
        <v>302</v>
      </c>
      <c r="B206" s="1263" t="s">
        <v>1732</v>
      </c>
      <c r="C206" s="1264">
        <v>0.15</v>
      </c>
      <c r="D206" s="1264">
        <v>0.15</v>
      </c>
      <c r="E206" s="1264">
        <v>0.15</v>
      </c>
      <c r="F206" s="1265">
        <v>0.15</v>
      </c>
    </row>
    <row r="207" spans="1:6">
      <c r="A207" s="1262" t="s">
        <v>302</v>
      </c>
      <c r="B207" s="1266" t="s">
        <v>1745</v>
      </c>
      <c r="C207" s="1267">
        <v>0.15</v>
      </c>
      <c r="D207" s="1267">
        <v>0.15</v>
      </c>
      <c r="E207" s="1267">
        <v>0.15</v>
      </c>
      <c r="F207" s="1268">
        <v>0.14399999999999999</v>
      </c>
    </row>
    <row r="208" spans="1:6">
      <c r="A208" s="1262" t="s">
        <v>302</v>
      </c>
      <c r="B208" s="1266" t="s">
        <v>1758</v>
      </c>
      <c r="C208" s="1267">
        <v>0.15</v>
      </c>
      <c r="D208" s="1267">
        <v>0.15</v>
      </c>
      <c r="E208" s="1267">
        <v>0.15</v>
      </c>
      <c r="F208" s="1268">
        <v>0.15</v>
      </c>
    </row>
    <row r="209" spans="1:6">
      <c r="A209" s="1262" t="s">
        <v>302</v>
      </c>
      <c r="B209" s="1266" t="s">
        <v>1770</v>
      </c>
      <c r="C209" s="1267">
        <v>0.13700000000000001</v>
      </c>
      <c r="D209" s="1267">
        <v>0.13700000000000001</v>
      </c>
      <c r="E209" s="1267">
        <v>0.14000000000000001</v>
      </c>
      <c r="F209" s="1268">
        <v>0.11700000000000001</v>
      </c>
    </row>
    <row r="210" spans="1:6">
      <c r="A210" s="1262" t="s">
        <v>302</v>
      </c>
      <c r="B210" s="1266" t="s">
        <v>1782</v>
      </c>
      <c r="C210" s="1267">
        <v>0.15</v>
      </c>
      <c r="D210" s="1267">
        <v>0.15</v>
      </c>
      <c r="E210" s="1267">
        <v>0.15</v>
      </c>
      <c r="F210" s="1268">
        <v>0.13800000000000001</v>
      </c>
    </row>
    <row r="211" spans="1:6">
      <c r="A211" s="1262" t="s">
        <v>302</v>
      </c>
      <c r="B211" s="1266" t="s">
        <v>1793</v>
      </c>
      <c r="C211" s="1267">
        <v>0.13700000000000001</v>
      </c>
      <c r="D211" s="1267">
        <v>0.13500000000000001</v>
      </c>
      <c r="E211" s="1267">
        <v>0.13600000000000001</v>
      </c>
      <c r="F211" s="1268">
        <v>0.1</v>
      </c>
    </row>
    <row r="212" spans="1:6">
      <c r="A212" s="1262" t="s">
        <v>302</v>
      </c>
      <c r="B212" s="1266" t="s">
        <v>1804</v>
      </c>
      <c r="C212" s="1267">
        <v>0.15</v>
      </c>
      <c r="D212" s="1267">
        <v>0.15</v>
      </c>
      <c r="E212" s="1267">
        <v>0.14799999999999999</v>
      </c>
      <c r="F212" s="1268">
        <v>0.13600000000000001</v>
      </c>
    </row>
    <row r="213" spans="1:6">
      <c r="A213" s="1262" t="s">
        <v>302</v>
      </c>
      <c r="B213" s="1266" t="s">
        <v>1815</v>
      </c>
      <c r="C213" s="1267">
        <v>0.15</v>
      </c>
      <c r="D213" s="1267">
        <v>0.15</v>
      </c>
      <c r="E213" s="1267">
        <v>0.15</v>
      </c>
      <c r="F213" s="1268">
        <v>0.13800000000000001</v>
      </c>
    </row>
    <row r="214" spans="1:6">
      <c r="A214" s="1262" t="s">
        <v>302</v>
      </c>
      <c r="B214" s="1266" t="s">
        <v>1825</v>
      </c>
      <c r="C214" s="1267">
        <v>9.0999999999999998E-2</v>
      </c>
      <c r="D214" s="1267">
        <v>0.09</v>
      </c>
      <c r="E214" s="1267">
        <v>9.1999999999999998E-2</v>
      </c>
      <c r="F214" s="1275"/>
    </row>
    <row r="215" spans="1:6">
      <c r="A215" s="1262" t="s">
        <v>302</v>
      </c>
      <c r="B215" s="1266" t="s">
        <v>1835</v>
      </c>
      <c r="C215" s="1267">
        <v>0.15</v>
      </c>
      <c r="D215" s="1267">
        <v>0.15</v>
      </c>
      <c r="E215" s="1267">
        <v>0.15</v>
      </c>
      <c r="F215" s="1268">
        <v>0.15</v>
      </c>
    </row>
    <row r="216" spans="1:6">
      <c r="A216" s="1262" t="s">
        <v>302</v>
      </c>
      <c r="B216" s="1266" t="s">
        <v>1845</v>
      </c>
      <c r="C216" s="1267">
        <v>0.14699999999999999</v>
      </c>
      <c r="D216" s="1267">
        <v>0.14699999999999999</v>
      </c>
      <c r="E216" s="1267">
        <v>0.15</v>
      </c>
      <c r="F216" s="1268">
        <v>0.14000000000000001</v>
      </c>
    </row>
    <row r="217" spans="1:6">
      <c r="A217" s="1262" t="s">
        <v>302</v>
      </c>
      <c r="B217" s="1266" t="s">
        <v>1855</v>
      </c>
      <c r="C217" s="1267">
        <v>0.15</v>
      </c>
      <c r="D217" s="1267">
        <v>0.15</v>
      </c>
      <c r="E217" s="1267">
        <v>0.15</v>
      </c>
      <c r="F217" s="1268">
        <v>0.15</v>
      </c>
    </row>
    <row r="218" spans="1:6">
      <c r="A218" s="1262" t="s">
        <v>302</v>
      </c>
      <c r="B218" s="1266" t="s">
        <v>1865</v>
      </c>
      <c r="C218" s="1267">
        <v>0.15</v>
      </c>
      <c r="D218" s="1267">
        <v>0.15</v>
      </c>
      <c r="E218" s="1267">
        <v>0.15</v>
      </c>
      <c r="F218" s="1268">
        <v>0.15</v>
      </c>
    </row>
    <row r="219" spans="1:6">
      <c r="A219" s="1262" t="s">
        <v>302</v>
      </c>
      <c r="B219" s="1266" t="s">
        <v>1875</v>
      </c>
      <c r="C219" s="1267">
        <v>0.15</v>
      </c>
      <c r="D219" s="1267">
        <v>0.15</v>
      </c>
      <c r="E219" s="1267">
        <v>0.15</v>
      </c>
      <c r="F219" s="1268">
        <v>0.14799999999999999</v>
      </c>
    </row>
    <row r="220" spans="1:6">
      <c r="A220" s="1262" t="s">
        <v>302</v>
      </c>
      <c r="B220" s="1266" t="s">
        <v>1885</v>
      </c>
      <c r="C220" s="1267">
        <v>0.15</v>
      </c>
      <c r="D220" s="1267">
        <v>0.15</v>
      </c>
      <c r="E220" s="1267">
        <v>0.15</v>
      </c>
      <c r="F220" s="1268">
        <v>0.15</v>
      </c>
    </row>
    <row r="221" spans="1:6">
      <c r="A221" s="1262" t="s">
        <v>302</v>
      </c>
      <c r="B221" s="1266" t="s">
        <v>1895</v>
      </c>
      <c r="C221" s="1267"/>
      <c r="D221" s="1276"/>
      <c r="E221" s="1276"/>
      <c r="F221" s="1268">
        <v>0.14799999999999999</v>
      </c>
    </row>
    <row r="222" spans="1:6">
      <c r="A222" s="1262" t="s">
        <v>302</v>
      </c>
      <c r="B222" s="1266" t="s">
        <v>1905</v>
      </c>
      <c r="C222" s="1267"/>
      <c r="D222" s="1276"/>
      <c r="E222" s="1276"/>
      <c r="F222" s="1268">
        <v>0.1</v>
      </c>
    </row>
    <row r="223" spans="1:6">
      <c r="A223" s="1262" t="s">
        <v>302</v>
      </c>
      <c r="B223" s="1266" t="s">
        <v>1915</v>
      </c>
      <c r="C223" s="1267"/>
      <c r="D223" s="1276"/>
      <c r="E223" s="1276"/>
      <c r="F223" s="1268">
        <v>0.15</v>
      </c>
    </row>
    <row r="224" spans="1:6">
      <c r="A224" s="1262" t="s">
        <v>302</v>
      </c>
      <c r="B224" s="1266" t="s">
        <v>1925</v>
      </c>
      <c r="C224" s="1267"/>
      <c r="D224" s="1276"/>
      <c r="E224" s="1276"/>
      <c r="F224" s="1268">
        <v>0.15</v>
      </c>
    </row>
    <row r="225" spans="1:6">
      <c r="A225" s="1262" t="s">
        <v>302</v>
      </c>
      <c r="B225" s="1266" t="s">
        <v>1934</v>
      </c>
      <c r="C225" s="1267">
        <v>0.15</v>
      </c>
      <c r="D225" s="1267">
        <v>0.15</v>
      </c>
      <c r="E225" s="1267">
        <v>0.15</v>
      </c>
      <c r="F225" s="1268">
        <v>0.15</v>
      </c>
    </row>
    <row r="226" spans="1:6">
      <c r="A226" s="1262" t="s">
        <v>302</v>
      </c>
      <c r="B226" s="1266" t="s">
        <v>1942</v>
      </c>
      <c r="C226" s="1267">
        <v>0.15</v>
      </c>
      <c r="D226" s="1267">
        <v>0.15</v>
      </c>
      <c r="E226" s="1267">
        <v>0.15</v>
      </c>
      <c r="F226" s="1268">
        <v>0.14799999999999999</v>
      </c>
    </row>
    <row r="227" spans="1:6">
      <c r="A227" s="1262" t="s">
        <v>302</v>
      </c>
      <c r="B227" s="1266" t="s">
        <v>1950</v>
      </c>
      <c r="C227" s="1267">
        <v>0.15</v>
      </c>
      <c r="D227" s="1267">
        <v>0.15</v>
      </c>
      <c r="E227" s="1267">
        <v>0.15</v>
      </c>
      <c r="F227" s="1268">
        <v>0.15</v>
      </c>
    </row>
    <row r="228" spans="1:6">
      <c r="A228" s="1262" t="s">
        <v>302</v>
      </c>
      <c r="B228" s="1266" t="s">
        <v>1957</v>
      </c>
      <c r="C228" s="1267">
        <v>0.15</v>
      </c>
      <c r="D228" s="1267">
        <v>0.15</v>
      </c>
      <c r="E228" s="1267">
        <v>0.15</v>
      </c>
      <c r="F228" s="1268">
        <v>0.15</v>
      </c>
    </row>
    <row r="229" spans="1:6">
      <c r="A229" s="1262" t="s">
        <v>302</v>
      </c>
      <c r="B229" s="1266" t="s">
        <v>1964</v>
      </c>
      <c r="C229" s="1267">
        <v>0.15</v>
      </c>
      <c r="D229" s="1267">
        <v>0.15</v>
      </c>
      <c r="E229" s="1267">
        <v>0.15</v>
      </c>
      <c r="F229" s="1275"/>
    </row>
    <row r="230" spans="1:6">
      <c r="A230" s="1262" t="s">
        <v>302</v>
      </c>
      <c r="B230" s="1266" t="s">
        <v>1971</v>
      </c>
      <c r="C230" s="1267">
        <v>0.14499999999999999</v>
      </c>
      <c r="D230" s="1267">
        <v>0.14499999999999999</v>
      </c>
      <c r="E230" s="1267">
        <v>0.14399999999999999</v>
      </c>
      <c r="F230" s="1275"/>
    </row>
    <row r="231" spans="1:6">
      <c r="A231" s="1262" t="s">
        <v>302</v>
      </c>
      <c r="B231" s="1266" t="s">
        <v>1978</v>
      </c>
      <c r="C231" s="1267">
        <v>0.128</v>
      </c>
      <c r="D231" s="1267">
        <v>0.125</v>
      </c>
      <c r="E231" s="1267">
        <v>0.13200000000000001</v>
      </c>
      <c r="F231" s="1275"/>
    </row>
    <row r="232" spans="1:6">
      <c r="A232" s="1262" t="s">
        <v>302</v>
      </c>
      <c r="B232" s="1266" t="s">
        <v>1985</v>
      </c>
      <c r="C232" s="1267">
        <v>0.14499999999999999</v>
      </c>
      <c r="D232" s="1267">
        <v>0.14399999999999999</v>
      </c>
      <c r="E232" s="1267">
        <v>0.14599999999999999</v>
      </c>
      <c r="F232" s="1268">
        <v>0.13800000000000001</v>
      </c>
    </row>
    <row r="233" spans="1:6">
      <c r="A233" s="1262" t="s">
        <v>302</v>
      </c>
      <c r="B233" s="1266" t="s">
        <v>1990</v>
      </c>
      <c r="C233" s="1267">
        <v>0.14499999999999999</v>
      </c>
      <c r="D233" s="1267">
        <v>0.14299999999999999</v>
      </c>
      <c r="E233" s="1267">
        <v>0.14199999999999999</v>
      </c>
      <c r="F233" s="1275"/>
    </row>
    <row r="234" spans="1:6">
      <c r="A234" s="1262" t="s">
        <v>302</v>
      </c>
      <c r="B234" s="1266" t="s">
        <v>2072</v>
      </c>
      <c r="C234" s="1267">
        <v>0.14000000000000001</v>
      </c>
      <c r="D234" s="1267">
        <v>0.14000000000000001</v>
      </c>
      <c r="E234" s="1267">
        <v>0.14399999999999999</v>
      </c>
      <c r="F234" s="1275"/>
    </row>
    <row r="235" spans="1:6">
      <c r="A235" s="1262" t="s">
        <v>302</v>
      </c>
      <c r="B235" s="1266" t="s">
        <v>2000</v>
      </c>
      <c r="C235" s="1267">
        <v>0.14099999999999999</v>
      </c>
      <c r="D235" s="1267">
        <v>0.14199999999999999</v>
      </c>
      <c r="E235" s="1267">
        <v>0.14499999999999999</v>
      </c>
      <c r="F235" s="1268">
        <v>0.15</v>
      </c>
    </row>
    <row r="236" spans="1:6">
      <c r="A236" s="1262" t="s">
        <v>302</v>
      </c>
      <c r="B236" s="1266" t="s">
        <v>2005</v>
      </c>
      <c r="C236" s="1276"/>
      <c r="D236" s="1276"/>
      <c r="E236" s="1276"/>
      <c r="F236" s="1268">
        <v>0.14299999999999999</v>
      </c>
    </row>
    <row r="237" spans="1:6" ht="24">
      <c r="A237" s="1262" t="s">
        <v>302</v>
      </c>
      <c r="B237" s="1266" t="s">
        <v>2010</v>
      </c>
      <c r="C237" s="1276"/>
      <c r="D237" s="1276"/>
      <c r="E237" s="1276"/>
      <c r="F237" s="1268">
        <v>0.05</v>
      </c>
    </row>
    <row r="238" spans="1:6" ht="24">
      <c r="A238" s="1262" t="s">
        <v>302</v>
      </c>
      <c r="B238" s="1266" t="s">
        <v>2015</v>
      </c>
      <c r="C238" s="1276"/>
      <c r="D238" s="1276"/>
      <c r="E238" s="1276"/>
      <c r="F238" s="1268">
        <v>0.05</v>
      </c>
    </row>
    <row r="239" spans="1:6" ht="24">
      <c r="A239" s="1262" t="s">
        <v>302</v>
      </c>
      <c r="B239" s="1266" t="s">
        <v>2020</v>
      </c>
      <c r="C239" s="1276"/>
      <c r="D239" s="1276"/>
      <c r="E239" s="1276"/>
      <c r="F239" s="1268">
        <v>0.05</v>
      </c>
    </row>
    <row r="240" spans="1:6" ht="24">
      <c r="A240" s="1262" t="s">
        <v>302</v>
      </c>
      <c r="B240" s="1266" t="s">
        <v>2024</v>
      </c>
      <c r="C240" s="1276"/>
      <c r="D240" s="1276"/>
      <c r="E240" s="1276"/>
      <c r="F240" s="1268">
        <v>0.05</v>
      </c>
    </row>
    <row r="241" spans="1:6" ht="24">
      <c r="A241" s="1262" t="s">
        <v>302</v>
      </c>
      <c r="B241" s="1266" t="s">
        <v>2028</v>
      </c>
      <c r="C241" s="1276"/>
      <c r="D241" s="1276"/>
      <c r="E241" s="1276"/>
      <c r="F241" s="1268">
        <v>0.05</v>
      </c>
    </row>
    <row r="242" spans="1:6" ht="24">
      <c r="A242" s="1262" t="s">
        <v>302</v>
      </c>
      <c r="B242" s="1266" t="s">
        <v>2032</v>
      </c>
      <c r="C242" s="1276"/>
      <c r="D242" s="1276"/>
      <c r="E242" s="1276"/>
      <c r="F242" s="1268">
        <v>0.05</v>
      </c>
    </row>
    <row r="243" spans="1:6" ht="24">
      <c r="A243" s="1262" t="s">
        <v>302</v>
      </c>
      <c r="B243" s="1266" t="s">
        <v>2036</v>
      </c>
      <c r="C243" s="1276"/>
      <c r="D243" s="1276"/>
      <c r="E243" s="1276"/>
      <c r="F243" s="1268">
        <v>0.05</v>
      </c>
    </row>
    <row r="244" spans="1:6" ht="24">
      <c r="A244" s="1270" t="s">
        <v>302</v>
      </c>
      <c r="B244" s="1277" t="s">
        <v>2040</v>
      </c>
      <c r="C244" s="1273"/>
      <c r="D244" s="1273"/>
      <c r="E244" s="1273"/>
      <c r="F244" s="1278">
        <v>0.05</v>
      </c>
    </row>
    <row r="245" spans="1:6">
      <c r="A245" s="1262" t="s">
        <v>305</v>
      </c>
      <c r="B245" s="1263" t="s">
        <v>1733</v>
      </c>
      <c r="C245" s="1264">
        <v>0.15</v>
      </c>
      <c r="D245" s="1264">
        <v>0.15</v>
      </c>
      <c r="E245" s="1264">
        <v>0.15</v>
      </c>
      <c r="F245" s="1265">
        <v>0.14299999999999999</v>
      </c>
    </row>
    <row r="246" spans="1:6">
      <c r="A246" s="1262" t="s">
        <v>305</v>
      </c>
      <c r="B246" s="1266" t="s">
        <v>1746</v>
      </c>
      <c r="C246" s="1267">
        <v>0.15</v>
      </c>
      <c r="D246" s="1267">
        <v>0.15</v>
      </c>
      <c r="E246" s="1267">
        <v>0.15</v>
      </c>
      <c r="F246" s="1268">
        <v>0.114</v>
      </c>
    </row>
    <row r="247" spans="1:6">
      <c r="A247" s="1262" t="s">
        <v>305</v>
      </c>
      <c r="B247" s="1266" t="s">
        <v>1759</v>
      </c>
      <c r="C247" s="1267">
        <v>0.15</v>
      </c>
      <c r="D247" s="1267">
        <v>0.15</v>
      </c>
      <c r="E247" s="1267">
        <v>0.15</v>
      </c>
      <c r="F247" s="1268">
        <v>0.15</v>
      </c>
    </row>
    <row r="248" spans="1:6">
      <c r="A248" s="1262" t="s">
        <v>305</v>
      </c>
      <c r="B248" s="1266" t="s">
        <v>1771</v>
      </c>
      <c r="C248" s="1267">
        <v>0.15</v>
      </c>
      <c r="D248" s="1267">
        <v>0.15</v>
      </c>
      <c r="E248" s="1267">
        <v>0.15</v>
      </c>
      <c r="F248" s="1268">
        <v>0.14000000000000001</v>
      </c>
    </row>
    <row r="249" spans="1:6">
      <c r="A249" s="1262" t="s">
        <v>305</v>
      </c>
      <c r="B249" s="1266" t="s">
        <v>1783</v>
      </c>
      <c r="C249" s="1267">
        <v>0.15</v>
      </c>
      <c r="D249" s="1267">
        <v>0.14899999999999999</v>
      </c>
      <c r="E249" s="1267">
        <v>0.15</v>
      </c>
      <c r="F249" s="1268">
        <v>0.1</v>
      </c>
    </row>
    <row r="250" spans="1:6">
      <c r="A250" s="1262" t="s">
        <v>305</v>
      </c>
      <c r="B250" s="1266" t="s">
        <v>1794</v>
      </c>
      <c r="C250" s="1267">
        <v>0.15</v>
      </c>
      <c r="D250" s="1267">
        <v>0.15</v>
      </c>
      <c r="E250" s="1267">
        <v>0.15</v>
      </c>
      <c r="F250" s="1268">
        <v>0.14399999999999999</v>
      </c>
    </row>
    <row r="251" spans="1:6">
      <c r="A251" s="1262" t="s">
        <v>305</v>
      </c>
      <c r="B251" s="1266" t="s">
        <v>1805</v>
      </c>
      <c r="C251" s="1267">
        <v>0.15</v>
      </c>
      <c r="D251" s="1267">
        <v>0.15</v>
      </c>
      <c r="E251" s="1267">
        <v>0.15</v>
      </c>
      <c r="F251" s="1268">
        <v>0.14299999999999999</v>
      </c>
    </row>
    <row r="252" spans="1:6">
      <c r="A252" s="1262" t="s">
        <v>305</v>
      </c>
      <c r="B252" s="1266" t="s">
        <v>1816</v>
      </c>
      <c r="C252" s="1267">
        <v>0.15</v>
      </c>
      <c r="D252" s="1267">
        <v>0.15</v>
      </c>
      <c r="E252" s="1267">
        <v>0.15</v>
      </c>
      <c r="F252" s="1268">
        <v>0.1</v>
      </c>
    </row>
    <row r="253" spans="1:6">
      <c r="A253" s="1262" t="s">
        <v>305</v>
      </c>
      <c r="B253" s="1266" t="s">
        <v>1826</v>
      </c>
      <c r="C253" s="1267">
        <v>0.15</v>
      </c>
      <c r="D253" s="1267">
        <v>0.15</v>
      </c>
      <c r="E253" s="1267">
        <v>0.15</v>
      </c>
      <c r="F253" s="1268">
        <v>0.1</v>
      </c>
    </row>
    <row r="254" spans="1:6">
      <c r="A254" s="1262" t="s">
        <v>305</v>
      </c>
      <c r="B254" s="1266" t="s">
        <v>1836</v>
      </c>
      <c r="C254" s="1276"/>
      <c r="D254" s="1276"/>
      <c r="E254" s="1276"/>
      <c r="F254" s="1268">
        <v>0.15</v>
      </c>
    </row>
    <row r="255" spans="1:6">
      <c r="A255" s="1262" t="s">
        <v>305</v>
      </c>
      <c r="B255" s="1266" t="s">
        <v>1846</v>
      </c>
      <c r="C255" s="1276"/>
      <c r="D255" s="1276"/>
      <c r="E255" s="1276"/>
      <c r="F255" s="1268">
        <v>0.14299999999999999</v>
      </c>
    </row>
    <row r="256" spans="1:6">
      <c r="A256" s="1262" t="s">
        <v>305</v>
      </c>
      <c r="B256" s="1266" t="s">
        <v>1856</v>
      </c>
      <c r="C256" s="1267">
        <v>0.14599999999999999</v>
      </c>
      <c r="D256" s="1267">
        <v>0.14699999999999999</v>
      </c>
      <c r="E256" s="1267">
        <v>0.15</v>
      </c>
      <c r="F256" s="1268">
        <v>0.13200000000000001</v>
      </c>
    </row>
    <row r="257" spans="1:6">
      <c r="A257" s="1262" t="s">
        <v>305</v>
      </c>
      <c r="B257" s="1266" t="s">
        <v>1866</v>
      </c>
      <c r="C257" s="1267">
        <v>0.15</v>
      </c>
      <c r="D257" s="1267">
        <v>0.15</v>
      </c>
      <c r="E257" s="1267">
        <v>0.15</v>
      </c>
      <c r="F257" s="1268">
        <v>0.13900000000000001</v>
      </c>
    </row>
    <row r="258" spans="1:6">
      <c r="A258" s="1262" t="s">
        <v>305</v>
      </c>
      <c r="B258" s="1266" t="s">
        <v>1876</v>
      </c>
      <c r="C258" s="1267">
        <v>0.15</v>
      </c>
      <c r="D258" s="1267">
        <v>0.15</v>
      </c>
      <c r="E258" s="1267">
        <v>0.15</v>
      </c>
      <c r="F258" s="1268">
        <v>0.13</v>
      </c>
    </row>
    <row r="259" spans="1:6">
      <c r="A259" s="1262" t="s">
        <v>305</v>
      </c>
      <c r="B259" s="1266" t="s">
        <v>1886</v>
      </c>
      <c r="C259" s="1267">
        <v>0.14799999999999999</v>
      </c>
      <c r="D259" s="1267">
        <v>0.14899999999999999</v>
      </c>
      <c r="E259" s="1267">
        <v>0.15</v>
      </c>
      <c r="F259" s="1268">
        <v>0.13700000000000001</v>
      </c>
    </row>
    <row r="260" spans="1:6">
      <c r="A260" s="1262" t="s">
        <v>305</v>
      </c>
      <c r="B260" s="1266" t="s">
        <v>1896</v>
      </c>
      <c r="C260" s="1267">
        <v>0.15</v>
      </c>
      <c r="D260" s="1267">
        <v>0.15</v>
      </c>
      <c r="E260" s="1267">
        <v>0.15</v>
      </c>
      <c r="F260" s="1268">
        <v>0.14199999999999999</v>
      </c>
    </row>
    <row r="261" spans="1:6">
      <c r="A261" s="1262" t="s">
        <v>305</v>
      </c>
      <c r="B261" s="1266" t="s">
        <v>1906</v>
      </c>
      <c r="C261" s="1267">
        <v>0.15</v>
      </c>
      <c r="D261" s="1267">
        <v>0.15</v>
      </c>
      <c r="E261" s="1267">
        <v>0.14899999999999999</v>
      </c>
      <c r="F261" s="1268">
        <v>0.14799999999999999</v>
      </c>
    </row>
    <row r="262" spans="1:6">
      <c r="A262" s="1262" t="s">
        <v>305</v>
      </c>
      <c r="B262" s="1266" t="s">
        <v>1916</v>
      </c>
      <c r="C262" s="1267">
        <v>0.15</v>
      </c>
      <c r="D262" s="1267">
        <v>0.15</v>
      </c>
      <c r="E262" s="1267">
        <v>0.15</v>
      </c>
      <c r="F262" s="1275"/>
    </row>
    <row r="263" spans="1:6">
      <c r="A263" s="1262" t="s">
        <v>305</v>
      </c>
      <c r="B263" s="1266" t="s">
        <v>1926</v>
      </c>
      <c r="C263" s="1267">
        <v>0.14899999999999999</v>
      </c>
      <c r="D263" s="1267">
        <v>0.14899999999999999</v>
      </c>
      <c r="E263" s="1267">
        <v>0.15</v>
      </c>
      <c r="F263" s="1268">
        <v>0.13</v>
      </c>
    </row>
    <row r="264" spans="1:6">
      <c r="A264" s="1262" t="s">
        <v>305</v>
      </c>
      <c r="B264" s="1266" t="s">
        <v>1935</v>
      </c>
      <c r="C264" s="1267">
        <v>0.14799999999999999</v>
      </c>
      <c r="D264" s="1267">
        <v>0.14699999999999999</v>
      </c>
      <c r="E264" s="1267">
        <v>0.15</v>
      </c>
      <c r="F264" s="1268">
        <v>7.8E-2</v>
      </c>
    </row>
    <row r="265" spans="1:6">
      <c r="A265" s="1262" t="s">
        <v>305</v>
      </c>
      <c r="B265" s="1266" t="s">
        <v>1943</v>
      </c>
      <c r="C265" s="1267">
        <v>0.15</v>
      </c>
      <c r="D265" s="1267">
        <v>0.15</v>
      </c>
      <c r="E265" s="1267">
        <v>0.15</v>
      </c>
      <c r="F265" s="1268">
        <v>7.3999999999999996E-2</v>
      </c>
    </row>
    <row r="266" spans="1:6">
      <c r="A266" s="1262" t="s">
        <v>305</v>
      </c>
      <c r="B266" s="1266" t="s">
        <v>1951</v>
      </c>
      <c r="C266" s="1267">
        <v>0.14699999999999999</v>
      </c>
      <c r="D266" s="1267">
        <v>0.14699999999999999</v>
      </c>
      <c r="E266" s="1267">
        <v>0.15</v>
      </c>
      <c r="F266" s="1268">
        <v>0.14299999999999999</v>
      </c>
    </row>
    <row r="267" spans="1:6">
      <c r="A267" s="1262" t="s">
        <v>305</v>
      </c>
      <c r="B267" s="1266" t="s">
        <v>1958</v>
      </c>
      <c r="C267" s="1267">
        <v>0.14199999999999999</v>
      </c>
      <c r="D267" s="1267">
        <v>0.14299999999999999</v>
      </c>
      <c r="E267" s="1267">
        <v>0.15</v>
      </c>
      <c r="F267" s="1275"/>
    </row>
    <row r="268" spans="1:6">
      <c r="A268" s="1262" t="s">
        <v>305</v>
      </c>
      <c r="B268" s="1266" t="s">
        <v>1965</v>
      </c>
      <c r="C268" s="1267">
        <v>0.15</v>
      </c>
      <c r="D268" s="1267">
        <v>0.15</v>
      </c>
      <c r="E268" s="1267">
        <v>0.15</v>
      </c>
      <c r="F268" s="1268">
        <v>0.13</v>
      </c>
    </row>
    <row r="269" spans="1:6">
      <c r="A269" s="1262" t="s">
        <v>305</v>
      </c>
      <c r="B269" s="1266" t="s">
        <v>1972</v>
      </c>
      <c r="C269" s="1267">
        <v>0.15</v>
      </c>
      <c r="D269" s="1267">
        <v>0.15</v>
      </c>
      <c r="E269" s="1267">
        <v>0.15</v>
      </c>
      <c r="F269" s="1268">
        <v>0.14299999999999999</v>
      </c>
    </row>
    <row r="270" spans="1:6">
      <c r="A270" s="1262" t="s">
        <v>305</v>
      </c>
      <c r="B270" s="1266" t="s">
        <v>1979</v>
      </c>
      <c r="C270" s="1267">
        <v>0.14499999999999999</v>
      </c>
      <c r="D270" s="1267">
        <v>0.14499999999999999</v>
      </c>
      <c r="E270" s="1267">
        <v>0.15</v>
      </c>
      <c r="F270" s="1268">
        <v>0.14699999999999999</v>
      </c>
    </row>
    <row r="271" spans="1:6">
      <c r="A271" s="1262" t="s">
        <v>305</v>
      </c>
      <c r="B271" s="1266" t="s">
        <v>1986</v>
      </c>
      <c r="C271" s="1267">
        <v>0.15</v>
      </c>
      <c r="D271" s="1267">
        <v>0.15</v>
      </c>
      <c r="E271" s="1267">
        <v>0.15</v>
      </c>
      <c r="F271" s="1268">
        <v>0.13800000000000001</v>
      </c>
    </row>
    <row r="272" spans="1:6">
      <c r="A272" s="1262" t="s">
        <v>305</v>
      </c>
      <c r="B272" s="1266" t="s">
        <v>1991</v>
      </c>
      <c r="C272" s="1276"/>
      <c r="D272" s="1276"/>
      <c r="E272" s="1276"/>
      <c r="F272" s="1268">
        <v>0.14000000000000001</v>
      </c>
    </row>
    <row r="273" spans="1:6">
      <c r="A273" s="1262" t="s">
        <v>305</v>
      </c>
      <c r="B273" s="1266" t="s">
        <v>1996</v>
      </c>
      <c r="C273" s="1267">
        <v>0.14199999999999999</v>
      </c>
      <c r="D273" s="1267">
        <v>0.14299999999999999</v>
      </c>
      <c r="E273" s="1267">
        <v>0.15</v>
      </c>
      <c r="F273" s="1268">
        <v>0.1</v>
      </c>
    </row>
    <row r="274" spans="1:6">
      <c r="A274" s="1262" t="s">
        <v>305</v>
      </c>
      <c r="B274" s="1266" t="s">
        <v>2001</v>
      </c>
      <c r="C274" s="1267">
        <v>0.14799999999999999</v>
      </c>
      <c r="D274" s="1267">
        <v>0.14799999999999999</v>
      </c>
      <c r="E274" s="1267">
        <v>0.15</v>
      </c>
      <c r="F274" s="1268">
        <v>6.7000000000000004E-2</v>
      </c>
    </row>
    <row r="275" spans="1:6">
      <c r="A275" s="1262" t="s">
        <v>305</v>
      </c>
      <c r="B275" s="1266" t="s">
        <v>2006</v>
      </c>
      <c r="C275" s="1267">
        <v>0.15</v>
      </c>
      <c r="D275" s="1267">
        <v>0.15</v>
      </c>
      <c r="E275" s="1267">
        <v>0.15</v>
      </c>
      <c r="F275" s="1268">
        <v>0.15</v>
      </c>
    </row>
    <row r="276" spans="1:6">
      <c r="A276" s="1262" t="s">
        <v>305</v>
      </c>
      <c r="B276" s="1266" t="s">
        <v>2011</v>
      </c>
      <c r="C276" s="1267">
        <v>0.14499999999999999</v>
      </c>
      <c r="D276" s="1267">
        <v>0.14299999999999999</v>
      </c>
      <c r="E276" s="1267">
        <v>0.15</v>
      </c>
      <c r="F276" s="1268">
        <v>5.8999999999999997E-2</v>
      </c>
    </row>
    <row r="277" spans="1:6">
      <c r="A277" s="1262" t="s">
        <v>305</v>
      </c>
      <c r="B277" s="1266" t="s">
        <v>2016</v>
      </c>
      <c r="C277" s="1267">
        <v>0.15</v>
      </c>
      <c r="D277" s="1267">
        <v>0.15</v>
      </c>
      <c r="E277" s="1267">
        <v>0.15</v>
      </c>
      <c r="F277" s="1268">
        <v>0.121</v>
      </c>
    </row>
    <row r="278" spans="1:6">
      <c r="A278" s="1262" t="s">
        <v>305</v>
      </c>
      <c r="B278" s="1266" t="s">
        <v>2021</v>
      </c>
      <c r="C278" s="1267">
        <v>0.15</v>
      </c>
      <c r="D278" s="1267">
        <v>0.15</v>
      </c>
      <c r="E278" s="1267">
        <v>0.15</v>
      </c>
      <c r="F278" s="1268">
        <v>0.13800000000000001</v>
      </c>
    </row>
    <row r="279" spans="1:6" ht="24">
      <c r="A279" s="1262" t="s">
        <v>305</v>
      </c>
      <c r="B279" s="1266" t="s">
        <v>2025</v>
      </c>
      <c r="C279" s="1276"/>
      <c r="D279" s="1276"/>
      <c r="E279" s="1276"/>
      <c r="F279" s="1268">
        <v>0.05</v>
      </c>
    </row>
    <row r="280" spans="1:6" ht="24">
      <c r="A280" s="1262" t="s">
        <v>305</v>
      </c>
      <c r="B280" s="1266" t="s">
        <v>2029</v>
      </c>
      <c r="C280" s="1276"/>
      <c r="D280" s="1276"/>
      <c r="E280" s="1276"/>
      <c r="F280" s="1268">
        <v>0.05</v>
      </c>
    </row>
    <row r="281" spans="1:6" ht="24">
      <c r="A281" s="1262" t="s">
        <v>305</v>
      </c>
      <c r="B281" s="1266" t="s">
        <v>2033</v>
      </c>
      <c r="C281" s="1276"/>
      <c r="D281" s="1276"/>
      <c r="E281" s="1276"/>
      <c r="F281" s="1268">
        <v>0.05</v>
      </c>
    </row>
    <row r="282" spans="1:6" ht="24">
      <c r="A282" s="1262" t="s">
        <v>305</v>
      </c>
      <c r="B282" s="1266" t="s">
        <v>2037</v>
      </c>
      <c r="C282" s="1276"/>
      <c r="D282" s="1276"/>
      <c r="E282" s="1276"/>
      <c r="F282" s="1268">
        <v>0.05</v>
      </c>
    </row>
    <row r="283" spans="1:6" ht="24">
      <c r="A283" s="1262" t="s">
        <v>305</v>
      </c>
      <c r="B283" s="1266" t="s">
        <v>2041</v>
      </c>
      <c r="C283" s="1276"/>
      <c r="D283" s="1276"/>
      <c r="E283" s="1276"/>
      <c r="F283" s="1268">
        <v>0.05</v>
      </c>
    </row>
    <row r="284" spans="1:6" ht="24">
      <c r="A284" s="1262" t="s">
        <v>305</v>
      </c>
      <c r="B284" s="1266" t="s">
        <v>2044</v>
      </c>
      <c r="C284" s="1276"/>
      <c r="D284" s="1276"/>
      <c r="E284" s="1276"/>
      <c r="F284" s="1268">
        <v>0.05</v>
      </c>
    </row>
    <row r="285" spans="1:6" ht="24">
      <c r="A285" s="1262" t="s">
        <v>305</v>
      </c>
      <c r="B285" s="1266" t="s">
        <v>2047</v>
      </c>
      <c r="C285" s="1276"/>
      <c r="D285" s="1276"/>
      <c r="E285" s="1276"/>
      <c r="F285" s="1268">
        <v>0.05</v>
      </c>
    </row>
    <row r="286" spans="1:6" ht="24">
      <c r="A286" s="1262" t="s">
        <v>305</v>
      </c>
      <c r="B286" s="1266" t="s">
        <v>2050</v>
      </c>
      <c r="C286" s="1276"/>
      <c r="D286" s="1276"/>
      <c r="E286" s="1276"/>
      <c r="F286" s="1268">
        <v>0.05</v>
      </c>
    </row>
    <row r="287" spans="1:6" ht="24">
      <c r="A287" s="1262" t="s">
        <v>305</v>
      </c>
      <c r="B287" s="1266" t="s">
        <v>2053</v>
      </c>
      <c r="C287" s="1276"/>
      <c r="D287" s="1276"/>
      <c r="E287" s="1276"/>
      <c r="F287" s="1268">
        <v>0.05</v>
      </c>
    </row>
    <row r="288" spans="1:6" ht="24">
      <c r="A288" s="1262" t="s">
        <v>305</v>
      </c>
      <c r="B288" s="1266" t="s">
        <v>2056</v>
      </c>
      <c r="C288" s="1276"/>
      <c r="D288" s="1276"/>
      <c r="E288" s="1276"/>
      <c r="F288" s="1268">
        <v>0.05</v>
      </c>
    </row>
    <row r="289" spans="1:6" ht="24">
      <c r="A289" s="1270" t="s">
        <v>305</v>
      </c>
      <c r="B289" s="1277" t="s">
        <v>2059</v>
      </c>
      <c r="C289" s="1273"/>
      <c r="D289" s="1273"/>
      <c r="E289" s="1273"/>
      <c r="F289" s="1278">
        <v>0.05</v>
      </c>
    </row>
    <row r="290" spans="1:6">
      <c r="A290" s="1262" t="s">
        <v>308</v>
      </c>
      <c r="B290" s="1263" t="s">
        <v>1734</v>
      </c>
      <c r="C290" s="1264">
        <v>0.15</v>
      </c>
      <c r="D290" s="1264">
        <v>0.15</v>
      </c>
      <c r="E290" s="1264">
        <v>0.15</v>
      </c>
      <c r="F290" s="1286"/>
    </row>
    <row r="291" spans="1:6">
      <c r="A291" s="1262" t="s">
        <v>308</v>
      </c>
      <c r="B291" s="1266" t="s">
        <v>1747</v>
      </c>
      <c r="C291" s="1267">
        <v>0.15</v>
      </c>
      <c r="D291" s="1267">
        <v>0.15</v>
      </c>
      <c r="E291" s="1267">
        <v>0.15</v>
      </c>
      <c r="F291" s="1275"/>
    </row>
    <row r="292" spans="1:6">
      <c r="A292" s="1262" t="s">
        <v>308</v>
      </c>
      <c r="B292" s="1266" t="s">
        <v>1760</v>
      </c>
      <c r="C292" s="1267">
        <v>0.15</v>
      </c>
      <c r="D292" s="1267">
        <v>0.15</v>
      </c>
      <c r="E292" s="1267">
        <v>0.15</v>
      </c>
      <c r="F292" s="1268">
        <v>0.14699999999999999</v>
      </c>
    </row>
    <row r="293" spans="1:6">
      <c r="A293" s="1262" t="s">
        <v>308</v>
      </c>
      <c r="B293" s="1266" t="s">
        <v>2066</v>
      </c>
      <c r="C293" s="1276"/>
      <c r="D293" s="1276"/>
      <c r="E293" s="1276"/>
      <c r="F293" s="1268">
        <v>0.1</v>
      </c>
    </row>
    <row r="294" spans="1:6">
      <c r="A294" s="1262" t="s">
        <v>308</v>
      </c>
      <c r="B294" s="1266" t="s">
        <v>1772</v>
      </c>
      <c r="C294" s="1267">
        <v>0.15</v>
      </c>
      <c r="D294" s="1267">
        <v>0.15</v>
      </c>
      <c r="E294" s="1267">
        <v>0.15</v>
      </c>
      <c r="F294" s="1268">
        <v>0.15</v>
      </c>
    </row>
    <row r="295" spans="1:6">
      <c r="A295" s="1262" t="s">
        <v>308</v>
      </c>
      <c r="B295" s="1266" t="s">
        <v>1784</v>
      </c>
      <c r="C295" s="1267">
        <v>0.15</v>
      </c>
      <c r="D295" s="1267">
        <v>0.15</v>
      </c>
      <c r="E295" s="1267">
        <v>0.15</v>
      </c>
      <c r="F295" s="1268">
        <v>0.15</v>
      </c>
    </row>
    <row r="296" spans="1:6">
      <c r="A296" s="1262" t="s">
        <v>308</v>
      </c>
      <c r="B296" s="1266" t="s">
        <v>1795</v>
      </c>
      <c r="C296" s="1267">
        <v>0.15</v>
      </c>
      <c r="D296" s="1267">
        <v>0.15</v>
      </c>
      <c r="E296" s="1267">
        <v>0.15</v>
      </c>
      <c r="F296" s="1268">
        <v>0.15</v>
      </c>
    </row>
    <row r="297" spans="1:6">
      <c r="A297" s="1262" t="s">
        <v>308</v>
      </c>
      <c r="B297" s="1266" t="s">
        <v>1806</v>
      </c>
      <c r="C297" s="1267">
        <v>0.14799999999999999</v>
      </c>
      <c r="D297" s="1267">
        <v>0.14899999999999999</v>
      </c>
      <c r="E297" s="1267">
        <v>0.15</v>
      </c>
      <c r="F297" s="1268">
        <v>0.13700000000000001</v>
      </c>
    </row>
    <row r="298" spans="1:6">
      <c r="A298" s="1262" t="s">
        <v>308</v>
      </c>
      <c r="B298" s="1266" t="s">
        <v>1817</v>
      </c>
      <c r="C298" s="1267">
        <v>0.13400000000000001</v>
      </c>
      <c r="D298" s="1267">
        <v>0.13400000000000001</v>
      </c>
      <c r="E298" s="1267">
        <v>0.14499999999999999</v>
      </c>
      <c r="F298" s="1268">
        <v>0.14799999999999999</v>
      </c>
    </row>
    <row r="299" spans="1:6">
      <c r="A299" s="1262" t="s">
        <v>308</v>
      </c>
      <c r="B299" s="1266" t="s">
        <v>1827</v>
      </c>
      <c r="C299" s="1267">
        <v>0.15</v>
      </c>
      <c r="D299" s="1267">
        <v>0.15</v>
      </c>
      <c r="E299" s="1267">
        <v>0.15</v>
      </c>
      <c r="F299" s="1275"/>
    </row>
    <row r="300" spans="1:6">
      <c r="A300" s="1262" t="s">
        <v>308</v>
      </c>
      <c r="B300" s="1266" t="s">
        <v>1837</v>
      </c>
      <c r="C300" s="1267">
        <v>0.15</v>
      </c>
      <c r="D300" s="1267">
        <v>0.15</v>
      </c>
      <c r="E300" s="1267">
        <v>0.15</v>
      </c>
      <c r="F300" s="1268">
        <v>0.15</v>
      </c>
    </row>
    <row r="301" spans="1:6">
      <c r="A301" s="1262" t="s">
        <v>308</v>
      </c>
      <c r="B301" s="1266" t="s">
        <v>1847</v>
      </c>
      <c r="C301" s="1267">
        <v>0.15</v>
      </c>
      <c r="D301" s="1267">
        <v>0.15</v>
      </c>
      <c r="E301" s="1267">
        <v>0.15</v>
      </c>
      <c r="F301" s="1275"/>
    </row>
    <row r="302" spans="1:6">
      <c r="A302" s="1262" t="s">
        <v>308</v>
      </c>
      <c r="B302" s="1266" t="s">
        <v>1857</v>
      </c>
      <c r="C302" s="1267">
        <v>0.15</v>
      </c>
      <c r="D302" s="1267">
        <v>0.15</v>
      </c>
      <c r="E302" s="1267">
        <v>0.15</v>
      </c>
      <c r="F302" s="1268">
        <v>0.15</v>
      </c>
    </row>
    <row r="303" spans="1:6">
      <c r="A303" s="1262" t="s">
        <v>308</v>
      </c>
      <c r="B303" s="1266" t="s">
        <v>1867</v>
      </c>
      <c r="C303" s="1267">
        <v>0.15</v>
      </c>
      <c r="D303" s="1267">
        <v>0.15</v>
      </c>
      <c r="E303" s="1267">
        <v>0.15</v>
      </c>
      <c r="F303" s="1268">
        <v>0.15</v>
      </c>
    </row>
    <row r="304" spans="1:6">
      <c r="A304" s="1262" t="s">
        <v>308</v>
      </c>
      <c r="B304" s="1266" t="s">
        <v>1877</v>
      </c>
      <c r="C304" s="1267">
        <v>0.15</v>
      </c>
      <c r="D304" s="1267">
        <v>0.15</v>
      </c>
      <c r="E304" s="1267">
        <v>0.15</v>
      </c>
      <c r="F304" s="1275"/>
    </row>
    <row r="305" spans="1:6">
      <c r="A305" s="1262" t="s">
        <v>308</v>
      </c>
      <c r="B305" s="1266" t="s">
        <v>1887</v>
      </c>
      <c r="C305" s="1267">
        <v>0.15</v>
      </c>
      <c r="D305" s="1267">
        <v>0.15</v>
      </c>
      <c r="E305" s="1267">
        <v>0.15</v>
      </c>
      <c r="F305" s="1268">
        <v>0.14000000000000001</v>
      </c>
    </row>
    <row r="306" spans="1:6">
      <c r="A306" s="1262" t="s">
        <v>308</v>
      </c>
      <c r="B306" s="1266" t="s">
        <v>1897</v>
      </c>
      <c r="C306" s="1267">
        <v>0.15</v>
      </c>
      <c r="D306" s="1267">
        <v>0.15</v>
      </c>
      <c r="E306" s="1267">
        <v>0.15</v>
      </c>
      <c r="F306" s="1275"/>
    </row>
    <row r="307" spans="1:6">
      <c r="A307" s="1262" t="s">
        <v>308</v>
      </c>
      <c r="B307" s="1266" t="s">
        <v>1907</v>
      </c>
      <c r="C307" s="1267">
        <v>0.15</v>
      </c>
      <c r="D307" s="1267">
        <v>0.15</v>
      </c>
      <c r="E307" s="1267">
        <v>0.15</v>
      </c>
      <c r="F307" s="1268">
        <v>0.14299999999999999</v>
      </c>
    </row>
    <row r="308" spans="1:6">
      <c r="A308" s="1262" t="s">
        <v>308</v>
      </c>
      <c r="B308" s="1266" t="s">
        <v>1917</v>
      </c>
      <c r="C308" s="1267">
        <v>0.15</v>
      </c>
      <c r="D308" s="1267">
        <v>0.15</v>
      </c>
      <c r="E308" s="1267">
        <v>0.15</v>
      </c>
      <c r="F308" s="1268">
        <v>0.15</v>
      </c>
    </row>
    <row r="309" spans="1:6">
      <c r="A309" s="1262" t="s">
        <v>308</v>
      </c>
      <c r="B309" s="1266" t="s">
        <v>1927</v>
      </c>
      <c r="C309" s="1267">
        <v>0.15</v>
      </c>
      <c r="D309" s="1267">
        <v>0.15</v>
      </c>
      <c r="E309" s="1267">
        <v>0.15</v>
      </c>
      <c r="F309" s="1275"/>
    </row>
    <row r="310" spans="1:6">
      <c r="A310" s="1262" t="s">
        <v>308</v>
      </c>
      <c r="B310" s="1266" t="s">
        <v>1936</v>
      </c>
      <c r="C310" s="1267">
        <v>0.15</v>
      </c>
      <c r="D310" s="1267">
        <v>0.15</v>
      </c>
      <c r="E310" s="1267">
        <v>0.15</v>
      </c>
      <c r="F310" s="1268">
        <v>0.13700000000000001</v>
      </c>
    </row>
    <row r="311" spans="1:6">
      <c r="A311" s="1262" t="s">
        <v>308</v>
      </c>
      <c r="B311" s="1266" t="s">
        <v>1944</v>
      </c>
      <c r="C311" s="1267">
        <v>0.15</v>
      </c>
      <c r="D311" s="1267">
        <v>0.15</v>
      </c>
      <c r="E311" s="1267">
        <v>0.15</v>
      </c>
      <c r="F311" s="1268">
        <v>0.15</v>
      </c>
    </row>
    <row r="312" spans="1:6">
      <c r="A312" s="1262" t="s">
        <v>308</v>
      </c>
      <c r="B312" s="1266" t="s">
        <v>1952</v>
      </c>
      <c r="C312" s="1267">
        <v>0.15</v>
      </c>
      <c r="D312" s="1267">
        <v>0.15</v>
      </c>
      <c r="E312" s="1267">
        <v>0.15</v>
      </c>
      <c r="F312" s="1268">
        <v>0.1</v>
      </c>
    </row>
    <row r="313" spans="1:6">
      <c r="A313" s="1262" t="s">
        <v>308</v>
      </c>
      <c r="B313" s="1266" t="s">
        <v>1959</v>
      </c>
      <c r="C313" s="1267">
        <v>0.15</v>
      </c>
      <c r="D313" s="1267">
        <v>0.15</v>
      </c>
      <c r="E313" s="1267">
        <v>0.15</v>
      </c>
      <c r="F313" s="1268">
        <v>0.15</v>
      </c>
    </row>
    <row r="314" spans="1:6" ht="24">
      <c r="A314" s="1262" t="s">
        <v>308</v>
      </c>
      <c r="B314" s="1266" t="s">
        <v>1966</v>
      </c>
      <c r="C314" s="1276"/>
      <c r="D314" s="1276"/>
      <c r="E314" s="1276"/>
      <c r="F314" s="1268">
        <v>0.05</v>
      </c>
    </row>
    <row r="315" spans="1:6" ht="24">
      <c r="A315" s="1262" t="s">
        <v>308</v>
      </c>
      <c r="B315" s="1266" t="s">
        <v>1973</v>
      </c>
      <c r="C315" s="1276"/>
      <c r="D315" s="1276"/>
      <c r="E315" s="1276"/>
      <c r="F315" s="1268">
        <v>0.05</v>
      </c>
    </row>
    <row r="316" spans="1:6" ht="24">
      <c r="A316" s="1270" t="s">
        <v>308</v>
      </c>
      <c r="B316" s="1277" t="s">
        <v>1980</v>
      </c>
      <c r="C316" s="1273"/>
      <c r="D316" s="1273"/>
      <c r="E316" s="1273"/>
      <c r="F316" s="1278">
        <v>0.05</v>
      </c>
    </row>
    <row r="317" spans="1:6">
      <c r="A317" s="1262" t="s">
        <v>311</v>
      </c>
      <c r="B317" s="1263" t="s">
        <v>1735</v>
      </c>
      <c r="C317" s="1264">
        <v>0.15</v>
      </c>
      <c r="D317" s="1264">
        <v>0.15</v>
      </c>
      <c r="E317" s="1264">
        <v>0.15</v>
      </c>
      <c r="F317" s="1265">
        <v>0.15</v>
      </c>
    </row>
    <row r="318" spans="1:6">
      <c r="A318" s="1262" t="s">
        <v>311</v>
      </c>
      <c r="B318" s="1266" t="s">
        <v>1748</v>
      </c>
      <c r="C318" s="1267">
        <v>0.107</v>
      </c>
      <c r="D318" s="1267">
        <v>0.11</v>
      </c>
      <c r="E318" s="1267">
        <v>0.112</v>
      </c>
      <c r="F318" s="1275"/>
    </row>
    <row r="319" spans="1:6">
      <c r="A319" s="1262" t="s">
        <v>311</v>
      </c>
      <c r="B319" s="1266" t="s">
        <v>1761</v>
      </c>
      <c r="C319" s="1267">
        <v>0.15</v>
      </c>
      <c r="D319" s="1267">
        <v>0.15</v>
      </c>
      <c r="E319" s="1267">
        <v>0.15</v>
      </c>
      <c r="F319" s="1268">
        <v>0.15</v>
      </c>
    </row>
    <row r="320" spans="1:6">
      <c r="A320" s="1262" t="s">
        <v>311</v>
      </c>
      <c r="B320" s="1266" t="s">
        <v>1773</v>
      </c>
      <c r="C320" s="1267">
        <v>0.15</v>
      </c>
      <c r="D320" s="1267">
        <v>0.15</v>
      </c>
      <c r="E320" s="1267">
        <v>0.15</v>
      </c>
      <c r="F320" s="1275"/>
    </row>
    <row r="321" spans="1:6">
      <c r="A321" s="1262" t="s">
        <v>311</v>
      </c>
      <c r="B321" s="1266" t="s">
        <v>1785</v>
      </c>
      <c r="C321" s="1267">
        <v>0.15</v>
      </c>
      <c r="D321" s="1267">
        <v>0.15</v>
      </c>
      <c r="E321" s="1267">
        <v>0.15</v>
      </c>
      <c r="F321" s="1275"/>
    </row>
    <row r="322" spans="1:6">
      <c r="A322" s="1262" t="s">
        <v>311</v>
      </c>
      <c r="B322" s="1266" t="s">
        <v>1796</v>
      </c>
      <c r="C322" s="1267">
        <v>0.15</v>
      </c>
      <c r="D322" s="1267">
        <v>0.15</v>
      </c>
      <c r="E322" s="1267">
        <v>0.15</v>
      </c>
      <c r="F322" s="1268">
        <v>0.15</v>
      </c>
    </row>
    <row r="323" spans="1:6">
      <c r="A323" s="1262" t="s">
        <v>311</v>
      </c>
      <c r="B323" s="1266" t="s">
        <v>1807</v>
      </c>
      <c r="C323" s="1267">
        <v>0.15</v>
      </c>
      <c r="D323" s="1267">
        <v>0.15</v>
      </c>
      <c r="E323" s="1267">
        <v>0.15</v>
      </c>
      <c r="F323" s="1275"/>
    </row>
    <row r="324" spans="1:6">
      <c r="A324" s="1262" t="s">
        <v>311</v>
      </c>
      <c r="B324" s="1266" t="s">
        <v>1818</v>
      </c>
      <c r="C324" s="1267">
        <v>0.15</v>
      </c>
      <c r="D324" s="1267">
        <v>0.15</v>
      </c>
      <c r="E324" s="1267">
        <v>0.15</v>
      </c>
      <c r="F324" s="1275"/>
    </row>
    <row r="325" spans="1:6">
      <c r="A325" s="1262" t="s">
        <v>311</v>
      </c>
      <c r="B325" s="1266" t="s">
        <v>1828</v>
      </c>
      <c r="C325" s="1267">
        <v>0.15</v>
      </c>
      <c r="D325" s="1267">
        <v>0.15</v>
      </c>
      <c r="E325" s="1267">
        <v>0.15</v>
      </c>
      <c r="F325" s="1268">
        <v>0.14699999999999999</v>
      </c>
    </row>
    <row r="326" spans="1:6">
      <c r="A326" s="1262" t="s">
        <v>311</v>
      </c>
      <c r="B326" s="1266" t="s">
        <v>1838</v>
      </c>
      <c r="C326" s="1267">
        <v>0.15</v>
      </c>
      <c r="D326" s="1267">
        <v>0.15</v>
      </c>
      <c r="E326" s="1267">
        <v>0.15</v>
      </c>
      <c r="F326" s="1275"/>
    </row>
    <row r="327" spans="1:6">
      <c r="A327" s="1262" t="s">
        <v>311</v>
      </c>
      <c r="B327" s="1266" t="s">
        <v>1848</v>
      </c>
      <c r="C327" s="1267">
        <v>0.15</v>
      </c>
      <c r="D327" s="1267">
        <v>0.15</v>
      </c>
      <c r="E327" s="1267">
        <v>0.15</v>
      </c>
      <c r="F327" s="1268">
        <v>0.15</v>
      </c>
    </row>
    <row r="328" spans="1:6">
      <c r="A328" s="1262" t="s">
        <v>311</v>
      </c>
      <c r="B328" s="1266" t="s">
        <v>1858</v>
      </c>
      <c r="C328" s="1267">
        <v>0.15</v>
      </c>
      <c r="D328" s="1267">
        <v>0.15</v>
      </c>
      <c r="E328" s="1267">
        <v>0.15</v>
      </c>
      <c r="F328" s="1268">
        <v>0.14099999999999999</v>
      </c>
    </row>
    <row r="329" spans="1:6">
      <c r="A329" s="1262" t="s">
        <v>311</v>
      </c>
      <c r="B329" s="1266" t="s">
        <v>1868</v>
      </c>
      <c r="C329" s="1267">
        <v>0.15</v>
      </c>
      <c r="D329" s="1267">
        <v>0.15</v>
      </c>
      <c r="E329" s="1267">
        <v>0.15</v>
      </c>
      <c r="F329" s="1268">
        <v>0.15</v>
      </c>
    </row>
    <row r="330" spans="1:6">
      <c r="A330" s="1262" t="s">
        <v>311</v>
      </c>
      <c r="B330" s="1266" t="s">
        <v>1878</v>
      </c>
      <c r="C330" s="1267">
        <v>0.15</v>
      </c>
      <c r="D330" s="1267">
        <v>0.15</v>
      </c>
      <c r="E330" s="1267">
        <v>0.15</v>
      </c>
      <c r="F330" s="1275"/>
    </row>
    <row r="331" spans="1:6">
      <c r="A331" s="1262" t="s">
        <v>311</v>
      </c>
      <c r="B331" s="1266" t="s">
        <v>1888</v>
      </c>
      <c r="C331" s="1267">
        <v>0.15</v>
      </c>
      <c r="D331" s="1267">
        <v>0.15</v>
      </c>
      <c r="E331" s="1267">
        <v>0.15</v>
      </c>
      <c r="F331" s="1268">
        <v>0.15</v>
      </c>
    </row>
    <row r="332" spans="1:6">
      <c r="A332" s="1262" t="s">
        <v>311</v>
      </c>
      <c r="B332" s="1266" t="s">
        <v>1898</v>
      </c>
      <c r="C332" s="1267">
        <v>0.15</v>
      </c>
      <c r="D332" s="1267">
        <v>0.15</v>
      </c>
      <c r="E332" s="1267">
        <v>0.15</v>
      </c>
      <c r="F332" s="1268">
        <v>0.15</v>
      </c>
    </row>
    <row r="333" spans="1:6">
      <c r="A333" s="1262" t="s">
        <v>311</v>
      </c>
      <c r="B333" s="1266" t="s">
        <v>1908</v>
      </c>
      <c r="C333" s="1267">
        <v>0.15</v>
      </c>
      <c r="D333" s="1267">
        <v>0.15</v>
      </c>
      <c r="E333" s="1267">
        <v>0.15</v>
      </c>
      <c r="F333" s="1268">
        <v>0.14099999999999999</v>
      </c>
    </row>
    <row r="334" spans="1:6">
      <c r="A334" s="1262" t="s">
        <v>311</v>
      </c>
      <c r="B334" s="1266" t="s">
        <v>1918</v>
      </c>
      <c r="C334" s="1267">
        <v>0.15</v>
      </c>
      <c r="D334" s="1267">
        <v>0.15</v>
      </c>
      <c r="E334" s="1267">
        <v>0.15</v>
      </c>
      <c r="F334" s="1268">
        <v>0.15</v>
      </c>
    </row>
    <row r="335" spans="1:6">
      <c r="A335" s="1262" t="s">
        <v>311</v>
      </c>
      <c r="B335" s="1266" t="s">
        <v>1928</v>
      </c>
      <c r="C335" s="1267">
        <v>0.15</v>
      </c>
      <c r="D335" s="1267">
        <v>0.15</v>
      </c>
      <c r="E335" s="1267">
        <v>0.15</v>
      </c>
      <c r="F335" s="1275"/>
    </row>
    <row r="336" spans="1:6">
      <c r="A336" s="1262" t="s">
        <v>311</v>
      </c>
      <c r="B336" s="1266" t="s">
        <v>1937</v>
      </c>
      <c r="C336" s="1267">
        <v>0.15</v>
      </c>
      <c r="D336" s="1267">
        <v>0.15</v>
      </c>
      <c r="E336" s="1267">
        <v>0.15</v>
      </c>
      <c r="F336" s="1268">
        <v>0.11799999999999999</v>
      </c>
    </row>
    <row r="337" spans="1:6">
      <c r="A337" s="1270" t="s">
        <v>311</v>
      </c>
      <c r="B337" s="1277" t="s">
        <v>1945</v>
      </c>
      <c r="C337" s="1273"/>
      <c r="D337" s="1273"/>
      <c r="E337" s="1273"/>
      <c r="F337" s="1278">
        <v>0.14299999999999999</v>
      </c>
    </row>
    <row r="338" spans="1:6">
      <c r="A338" s="1262" t="s">
        <v>314</v>
      </c>
      <c r="B338" s="1263" t="s">
        <v>1736</v>
      </c>
      <c r="C338" s="1264">
        <v>0.15</v>
      </c>
      <c r="D338" s="1264">
        <v>0.15</v>
      </c>
      <c r="E338" s="1264">
        <v>0.15</v>
      </c>
      <c r="F338" s="1286"/>
    </row>
    <row r="339" spans="1:6">
      <c r="A339" s="1262" t="s">
        <v>314</v>
      </c>
      <c r="B339" s="1266" t="s">
        <v>1749</v>
      </c>
      <c r="C339" s="1267">
        <v>0.15</v>
      </c>
      <c r="D339" s="1267">
        <v>0.15</v>
      </c>
      <c r="E339" s="1267">
        <v>0.15</v>
      </c>
      <c r="F339" s="1275"/>
    </row>
    <row r="340" spans="1:6">
      <c r="A340" s="1262" t="s">
        <v>314</v>
      </c>
      <c r="B340" s="1266" t="s">
        <v>1762</v>
      </c>
      <c r="C340" s="1267">
        <v>0.15</v>
      </c>
      <c r="D340" s="1267">
        <v>0.15</v>
      </c>
      <c r="E340" s="1267">
        <v>0.15</v>
      </c>
      <c r="F340" s="1275"/>
    </row>
    <row r="341" spans="1:6">
      <c r="A341" s="1262" t="s">
        <v>314</v>
      </c>
      <c r="B341" s="1266" t="s">
        <v>1774</v>
      </c>
      <c r="C341" s="1267">
        <v>0.15</v>
      </c>
      <c r="D341" s="1267">
        <v>0.15</v>
      </c>
      <c r="E341" s="1267">
        <v>0.15</v>
      </c>
      <c r="F341" s="1268">
        <v>0.15</v>
      </c>
    </row>
    <row r="342" spans="1:6">
      <c r="A342" s="1262" t="s">
        <v>314</v>
      </c>
      <c r="B342" s="1266" t="s">
        <v>1786</v>
      </c>
      <c r="C342" s="1267">
        <v>0.15</v>
      </c>
      <c r="D342" s="1267">
        <v>0.15</v>
      </c>
      <c r="E342" s="1267">
        <v>0.15</v>
      </c>
      <c r="F342" s="1268">
        <v>0.15</v>
      </c>
    </row>
    <row r="343" spans="1:6">
      <c r="A343" s="1262" t="s">
        <v>314</v>
      </c>
      <c r="B343" s="1266" t="s">
        <v>1797</v>
      </c>
      <c r="C343" s="1267">
        <v>0.15</v>
      </c>
      <c r="D343" s="1267">
        <v>0.15</v>
      </c>
      <c r="E343" s="1267">
        <v>0.15</v>
      </c>
      <c r="F343" s="1268">
        <v>0.15</v>
      </c>
    </row>
    <row r="344" spans="1:6">
      <c r="A344" s="1270" t="s">
        <v>314</v>
      </c>
      <c r="B344" s="1277" t="s">
        <v>1808</v>
      </c>
      <c r="C344" s="1272">
        <v>0.15</v>
      </c>
      <c r="D344" s="1272">
        <v>0.15</v>
      </c>
      <c r="E344" s="1272">
        <v>0.15</v>
      </c>
      <c r="F344" s="127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23"/>
    <col min="2" max="6" width="9" style="1123" customWidth="1"/>
    <col min="7" max="7" width="9" style="1124" customWidth="1"/>
    <col min="8" max="12" width="9" style="1123" customWidth="1"/>
    <col min="13" max="13" width="2.25" style="1123" customWidth="1"/>
    <col min="14" max="14" width="9" style="1124" customWidth="1"/>
    <col min="15" max="17" width="9" style="1123" customWidth="1"/>
    <col min="18" max="18" width="2.375" style="1123" customWidth="1"/>
    <col min="19" max="19" width="7.125" style="1124" customWidth="1"/>
    <col min="20" max="22" width="7.125" style="1123" customWidth="1"/>
    <col min="23" max="23" width="24" style="1123" customWidth="1"/>
    <col min="24" max="25" width="9" style="1123"/>
    <col min="26" max="27" width="11.625" style="1123" customWidth="1"/>
    <col min="28" max="28" width="9" style="1123"/>
    <col min="29" max="29" width="2" style="1123" customWidth="1"/>
    <col min="30" max="16384" width="9" style="1123"/>
  </cols>
  <sheetData>
    <row r="1" spans="1:34" s="1114" customFormat="1">
      <c r="B1" s="3407" t="s">
        <v>2073</v>
      </c>
      <c r="C1" s="3407"/>
      <c r="D1" s="3407"/>
      <c r="E1" s="3407"/>
      <c r="F1" s="3407"/>
      <c r="G1" s="3408" t="s">
        <v>2074</v>
      </c>
      <c r="H1" s="3408"/>
      <c r="I1" s="3408"/>
      <c r="J1" s="3408"/>
      <c r="K1" s="3408"/>
      <c r="L1" s="3408"/>
      <c r="N1" s="3408" t="s">
        <v>2075</v>
      </c>
      <c r="O1" s="3408"/>
      <c r="P1" s="3408"/>
      <c r="Q1" s="3408"/>
      <c r="R1" s="1125"/>
      <c r="S1" s="3408" t="s">
        <v>2076</v>
      </c>
      <c r="T1" s="3408"/>
      <c r="U1" s="3408"/>
      <c r="V1" s="3408"/>
      <c r="X1" s="3409" t="s">
        <v>2077</v>
      </c>
      <c r="Y1" s="3408"/>
      <c r="Z1" s="3408"/>
      <c r="AA1" s="3408"/>
      <c r="AB1" s="3408"/>
      <c r="AD1" s="3409" t="s">
        <v>2078</v>
      </c>
      <c r="AE1" s="3408"/>
      <c r="AF1" s="3408"/>
      <c r="AG1" s="3408"/>
      <c r="AH1" s="3408"/>
    </row>
    <row r="2" spans="1:34" s="1115" customFormat="1" ht="13.5">
      <c r="B2" s="1126" t="s">
        <v>987</v>
      </c>
      <c r="C2" s="1126" t="s">
        <v>2079</v>
      </c>
      <c r="D2" s="1127" t="s">
        <v>371</v>
      </c>
      <c r="E2" s="1127" t="s">
        <v>369</v>
      </c>
      <c r="F2" s="1126" t="s">
        <v>2080</v>
      </c>
      <c r="G2" s="1128"/>
      <c r="H2" s="1129"/>
      <c r="I2" s="1126" t="s">
        <v>987</v>
      </c>
      <c r="J2" s="1127" t="s">
        <v>2081</v>
      </c>
      <c r="K2" s="1127" t="s">
        <v>369</v>
      </c>
      <c r="L2" s="1126" t="s">
        <v>2080</v>
      </c>
      <c r="N2" s="1126" t="s">
        <v>987</v>
      </c>
      <c r="O2" s="1127" t="s">
        <v>2081</v>
      </c>
      <c r="P2" s="1127" t="s">
        <v>369</v>
      </c>
      <c r="Q2" s="1126" t="s">
        <v>2080</v>
      </c>
      <c r="R2" s="1199"/>
      <c r="S2" s="1126" t="s">
        <v>987</v>
      </c>
      <c r="T2" s="1127" t="s">
        <v>2081</v>
      </c>
      <c r="U2" s="1127" t="s">
        <v>369</v>
      </c>
      <c r="V2" s="1126" t="s">
        <v>2080</v>
      </c>
      <c r="X2" s="1126" t="s">
        <v>987</v>
      </c>
      <c r="Y2" s="1126" t="s">
        <v>2079</v>
      </c>
      <c r="Z2" s="1127" t="s">
        <v>371</v>
      </c>
      <c r="AA2" s="1127" t="s">
        <v>369</v>
      </c>
      <c r="AB2" s="1126" t="s">
        <v>2080</v>
      </c>
      <c r="AD2" s="1126" t="s">
        <v>987</v>
      </c>
      <c r="AE2" s="1126" t="s">
        <v>2079</v>
      </c>
      <c r="AF2" s="1127" t="s">
        <v>371</v>
      </c>
      <c r="AG2" s="1127" t="s">
        <v>369</v>
      </c>
      <c r="AH2" s="1126" t="s">
        <v>2080</v>
      </c>
    </row>
    <row r="3" spans="1:34" s="1116" customFormat="1" ht="14.25">
      <c r="A3" s="1130" t="s">
        <v>2082</v>
      </c>
      <c r="B3" s="1131"/>
      <c r="C3" s="1131"/>
      <c r="D3" s="1132"/>
      <c r="E3" s="1132"/>
      <c r="F3" s="1131"/>
      <c r="G3" s="1133"/>
      <c r="H3" s="1134"/>
      <c r="I3" s="1168">
        <f>ROUND(AVERAGE($I4:$I29),2)</f>
        <v>1.9</v>
      </c>
      <c r="J3" s="1168">
        <f>ROUND(AVERAGE($J4:$J29),2)</f>
        <v>1.35</v>
      </c>
      <c r="K3" s="1168">
        <f>ROUND(AVERAGE($K4:$K29),2)</f>
        <v>2.08</v>
      </c>
      <c r="L3" s="1168">
        <f>ROUND(AVERAGE($L4:$L29),2)</f>
        <v>1.33</v>
      </c>
      <c r="N3" s="1133"/>
      <c r="O3" s="1169"/>
      <c r="P3" s="1169"/>
      <c r="Q3" s="1169"/>
      <c r="R3" s="1169"/>
      <c r="S3" s="1133"/>
      <c r="T3" s="1169"/>
      <c r="U3" s="1169"/>
      <c r="V3" s="1169"/>
      <c r="W3" s="1200"/>
      <c r="X3" s="1201">
        <f>ROUND(SUMPRODUCT(PRODUCT(1+N3:N$28)),4)</f>
        <v>1.5516000000000001</v>
      </c>
      <c r="Y3" s="1201">
        <f>ROUND(SUMPRODUCT(PRODUCT(1+O3:O$28)),4)</f>
        <v>1.3649</v>
      </c>
      <c r="Z3" s="1201">
        <f t="shared" ref="Z3:Z26" si="0">Y3</f>
        <v>1.3649</v>
      </c>
      <c r="AA3" s="1201">
        <f>ROUND(SUMPRODUCT(PRODUCT(1+P3:P$28)),4)</f>
        <v>1.6133999999999999</v>
      </c>
      <c r="AB3" s="1201">
        <f>ROUND(SUMPRODUCT(PRODUCT(1+Q3:Q$28)),4)</f>
        <v>1.3713</v>
      </c>
      <c r="AD3" s="1222">
        <f>ROUND(AVERAGE(I3:I$29)/100,4)</f>
        <v>1.9E-2</v>
      </c>
      <c r="AE3" s="1222">
        <f>ROUND(AVERAGE(J3:J$29)/100,4)</f>
        <v>1.35E-2</v>
      </c>
      <c r="AF3" s="1222">
        <f t="shared" ref="AF3:AF27" si="1">AE3</f>
        <v>1.35E-2</v>
      </c>
      <c r="AG3" s="1222">
        <f>ROUND(AVERAGE(K3:K$29)/100,4)</f>
        <v>2.0799999999999999E-2</v>
      </c>
      <c r="AH3" s="1222">
        <f>ROUND(AVERAGE(L3:L$29)/100,4)</f>
        <v>1.3299999999999999E-2</v>
      </c>
    </row>
    <row r="4" spans="1:34" s="1117" customFormat="1" ht="14.25">
      <c r="B4" s="1135"/>
      <c r="C4" s="1135"/>
      <c r="D4" s="1136"/>
      <c r="E4" s="1136"/>
      <c r="F4" s="1135"/>
      <c r="G4" s="1137"/>
      <c r="H4" s="1138"/>
      <c r="I4" s="1170"/>
      <c r="J4" s="1170"/>
      <c r="K4" s="1170"/>
      <c r="L4" s="1170"/>
      <c r="N4" s="1137"/>
      <c r="O4" s="1171"/>
      <c r="P4" s="1171"/>
      <c r="Q4" s="1171"/>
      <c r="R4" s="1171"/>
      <c r="S4" s="1137"/>
      <c r="T4" s="1171"/>
      <c r="U4" s="1171"/>
      <c r="V4" s="1171"/>
      <c r="W4" s="1202"/>
      <c r="X4" s="1203"/>
      <c r="Y4" s="1203"/>
      <c r="Z4" s="1203"/>
      <c r="AA4" s="1203"/>
      <c r="AB4" s="1203"/>
      <c r="AD4" s="1218"/>
      <c r="AE4" s="1218"/>
      <c r="AF4" s="1218"/>
      <c r="AG4" s="1218"/>
      <c r="AH4" s="1218"/>
    </row>
    <row r="5" spans="1:34" s="1118" customFormat="1">
      <c r="A5" s="1139" t="s">
        <v>2083</v>
      </c>
      <c r="B5" s="1140">
        <f t="shared" ref="B5" si="2">B6*(1+N5)</f>
        <v>477.19997390765099</v>
      </c>
      <c r="C5" s="1140">
        <f t="shared" ref="C5" si="3">C6*(1+O5)</f>
        <v>351.84874729536699</v>
      </c>
      <c r="D5" s="1140">
        <f t="shared" ref="D5" si="4">C5</f>
        <v>351.84874729536699</v>
      </c>
      <c r="E5" s="1140">
        <f t="shared" ref="E5" si="5">E6*(1+P5)</f>
        <v>682.29768951465201</v>
      </c>
      <c r="F5" s="1140">
        <f t="shared" ref="F5" si="6">F6*(1+Q5)</f>
        <v>315.26985675408997</v>
      </c>
      <c r="G5" s="1137">
        <v>2020</v>
      </c>
      <c r="H5" s="1141">
        <v>1</v>
      </c>
      <c r="I5" s="1172">
        <v>0</v>
      </c>
      <c r="J5" s="1172">
        <v>0</v>
      </c>
      <c r="K5" s="1172">
        <v>0</v>
      </c>
      <c r="L5" s="1172">
        <v>0</v>
      </c>
      <c r="N5" s="1173">
        <f t="shared" ref="N5" si="7">I5/100</f>
        <v>0</v>
      </c>
      <c r="O5" s="1173">
        <f t="shared" ref="O5" si="8">J5/100</f>
        <v>0</v>
      </c>
      <c r="P5" s="1173">
        <f t="shared" ref="P5" si="9">K5/100</f>
        <v>0</v>
      </c>
      <c r="Q5" s="1173">
        <f t="shared" ref="Q5" si="10">L5/100</f>
        <v>0</v>
      </c>
      <c r="R5" s="1204"/>
      <c r="S5" s="1205"/>
      <c r="T5" s="1204"/>
      <c r="U5" s="1204"/>
      <c r="V5" s="1204"/>
      <c r="W5" s="1206" t="s">
        <v>2084</v>
      </c>
      <c r="X5" s="1207">
        <f>ROUND(IF(项目基本情况!B8="出让",SUMPRODUCT(PRODUCT(1+N5:N$29)),SUMPRODUCT(PRODUCT(1+N5:N$28))),4)</f>
        <v>1.5516000000000001</v>
      </c>
      <c r="Y5" s="1207">
        <f>ROUND(IF(项目基本情况!B8="出让",SUMPRODUCT(PRODUCT(1+O5:O$29)),SUMPRODUCT(PRODUCT(1+O5:O$28))),4)</f>
        <v>1.3649</v>
      </c>
      <c r="Z5" s="1207">
        <f t="shared" ref="Z5" si="11">Y5</f>
        <v>1.3649</v>
      </c>
      <c r="AA5" s="1207">
        <f>ROUND(IF(项目基本情况!B8="出让",SUMPRODUCT(PRODUCT(1+P5:P$29)),SUMPRODUCT(PRODUCT(1+P5:P$28))),4)</f>
        <v>1.6133999999999999</v>
      </c>
      <c r="AB5" s="1207">
        <f>ROUND(IF(项目基本情况!B8="出让",SUMPRODUCT(PRODUCT(1+Q5:Q$29)),SUMPRODUCT(PRODUCT(1+Q5:Q$28))),4)</f>
        <v>1.3713</v>
      </c>
      <c r="AD5" s="1223">
        <f>ROUND(AVERAGE(I5:I$29)/100,4)</f>
        <v>1.9E-2</v>
      </c>
      <c r="AE5" s="1223">
        <f>ROUND(AVERAGE(J5:J$29)/100,4)</f>
        <v>1.35E-2</v>
      </c>
      <c r="AF5" s="1223">
        <f t="shared" ref="AF5" si="12">AE5</f>
        <v>1.35E-2</v>
      </c>
      <c r="AG5" s="1223">
        <f>ROUND(AVERAGE(K5:K$29)/100,4)</f>
        <v>2.0799999999999999E-2</v>
      </c>
      <c r="AH5" s="1223">
        <f>ROUND(AVERAGE(L5:L$29)/100,4)</f>
        <v>1.3299999999999999E-2</v>
      </c>
    </row>
    <row r="6" spans="1:34" s="1119" customFormat="1">
      <c r="A6" s="1142" t="s">
        <v>2085</v>
      </c>
      <c r="B6" s="1143">
        <f t="shared" ref="B6" si="13">B7*(1+N6)</f>
        <v>477.19997390765099</v>
      </c>
      <c r="C6" s="1143">
        <f t="shared" ref="C6" si="14">C7*(1+O6)</f>
        <v>351.84874729536699</v>
      </c>
      <c r="D6" s="1143">
        <f t="shared" ref="D6" si="15">C6</f>
        <v>351.84874729536699</v>
      </c>
      <c r="E6" s="1143">
        <f t="shared" ref="E6" si="16">E7*(1+P6)</f>
        <v>682.29768951465201</v>
      </c>
      <c r="F6" s="1143">
        <f t="shared" ref="F6" si="17">F7*(1+Q6)</f>
        <v>315.26985675408997</v>
      </c>
      <c r="G6" s="1137">
        <v>2019</v>
      </c>
      <c r="H6" s="1144">
        <v>4</v>
      </c>
      <c r="I6" s="1144">
        <v>0</v>
      </c>
      <c r="J6" s="1144">
        <v>0</v>
      </c>
      <c r="K6" s="1144">
        <v>0</v>
      </c>
      <c r="L6" s="1174">
        <v>0</v>
      </c>
      <c r="M6" s="1123"/>
      <c r="N6" s="1175">
        <f t="shared" ref="N6" si="18">I6/100</f>
        <v>0</v>
      </c>
      <c r="O6" s="1176">
        <f t="shared" ref="O6" si="19">J6/100</f>
        <v>0</v>
      </c>
      <c r="P6" s="1176">
        <f t="shared" ref="P6" si="20">K6/100</f>
        <v>0</v>
      </c>
      <c r="Q6" s="1176">
        <f t="shared" ref="Q6" si="21">L6/100</f>
        <v>0</v>
      </c>
      <c r="R6" s="1208"/>
      <c r="S6" s="1182"/>
      <c r="T6" s="1183"/>
      <c r="U6" s="1183"/>
      <c r="V6" s="1183"/>
      <c r="W6" s="1123"/>
      <c r="X6" s="1203">
        <f>ROUND(IF(项目基本情况!B8="出让",SUMPRODUCT(PRODUCT(1+N6:N$29)),SUMPRODUCT(PRODUCT(1+N6:N$28))),4)</f>
        <v>1.5516000000000001</v>
      </c>
      <c r="Y6" s="1203">
        <f>ROUND(IF(项目基本情况!B8="出让",SUMPRODUCT(PRODUCT(1+O6:O$29)),SUMPRODUCT(PRODUCT(1+O6:O$28))),4)</f>
        <v>1.3649</v>
      </c>
      <c r="Z6" s="1203">
        <f t="shared" ref="Z6" si="22">Y6</f>
        <v>1.3649</v>
      </c>
      <c r="AA6" s="1203">
        <f>ROUND(IF(项目基本情况!B8="出让",SUMPRODUCT(PRODUCT(1+P6:P$29)),SUMPRODUCT(PRODUCT(1+P6:P$28))),4)</f>
        <v>1.6133999999999999</v>
      </c>
      <c r="AB6" s="1203">
        <f>ROUND(IF(项目基本情况!B8="出让",SUMPRODUCT(PRODUCT(1+Q6:Q$29)),SUMPRODUCT(PRODUCT(1+Q6:Q$28))),4)</f>
        <v>1.3713</v>
      </c>
      <c r="AC6" s="1123"/>
      <c r="AD6" s="1218">
        <f>ROUND(AVERAGE(I6:I$29)/100,4)</f>
        <v>1.9800000000000002E-2</v>
      </c>
      <c r="AE6" s="1218">
        <f>ROUND(AVERAGE(J6:J$29)/100,4)</f>
        <v>1.41E-2</v>
      </c>
      <c r="AF6" s="1218">
        <f t="shared" ref="AF6" si="23">AE6</f>
        <v>1.41E-2</v>
      </c>
      <c r="AG6" s="1218">
        <f>ROUND(AVERAGE(K6:K$29)/100,4)</f>
        <v>2.1600000000000001E-2</v>
      </c>
      <c r="AH6" s="1218">
        <f>ROUND(AVERAGE(L6:L$29)/100,4)</f>
        <v>1.38E-2</v>
      </c>
    </row>
    <row r="7" spans="1:34" s="1119" customFormat="1">
      <c r="A7" s="1142" t="s">
        <v>2086</v>
      </c>
      <c r="B7" s="1143">
        <f t="shared" ref="B7" si="24">B8*(1+N7)</f>
        <v>477.19997390765099</v>
      </c>
      <c r="C7" s="1143">
        <f t="shared" ref="C7" si="25">C8*(1+O7)</f>
        <v>351.84874729536699</v>
      </c>
      <c r="D7" s="1143">
        <f t="shared" ref="D7" si="26">C7</f>
        <v>351.84874729536699</v>
      </c>
      <c r="E7" s="1143">
        <f t="shared" ref="E7" si="27">E8*(1+P7)</f>
        <v>682.29768951465201</v>
      </c>
      <c r="F7" s="1143">
        <f t="shared" ref="F7" si="28">F8*(1+Q7)</f>
        <v>315.26985675408997</v>
      </c>
      <c r="G7" s="1137">
        <v>2019</v>
      </c>
      <c r="H7" s="1144">
        <v>3</v>
      </c>
      <c r="I7" s="1144">
        <v>0.61</v>
      </c>
      <c r="J7" s="1144">
        <v>0.67</v>
      </c>
      <c r="K7" s="1144">
        <v>0.6</v>
      </c>
      <c r="L7" s="1174">
        <v>1.03</v>
      </c>
      <c r="M7" s="1123"/>
      <c r="N7" s="1175">
        <f t="shared" ref="N7" si="29">I7/100</f>
        <v>6.1000000000000004E-3</v>
      </c>
      <c r="O7" s="1176">
        <f t="shared" ref="O7" si="30">J7/100</f>
        <v>6.7000000000000002E-3</v>
      </c>
      <c r="P7" s="1176">
        <f t="shared" ref="P7" si="31">K7/100</f>
        <v>6.0000000000000001E-3</v>
      </c>
      <c r="Q7" s="1176">
        <f t="shared" ref="Q7" si="32">L7/100</f>
        <v>1.03E-2</v>
      </c>
      <c r="R7" s="1208"/>
      <c r="S7" s="1182"/>
      <c r="T7" s="1183"/>
      <c r="U7" s="1183"/>
      <c r="V7" s="1183"/>
      <c r="W7" s="1123"/>
      <c r="X7" s="1203">
        <f>ROUND(IF(项目基本情况!B8="出让",SUMPRODUCT(PRODUCT(1+N7:N$29)),SUMPRODUCT(PRODUCT(1+N7:N$28))),4)</f>
        <v>1.5516000000000001</v>
      </c>
      <c r="Y7" s="1203">
        <f>ROUND(IF(项目基本情况!B8="出让",SUMPRODUCT(PRODUCT(1+O7:O$29)),SUMPRODUCT(PRODUCT(1+O7:O$28))),4)</f>
        <v>1.3649</v>
      </c>
      <c r="Z7" s="1203">
        <f t="shared" ref="Z7" si="33">Y7</f>
        <v>1.3649</v>
      </c>
      <c r="AA7" s="1203">
        <f>ROUND(IF(项目基本情况!B8="出让",SUMPRODUCT(PRODUCT(1+P7:P$29)),SUMPRODUCT(PRODUCT(1+P7:P$28))),4)</f>
        <v>1.6133999999999999</v>
      </c>
      <c r="AB7" s="1203">
        <f>ROUND(IF(项目基本情况!B8="出让",SUMPRODUCT(PRODUCT(1+Q7:Q$29)),SUMPRODUCT(PRODUCT(1+Q7:Q$28))),4)</f>
        <v>1.3713</v>
      </c>
      <c r="AC7" s="1123"/>
      <c r="AD7" s="1218">
        <f>ROUND(AVERAGE(I7:I$29)/100,4)</f>
        <v>2.07E-2</v>
      </c>
      <c r="AE7" s="1218">
        <f>ROUND(AVERAGE(J7:J$29)/100,4)</f>
        <v>1.47E-2</v>
      </c>
      <c r="AF7" s="1218">
        <f t="shared" ref="AF7" si="34">AE7</f>
        <v>1.47E-2</v>
      </c>
      <c r="AG7" s="1218">
        <f>ROUND(AVERAGE(K7:K$29)/100,4)</f>
        <v>2.2599999999999999E-2</v>
      </c>
      <c r="AH7" s="1218">
        <f>ROUND(AVERAGE(L7:L$29)/100,4)</f>
        <v>1.44E-2</v>
      </c>
    </row>
    <row r="8" spans="1:34" s="1119" customFormat="1">
      <c r="A8" s="1142" t="s">
        <v>2087</v>
      </c>
      <c r="B8" s="1143">
        <f t="shared" ref="B8:B13" si="35">B9*(1+N8)</f>
        <v>474.30670301923402</v>
      </c>
      <c r="C8" s="1143">
        <f t="shared" ref="C8" si="36">C9*(1+O8)</f>
        <v>349.50705005996502</v>
      </c>
      <c r="D8" s="1143">
        <f t="shared" ref="D8" si="37">C8</f>
        <v>349.50705005996502</v>
      </c>
      <c r="E8" s="1143">
        <f t="shared" ref="E8" si="38">E9*(1+P8)</f>
        <v>678.22831959707003</v>
      </c>
      <c r="F8" s="1143">
        <f t="shared" ref="F8" si="39">F9*(1+Q8)</f>
        <v>312.05568321695603</v>
      </c>
      <c r="G8" s="1137">
        <v>2019</v>
      </c>
      <c r="H8" s="1145">
        <v>2</v>
      </c>
      <c r="I8" s="1145">
        <v>1.53</v>
      </c>
      <c r="J8" s="1145">
        <v>1.01</v>
      </c>
      <c r="K8" s="1145">
        <v>1.62</v>
      </c>
      <c r="L8" s="1177">
        <v>1.25</v>
      </c>
      <c r="M8" s="1123"/>
      <c r="N8" s="1175">
        <f t="shared" ref="N8" si="40">I8/100</f>
        <v>1.5299999999999999E-2</v>
      </c>
      <c r="O8" s="1176">
        <f t="shared" ref="O8" si="41">J8/100</f>
        <v>1.01E-2</v>
      </c>
      <c r="P8" s="1176">
        <f t="shared" ref="P8" si="42">K8/100</f>
        <v>1.6199999999999999E-2</v>
      </c>
      <c r="Q8" s="1176">
        <f t="shared" ref="Q8" si="43">L8/100</f>
        <v>1.2500000000000001E-2</v>
      </c>
      <c r="R8" s="1208"/>
      <c r="S8" s="1182"/>
      <c r="T8" s="1183"/>
      <c r="U8" s="1183"/>
      <c r="V8" s="1183"/>
      <c r="W8" s="1123"/>
      <c r="X8" s="1203">
        <f>ROUND(IF(项目基本情况!B8="出让",SUMPRODUCT(PRODUCT(1+N8:N$29)),SUMPRODUCT(PRODUCT(1+N8:N$28))),4)</f>
        <v>1.5422</v>
      </c>
      <c r="Y8" s="1203">
        <f>ROUND(IF(项目基本情况!B8="出让",SUMPRODUCT(PRODUCT(1+O8:O$29)),SUMPRODUCT(PRODUCT(1+O8:O$28))),4)</f>
        <v>1.3557999999999999</v>
      </c>
      <c r="Z8" s="1203">
        <f t="shared" ref="Z8" si="44">Y8</f>
        <v>1.3557999999999999</v>
      </c>
      <c r="AA8" s="1203">
        <f>ROUND(IF(项目基本情况!B8="出让",SUMPRODUCT(PRODUCT(1+P8:P$29)),SUMPRODUCT(PRODUCT(1+P8:P$28))),4)</f>
        <v>1.6036999999999999</v>
      </c>
      <c r="AB8" s="1203">
        <f>ROUND(IF(项目基本情况!B8="出让",SUMPRODUCT(PRODUCT(1+Q8:Q$29)),SUMPRODUCT(PRODUCT(1+Q8:Q$28))),4)</f>
        <v>1.3573</v>
      </c>
      <c r="AC8" s="1123"/>
      <c r="AD8" s="1218">
        <f>ROUND(AVERAGE(I8:I$29)/100,4)</f>
        <v>2.1299999999999999E-2</v>
      </c>
      <c r="AE8" s="1218">
        <f>ROUND(AVERAGE(J8:J$29)/100,4)</f>
        <v>1.4999999999999999E-2</v>
      </c>
      <c r="AF8" s="1218">
        <f t="shared" ref="AF8" si="45">AE8</f>
        <v>1.4999999999999999E-2</v>
      </c>
      <c r="AG8" s="1218">
        <f>ROUND(AVERAGE(K8:K$29)/100,4)</f>
        <v>2.3300000000000001E-2</v>
      </c>
      <c r="AH8" s="1218">
        <f>ROUND(AVERAGE(L8:L$29)/100,4)</f>
        <v>1.46E-2</v>
      </c>
    </row>
    <row r="9" spans="1:34" s="1119" customFormat="1">
      <c r="A9" s="1142" t="s">
        <v>2088</v>
      </c>
      <c r="B9" s="1143">
        <f t="shared" si="35"/>
        <v>467.159167752619</v>
      </c>
      <c r="C9" s="1143">
        <f t="shared" ref="C9" si="46">C10*(1+O9)</f>
        <v>346.01232557169101</v>
      </c>
      <c r="D9" s="1143">
        <f t="shared" ref="D9" si="47">C9</f>
        <v>346.01232557169101</v>
      </c>
      <c r="E9" s="1143">
        <f t="shared" ref="E9" si="48">E10*(1+P9)</f>
        <v>667.41617752122602</v>
      </c>
      <c r="F9" s="1143">
        <f t="shared" ref="F9" si="49">F10*(1+Q9)</f>
        <v>308.20314391798098</v>
      </c>
      <c r="G9" s="1137">
        <v>2019</v>
      </c>
      <c r="H9" s="1144">
        <v>1</v>
      </c>
      <c r="I9" s="1144">
        <v>0.6</v>
      </c>
      <c r="J9" s="1144">
        <v>0.37</v>
      </c>
      <c r="K9" s="1144">
        <v>0.63</v>
      </c>
      <c r="L9" s="1174">
        <v>1.1299999999999999</v>
      </c>
      <c r="M9" s="1123"/>
      <c r="N9" s="1175">
        <f t="shared" ref="N9" si="50">I9/100</f>
        <v>6.0000000000000001E-3</v>
      </c>
      <c r="O9" s="1176">
        <f t="shared" ref="O9" si="51">J9/100</f>
        <v>3.7000000000000002E-3</v>
      </c>
      <c r="P9" s="1176">
        <f t="shared" ref="P9" si="52">K9/100</f>
        <v>6.3E-3</v>
      </c>
      <c r="Q9" s="1176">
        <f t="shared" ref="Q9" si="53">L9/100</f>
        <v>1.1299999999999999E-2</v>
      </c>
      <c r="R9" s="1208"/>
      <c r="S9" s="1182">
        <f>B9/B10-1</f>
        <v>6.0000000000000097E-3</v>
      </c>
      <c r="T9" s="1183">
        <f>C9/C10-1</f>
        <v>3.7000000000000401E-3</v>
      </c>
      <c r="U9" s="1183">
        <f>E9/E10-1</f>
        <v>6.2999999999999697E-3</v>
      </c>
      <c r="V9" s="1183">
        <f>F9/F10-1</f>
        <v>1.13000000000001E-2</v>
      </c>
      <c r="W9" s="1123"/>
      <c r="X9" s="1203">
        <f>ROUND(IF(项目基本情况!B8="出让",SUMPRODUCT(PRODUCT(1+N9:N$29)),SUMPRODUCT(PRODUCT(1+N9:N$28))),4)</f>
        <v>1.5189999999999999</v>
      </c>
      <c r="Y9" s="1203">
        <f>ROUND(IF(项目基本情况!B8="出让",SUMPRODUCT(PRODUCT(1+O9:O$29)),SUMPRODUCT(PRODUCT(1+O9:O$28))),4)</f>
        <v>1.3423</v>
      </c>
      <c r="Z9" s="1203">
        <f t="shared" ref="Z9" si="54">Y9</f>
        <v>1.3423</v>
      </c>
      <c r="AA9" s="1203">
        <f>ROUND(IF(项目基本情况!B8="出让",SUMPRODUCT(PRODUCT(1+P9:P$29)),SUMPRODUCT(PRODUCT(1+P9:P$28))),4)</f>
        <v>1.5782</v>
      </c>
      <c r="AB9" s="1203">
        <f>ROUND(IF(项目基本情况!B8="出让",SUMPRODUCT(PRODUCT(1+Q9:Q$29)),SUMPRODUCT(PRODUCT(1+Q9:Q$28))),4)</f>
        <v>1.3405</v>
      </c>
      <c r="AC9" s="1123"/>
      <c r="AD9" s="1218">
        <f>ROUND(AVERAGE(I9:I$29)/100,4)</f>
        <v>2.1600000000000001E-2</v>
      </c>
      <c r="AE9" s="1218">
        <f>ROUND(AVERAGE(J9:J$29)/100,4)</f>
        <v>1.5299999999999999E-2</v>
      </c>
      <c r="AF9" s="1218">
        <f t="shared" ref="AF9" si="55">AE9</f>
        <v>1.5299999999999999E-2</v>
      </c>
      <c r="AG9" s="1218">
        <f>ROUND(AVERAGE(K9:K$29)/100,4)</f>
        <v>2.3699999999999999E-2</v>
      </c>
      <c r="AH9" s="1218">
        <f>ROUND(AVERAGE(L9:L$29)/100,4)</f>
        <v>1.47E-2</v>
      </c>
    </row>
    <row r="10" spans="1:34" s="1119" customFormat="1">
      <c r="A10" s="1142" t="s">
        <v>2089</v>
      </c>
      <c r="B10" s="1146">
        <f t="shared" si="35"/>
        <v>464.37293017158902</v>
      </c>
      <c r="C10" s="1146">
        <f t="shared" ref="C10" si="56">C11*(1+O10)</f>
        <v>344.73679941386001</v>
      </c>
      <c r="D10" s="1146">
        <f t="shared" ref="D10" si="57">C10</f>
        <v>344.73679941386001</v>
      </c>
      <c r="E10" s="1146">
        <f t="shared" ref="E10" si="58">E11*(1+P10)</f>
        <v>663.23777951031104</v>
      </c>
      <c r="F10" s="1147">
        <f t="shared" ref="F10" si="59">F11*(1+Q10)</f>
        <v>304.75936311478398</v>
      </c>
      <c r="G10" s="3410">
        <v>2018</v>
      </c>
      <c r="H10" s="1145">
        <v>4</v>
      </c>
      <c r="I10" s="1145">
        <v>0.96</v>
      </c>
      <c r="J10" s="1145">
        <v>1.03</v>
      </c>
      <c r="K10" s="1145">
        <v>0.92</v>
      </c>
      <c r="L10" s="1177">
        <v>1.29</v>
      </c>
      <c r="M10" s="1123"/>
      <c r="N10" s="1175">
        <f t="shared" ref="N10" si="60">I10/100</f>
        <v>9.5999999999999992E-3</v>
      </c>
      <c r="O10" s="1176">
        <f t="shared" ref="O10" si="61">J10/100</f>
        <v>1.03E-2</v>
      </c>
      <c r="P10" s="1176">
        <f t="shared" ref="P10" si="62">K10/100</f>
        <v>9.1999999999999998E-3</v>
      </c>
      <c r="Q10" s="1176">
        <f t="shared" ref="Q10" si="63">L10/100</f>
        <v>1.29E-2</v>
      </c>
      <c r="R10" s="1208"/>
      <c r="S10" s="1209"/>
      <c r="T10" s="1210"/>
      <c r="U10" s="1210"/>
      <c r="V10" s="1210"/>
      <c r="W10" s="1123"/>
      <c r="X10" s="1203">
        <f>ROUND(SUMPRODUCT(PRODUCT(1+N10:N$28)),4)</f>
        <v>1.5099</v>
      </c>
      <c r="Y10" s="1203">
        <f>ROUND(SUMPRODUCT(PRODUCT(1+O10:O$28)),4)</f>
        <v>1.3372999999999999</v>
      </c>
      <c r="Z10" s="1203">
        <f t="shared" ref="Z10" si="64">Y10</f>
        <v>1.3372999999999999</v>
      </c>
      <c r="AA10" s="1203">
        <f>ROUND(SUMPRODUCT(PRODUCT(1+P10:P$28)),4)</f>
        <v>1.5683</v>
      </c>
      <c r="AB10" s="1203">
        <f>ROUND(SUMPRODUCT(PRODUCT(1+Q10:Q$28)),4)</f>
        <v>1.3255999999999999</v>
      </c>
      <c r="AC10" s="1123"/>
      <c r="AD10" s="1218">
        <f>ROUND(AVERAGE(I10:I$29)/100,4)</f>
        <v>2.24E-2</v>
      </c>
      <c r="AE10" s="1218">
        <f>ROUND(AVERAGE(J10:J$29)/100,4)</f>
        <v>1.5800000000000002E-2</v>
      </c>
      <c r="AF10" s="1218">
        <f t="shared" ref="AF10" si="65">AE10</f>
        <v>1.5800000000000002E-2</v>
      </c>
      <c r="AG10" s="1218">
        <f>ROUND(AVERAGE(K10:K$29)/100,4)</f>
        <v>2.4500000000000001E-2</v>
      </c>
      <c r="AH10" s="1218">
        <f>ROUND(AVERAGE(L10:L$29)/100,4)</f>
        <v>1.49E-2</v>
      </c>
    </row>
    <row r="11" spans="1:34" s="1119" customFormat="1" ht="14.45" customHeight="1">
      <c r="A11" s="1142" t="s">
        <v>2090</v>
      </c>
      <c r="B11" s="1143">
        <f t="shared" si="35"/>
        <v>459.95733971036998</v>
      </c>
      <c r="C11" s="1143">
        <f t="shared" ref="C11" si="66">C12*(1+O11)</f>
        <v>341.22221064422399</v>
      </c>
      <c r="D11" s="1143">
        <f t="shared" ref="D11" si="67">C11</f>
        <v>341.22221064422399</v>
      </c>
      <c r="E11" s="1143">
        <f t="shared" ref="E11" si="68">E12*(1+P11)</f>
        <v>657.19161663724799</v>
      </c>
      <c r="F11" s="1143">
        <f t="shared" ref="F11" si="69">F12*(1+Q11)</f>
        <v>300.87803644464799</v>
      </c>
      <c r="G11" s="3410"/>
      <c r="H11" s="1144">
        <v>3</v>
      </c>
      <c r="I11" s="1144">
        <v>1.51</v>
      </c>
      <c r="J11" s="1144">
        <v>1.41</v>
      </c>
      <c r="K11" s="1144">
        <v>1.52</v>
      </c>
      <c r="L11" s="1174">
        <v>1.74</v>
      </c>
      <c r="M11" s="1123"/>
      <c r="N11" s="1175">
        <f t="shared" ref="N11" si="70">I11/100</f>
        <v>1.5100000000000001E-2</v>
      </c>
      <c r="O11" s="1176">
        <f t="shared" ref="O11" si="71">J11/100</f>
        <v>1.41E-2</v>
      </c>
      <c r="P11" s="1176">
        <f t="shared" ref="P11" si="72">K11/100</f>
        <v>1.52E-2</v>
      </c>
      <c r="Q11" s="1176">
        <f t="shared" ref="Q11" si="73">L11/100</f>
        <v>1.7399999999999999E-2</v>
      </c>
      <c r="R11" s="1208"/>
      <c r="S11" s="1175"/>
      <c r="T11" s="1176"/>
      <c r="U11" s="1176"/>
      <c r="V11" s="1176"/>
      <c r="W11" s="1123"/>
      <c r="X11" s="1203">
        <f>ROUND(SUMPRODUCT(PRODUCT(1+N11:N$28)),4)</f>
        <v>1.4956</v>
      </c>
      <c r="Y11" s="1203">
        <f>ROUND(SUMPRODUCT(PRODUCT(1+O11:O$28)),4)</f>
        <v>1.3237000000000001</v>
      </c>
      <c r="Z11" s="1203">
        <f t="shared" ref="Z11" si="74">Y11</f>
        <v>1.3237000000000001</v>
      </c>
      <c r="AA11" s="1203">
        <f>ROUND(SUMPRODUCT(PRODUCT(1+P11:P$28)),4)</f>
        <v>1.554</v>
      </c>
      <c r="AB11" s="1203">
        <f>ROUND(SUMPRODUCT(PRODUCT(1+Q11:Q$28)),4)</f>
        <v>1.3087</v>
      </c>
      <c r="AC11" s="1123"/>
      <c r="AD11" s="1218">
        <f>ROUND(AVERAGE(I11:I$29)/100,4)</f>
        <v>2.3099999999999999E-2</v>
      </c>
      <c r="AE11" s="1218">
        <f>ROUND(AVERAGE(J11:J$29)/100,4)</f>
        <v>1.61E-2</v>
      </c>
      <c r="AF11" s="1218">
        <f t="shared" ref="AF11" si="75">AE11</f>
        <v>1.61E-2</v>
      </c>
      <c r="AG11" s="1218">
        <f>ROUND(AVERAGE(K11:K$29)/100,4)</f>
        <v>2.53E-2</v>
      </c>
      <c r="AH11" s="1218">
        <f>ROUND(AVERAGE(L11:L$29)/100,4)</f>
        <v>1.4999999999999999E-2</v>
      </c>
    </row>
    <row r="12" spans="1:34" s="1119" customFormat="1" ht="14.45" customHeight="1">
      <c r="A12" s="1142" t="s">
        <v>2091</v>
      </c>
      <c r="B12" s="1143">
        <f t="shared" si="35"/>
        <v>453.11529869999998</v>
      </c>
      <c r="C12" s="1143">
        <f t="shared" ref="C12" si="76">C13*(1+O12)</f>
        <v>336.47787263999999</v>
      </c>
      <c r="D12" s="1143">
        <f t="shared" ref="D12" si="77">C12</f>
        <v>336.47787263999999</v>
      </c>
      <c r="E12" s="1143">
        <f t="shared" ref="E12" si="78">E13*(1+P12)</f>
        <v>647.35186824000004</v>
      </c>
      <c r="F12" s="1143">
        <f t="shared" ref="F12" si="79">F13*(1+Q12)</f>
        <v>295.73229451999998</v>
      </c>
      <c r="G12" s="3410"/>
      <c r="H12" s="1148">
        <v>2</v>
      </c>
      <c r="I12" s="1148">
        <v>1.49</v>
      </c>
      <c r="J12" s="1148">
        <v>0.96</v>
      </c>
      <c r="K12" s="1148">
        <v>1.58</v>
      </c>
      <c r="L12" s="1178">
        <v>2.44</v>
      </c>
      <c r="M12" s="1123"/>
      <c r="N12" s="1175">
        <f t="shared" ref="N12" si="80">I12/100</f>
        <v>1.49E-2</v>
      </c>
      <c r="O12" s="1176">
        <f t="shared" ref="O12" si="81">J12/100</f>
        <v>9.5999999999999992E-3</v>
      </c>
      <c r="P12" s="1176">
        <f t="shared" ref="P12" si="82">K12/100</f>
        <v>1.5800000000000002E-2</v>
      </c>
      <c r="Q12" s="1176">
        <f t="shared" ref="Q12" si="83">L12/100</f>
        <v>2.4400000000000002E-2</v>
      </c>
      <c r="R12" s="1208"/>
      <c r="S12" s="1175"/>
      <c r="T12" s="1176"/>
      <c r="U12" s="1176"/>
      <c r="V12" s="1176"/>
      <c r="W12" s="1123"/>
      <c r="X12" s="1203">
        <f>ROUND(SUMPRODUCT(PRODUCT(1+N12:N$28)),4)</f>
        <v>1.4733000000000001</v>
      </c>
      <c r="Y12" s="1203">
        <f>ROUND(SUMPRODUCT(PRODUCT(1+O12:O$28)),4)</f>
        <v>1.3052999999999999</v>
      </c>
      <c r="Z12" s="1203">
        <f t="shared" ref="Z12" si="84">Y12</f>
        <v>1.3052999999999999</v>
      </c>
      <c r="AA12" s="1203">
        <f>ROUND(SUMPRODUCT(PRODUCT(1+P12:P$28)),4)</f>
        <v>1.5306999999999999</v>
      </c>
      <c r="AB12" s="1203">
        <f>ROUND(SUMPRODUCT(PRODUCT(1+Q12:Q$28)),4)</f>
        <v>1.2863</v>
      </c>
      <c r="AC12" s="1123"/>
      <c r="AD12" s="1218">
        <f>ROUND(AVERAGE(I12:I$29)/100,4)</f>
        <v>2.35E-2</v>
      </c>
      <c r="AE12" s="1218">
        <f>ROUND(AVERAGE(J12:J$29)/100,4)</f>
        <v>1.6199999999999999E-2</v>
      </c>
      <c r="AF12" s="1218">
        <f t="shared" ref="AF12" si="85">AE12</f>
        <v>1.6199999999999999E-2</v>
      </c>
      <c r="AG12" s="1218">
        <f>ROUND(AVERAGE(K12:K$29)/100,4)</f>
        <v>2.5899999999999999E-2</v>
      </c>
      <c r="AH12" s="1218">
        <f>ROUND(AVERAGE(L12:L$29)/100,4)</f>
        <v>1.49E-2</v>
      </c>
    </row>
    <row r="13" spans="1:34" s="1119" customFormat="1" ht="15" customHeight="1">
      <c r="A13" s="1142" t="s">
        <v>2092</v>
      </c>
      <c r="B13" s="1143">
        <f t="shared" si="35"/>
        <v>446.46300000000002</v>
      </c>
      <c r="C13" s="1143">
        <f t="shared" ref="C13" si="86">C14*(1+O13)</f>
        <v>333.27839999999998</v>
      </c>
      <c r="D13" s="1143">
        <f t="shared" ref="D13:D18" si="87">C13</f>
        <v>333.27839999999998</v>
      </c>
      <c r="E13" s="1143">
        <f t="shared" ref="E13" si="88">E14*(1+P13)</f>
        <v>637.28279999999995</v>
      </c>
      <c r="F13" s="1143">
        <f t="shared" ref="F13" si="89">F14*(1+Q13)</f>
        <v>288.68830000000003</v>
      </c>
      <c r="G13" s="3411"/>
      <c r="H13" s="1144">
        <v>1</v>
      </c>
      <c r="I13" s="1144">
        <v>1.7</v>
      </c>
      <c r="J13" s="1144">
        <v>1.92</v>
      </c>
      <c r="K13" s="1144">
        <v>1.64</v>
      </c>
      <c r="L13" s="1174">
        <v>2.0099999999999998</v>
      </c>
      <c r="M13" s="1123"/>
      <c r="N13" s="1175">
        <f t="shared" ref="N13:N18" si="90">I13/100</f>
        <v>1.7000000000000001E-2</v>
      </c>
      <c r="O13" s="1176">
        <f t="shared" ref="O13" si="91">J13/100</f>
        <v>1.9199999999999998E-2</v>
      </c>
      <c r="P13" s="1176">
        <f t="shared" ref="P13" si="92">K13/100</f>
        <v>1.6400000000000001E-2</v>
      </c>
      <c r="Q13" s="1176">
        <f t="shared" ref="Q13" si="93">L13/100</f>
        <v>2.01E-2</v>
      </c>
      <c r="R13" s="1208"/>
      <c r="S13" s="1182">
        <f>B13/B14-1</f>
        <v>1.6999999999999901E-2</v>
      </c>
      <c r="T13" s="1183">
        <f>C13/C14-1</f>
        <v>1.9200000000000099E-2</v>
      </c>
      <c r="U13" s="1183">
        <f>E13/E14-1</f>
        <v>1.6400000000000001E-2</v>
      </c>
      <c r="V13" s="1183">
        <f>F13/F14-1</f>
        <v>2.01E-2</v>
      </c>
      <c r="W13" s="1123"/>
      <c r="X13" s="1203">
        <f>ROUND(SUMPRODUCT(PRODUCT(1+N13:N$28)),4)</f>
        <v>1.4517</v>
      </c>
      <c r="Y13" s="1203">
        <f>ROUND(SUMPRODUCT(PRODUCT(1+O13:O$28)),4)</f>
        <v>1.2928999999999999</v>
      </c>
      <c r="Z13" s="1203">
        <f t="shared" ref="Z13" si="94">Y13</f>
        <v>1.2928999999999999</v>
      </c>
      <c r="AA13" s="1203">
        <f>ROUND(SUMPRODUCT(PRODUCT(1+P13:P$28)),4)</f>
        <v>1.5068999999999999</v>
      </c>
      <c r="AB13" s="1203">
        <f>ROUND(SUMPRODUCT(PRODUCT(1+Q13:Q$28)),4)</f>
        <v>1.2557</v>
      </c>
      <c r="AC13" s="1123"/>
      <c r="AD13" s="1218">
        <f>ROUND(AVERAGE(I13:I$29)/100,4)</f>
        <v>2.4E-2</v>
      </c>
      <c r="AE13" s="1218">
        <f>ROUND(AVERAGE(J13:J$29)/100,4)</f>
        <v>1.66E-2</v>
      </c>
      <c r="AF13" s="1218">
        <f t="shared" ref="AF13" si="95">AE13</f>
        <v>1.66E-2</v>
      </c>
      <c r="AG13" s="1218">
        <f>ROUND(AVERAGE(K13:K$29)/100,4)</f>
        <v>2.6499999999999999E-2</v>
      </c>
      <c r="AH13" s="1218">
        <f>ROUND(AVERAGE(L13:L$29)/100,4)</f>
        <v>1.43E-2</v>
      </c>
    </row>
    <row r="14" spans="1:34">
      <c r="A14" s="1142" t="s">
        <v>2093</v>
      </c>
      <c r="B14" s="1149">
        <v>439</v>
      </c>
      <c r="C14" s="1149">
        <v>327</v>
      </c>
      <c r="D14" s="1149">
        <f t="shared" si="87"/>
        <v>327</v>
      </c>
      <c r="E14" s="1149">
        <v>627</v>
      </c>
      <c r="F14" s="1150">
        <v>283</v>
      </c>
      <c r="G14" s="3412">
        <v>2017</v>
      </c>
      <c r="H14" s="1145">
        <v>4</v>
      </c>
      <c r="I14" s="1145">
        <v>1.71</v>
      </c>
      <c r="J14" s="1145">
        <v>1.78</v>
      </c>
      <c r="K14" s="1145">
        <v>1.71</v>
      </c>
      <c r="L14" s="1177">
        <v>1.43</v>
      </c>
      <c r="N14" s="1179">
        <f t="shared" si="90"/>
        <v>1.7100000000000001E-2</v>
      </c>
      <c r="O14" s="1180">
        <f t="shared" ref="O14" si="96">J14/100</f>
        <v>1.78E-2</v>
      </c>
      <c r="P14" s="1180">
        <f t="shared" ref="P14" si="97">K14/100</f>
        <v>1.7100000000000001E-2</v>
      </c>
      <c r="Q14" s="1180">
        <f t="shared" ref="Q14" si="98">L14/100</f>
        <v>1.43E-2</v>
      </c>
      <c r="R14" s="1208"/>
      <c r="S14" s="1209"/>
      <c r="T14" s="1210"/>
      <c r="U14" s="1210"/>
      <c r="V14" s="1210"/>
      <c r="X14" s="1203">
        <f>ROUND(SUMPRODUCT(PRODUCT(1+N14:N$28)),4)</f>
        <v>1.4274</v>
      </c>
      <c r="Y14" s="1203">
        <f>ROUND(SUMPRODUCT(PRODUCT(1+O14:O$28)),4)</f>
        <v>1.2685</v>
      </c>
      <c r="Z14" s="1203">
        <f t="shared" si="0"/>
        <v>1.2685</v>
      </c>
      <c r="AA14" s="1203">
        <f>ROUND(SUMPRODUCT(PRODUCT(1+P14:P$28)),4)</f>
        <v>1.4825999999999999</v>
      </c>
      <c r="AB14" s="1203">
        <f>ROUND(SUMPRODUCT(PRODUCT(1+Q14:Q$28)),4)</f>
        <v>1.2309000000000001</v>
      </c>
      <c r="AD14" s="1218">
        <f>ROUND(AVERAGE(I14:I$29)/100,4)</f>
        <v>2.4500000000000001E-2</v>
      </c>
      <c r="AE14" s="1218">
        <f>ROUND(AVERAGE(J14:J$29)/100,4)</f>
        <v>1.6500000000000001E-2</v>
      </c>
      <c r="AF14" s="1218">
        <f t="shared" si="1"/>
        <v>1.6500000000000001E-2</v>
      </c>
      <c r="AG14" s="1218">
        <f>ROUND(AVERAGE(K14:K$29)/100,4)</f>
        <v>2.7099999999999999E-2</v>
      </c>
      <c r="AH14" s="1218">
        <f>ROUND(AVERAGE(L14:L$29)/100,4)</f>
        <v>1.3899999999999999E-2</v>
      </c>
    </row>
    <row r="15" spans="1:34" s="1119" customFormat="1" ht="14.45" customHeight="1">
      <c r="A15" s="1142" t="s">
        <v>2094</v>
      </c>
      <c r="B15" s="1143">
        <f t="shared" ref="B15:C17" si="99">B16*(1+N15)</f>
        <v>431.80730811680002</v>
      </c>
      <c r="C15" s="1143">
        <f t="shared" si="99"/>
        <v>320.57880516479997</v>
      </c>
      <c r="D15" s="1143">
        <f t="shared" si="87"/>
        <v>320.57880516479997</v>
      </c>
      <c r="E15" s="1143">
        <f t="shared" ref="E15:F17" si="100">E16*(1+P15)</f>
        <v>615.96110553196797</v>
      </c>
      <c r="F15" s="1143">
        <f t="shared" si="100"/>
        <v>279.46777300108801</v>
      </c>
      <c r="G15" s="3410"/>
      <c r="H15" s="1144">
        <v>3</v>
      </c>
      <c r="I15" s="1144">
        <v>2.98</v>
      </c>
      <c r="J15" s="1144">
        <v>2.11</v>
      </c>
      <c r="K15" s="1144">
        <v>3.24</v>
      </c>
      <c r="L15" s="1174">
        <v>1.72</v>
      </c>
      <c r="M15" s="1123"/>
      <c r="N15" s="1175">
        <f t="shared" si="90"/>
        <v>2.98E-2</v>
      </c>
      <c r="O15" s="1181">
        <f t="shared" ref="O15:O16" si="101">J15/100</f>
        <v>2.1100000000000001E-2</v>
      </c>
      <c r="P15" s="1181">
        <f t="shared" ref="P15:P16" si="102">K15/100</f>
        <v>3.2399999999999998E-2</v>
      </c>
      <c r="Q15" s="1181">
        <f t="shared" ref="Q15:Q16" si="103">L15/100</f>
        <v>1.72E-2</v>
      </c>
      <c r="R15" s="1208"/>
      <c r="S15" s="1175"/>
      <c r="T15" s="1176"/>
      <c r="U15" s="1176"/>
      <c r="V15" s="1176"/>
      <c r="W15" s="1123"/>
      <c r="X15" s="1203">
        <f>ROUND(SUMPRODUCT(PRODUCT(1+N15:N$28)),4)</f>
        <v>1.4034</v>
      </c>
      <c r="Y15" s="1203">
        <f>ROUND(SUMPRODUCT(PRODUCT(1+O15:O$28)),4)</f>
        <v>1.2463</v>
      </c>
      <c r="Z15" s="1203">
        <f t="shared" si="0"/>
        <v>1.2463</v>
      </c>
      <c r="AA15" s="1203">
        <f>ROUND(SUMPRODUCT(PRODUCT(1+P15:P$28)),4)</f>
        <v>1.4577</v>
      </c>
      <c r="AB15" s="1203">
        <f>ROUND(SUMPRODUCT(PRODUCT(1+Q15:Q$28)),4)</f>
        <v>1.2136</v>
      </c>
      <c r="AC15" s="1123"/>
      <c r="AD15" s="1218">
        <f>ROUND(AVERAGE(I15:I$29)/100,4)</f>
        <v>2.4899999999999999E-2</v>
      </c>
      <c r="AE15" s="1218">
        <f>ROUND(AVERAGE(J15:J$29)/100,4)</f>
        <v>1.6400000000000001E-2</v>
      </c>
      <c r="AF15" s="1218">
        <f t="shared" si="1"/>
        <v>1.6400000000000001E-2</v>
      </c>
      <c r="AG15" s="1218">
        <f>ROUND(AVERAGE(K15:K$29)/100,4)</f>
        <v>2.7799999999999998E-2</v>
      </c>
      <c r="AH15" s="1218">
        <f>ROUND(AVERAGE(L15:L$29)/100,4)</f>
        <v>1.3899999999999999E-2</v>
      </c>
    </row>
    <row r="16" spans="1:34" s="1114" customFormat="1" ht="14.45" customHeight="1">
      <c r="A16" s="1142" t="s">
        <v>2095</v>
      </c>
      <c r="B16" s="1143">
        <f t="shared" si="99"/>
        <v>419.31181600000002</v>
      </c>
      <c r="C16" s="1143">
        <f t="shared" si="99"/>
        <v>313.95436799999999</v>
      </c>
      <c r="D16" s="1143">
        <f t="shared" si="87"/>
        <v>313.95436799999999</v>
      </c>
      <c r="E16" s="1143">
        <f t="shared" si="100"/>
        <v>596.63028431999999</v>
      </c>
      <c r="F16" s="1143">
        <f t="shared" si="100"/>
        <v>274.74220703999998</v>
      </c>
      <c r="G16" s="3410"/>
      <c r="H16" s="1148">
        <v>2</v>
      </c>
      <c r="I16" s="1148">
        <v>3.4</v>
      </c>
      <c r="J16" s="1148">
        <v>2</v>
      </c>
      <c r="K16" s="1148">
        <v>3.82</v>
      </c>
      <c r="L16" s="1178">
        <v>1.68</v>
      </c>
      <c r="N16" s="1175">
        <f t="shared" si="90"/>
        <v>3.4000000000000002E-2</v>
      </c>
      <c r="O16" s="1181">
        <f t="shared" si="101"/>
        <v>0.02</v>
      </c>
      <c r="P16" s="1181">
        <f t="shared" si="102"/>
        <v>3.8199999999999998E-2</v>
      </c>
      <c r="Q16" s="1181">
        <f t="shared" si="103"/>
        <v>1.6799999999999999E-2</v>
      </c>
      <c r="R16" s="1125"/>
      <c r="S16" s="1175"/>
      <c r="T16" s="1176"/>
      <c r="U16" s="1176"/>
      <c r="V16" s="1176"/>
      <c r="X16" s="1203">
        <f>ROUND(SUMPRODUCT(PRODUCT(1+N16:N$28)),4)</f>
        <v>1.3628</v>
      </c>
      <c r="Y16" s="1203">
        <f>ROUND(SUMPRODUCT(PRODUCT(1+O16:O$28)),4)</f>
        <v>1.2205999999999999</v>
      </c>
      <c r="Z16" s="1203">
        <f t="shared" si="0"/>
        <v>1.2205999999999999</v>
      </c>
      <c r="AA16" s="1203">
        <f>ROUND(SUMPRODUCT(PRODUCT(1+P16:P$28)),4)</f>
        <v>1.4118999999999999</v>
      </c>
      <c r="AB16" s="1203">
        <f>ROUND(SUMPRODUCT(PRODUCT(1+Q16:Q$28)),4)</f>
        <v>1.1930000000000001</v>
      </c>
      <c r="AD16" s="1218">
        <f>ROUND(AVERAGE(I16:I$29)/100,4)</f>
        <v>2.46E-2</v>
      </c>
      <c r="AE16" s="1218">
        <f>ROUND(AVERAGE(J16:J$29)/100,4)</f>
        <v>1.6E-2</v>
      </c>
      <c r="AF16" s="1218">
        <f t="shared" si="1"/>
        <v>1.6E-2</v>
      </c>
      <c r="AG16" s="1218">
        <f>ROUND(AVERAGE(K16:K$29)/100,4)</f>
        <v>2.75E-2</v>
      </c>
      <c r="AH16" s="1218">
        <f>ROUND(AVERAGE(L16:L$29)/100,4)</f>
        <v>1.37E-2</v>
      </c>
    </row>
    <row r="17" spans="1:34" s="1119" customFormat="1" ht="15" customHeight="1">
      <c r="A17" s="1142" t="s">
        <v>2096</v>
      </c>
      <c r="B17" s="1143">
        <f t="shared" si="99"/>
        <v>405.524</v>
      </c>
      <c r="C17" s="1143">
        <f t="shared" si="99"/>
        <v>307.79840000000002</v>
      </c>
      <c r="D17" s="1143">
        <f t="shared" si="87"/>
        <v>307.79840000000002</v>
      </c>
      <c r="E17" s="1143">
        <f t="shared" si="100"/>
        <v>574.67759999999998</v>
      </c>
      <c r="F17" s="1143">
        <f t="shared" si="100"/>
        <v>270.20280000000002</v>
      </c>
      <c r="G17" s="3411"/>
      <c r="H17" s="1144">
        <v>1</v>
      </c>
      <c r="I17" s="1144">
        <v>3.45</v>
      </c>
      <c r="J17" s="1144">
        <v>1.92</v>
      </c>
      <c r="K17" s="1144">
        <v>3.92</v>
      </c>
      <c r="L17" s="1174">
        <v>1.58</v>
      </c>
      <c r="M17" s="1123"/>
      <c r="N17" s="1182">
        <f t="shared" si="90"/>
        <v>3.4500000000000003E-2</v>
      </c>
      <c r="O17" s="1183">
        <f t="shared" ref="O17" si="104">J17/100</f>
        <v>1.9199999999999998E-2</v>
      </c>
      <c r="P17" s="1183">
        <f t="shared" ref="P17" si="105">K17/100</f>
        <v>3.9199999999999999E-2</v>
      </c>
      <c r="Q17" s="1183">
        <f t="shared" ref="Q17" si="106">L17/100</f>
        <v>1.5800000000000002E-2</v>
      </c>
      <c r="R17" s="1208"/>
      <c r="S17" s="1182">
        <f>B17/B18-1</f>
        <v>3.4500000000000003E-2</v>
      </c>
      <c r="T17" s="1183">
        <f>C17/C18-1</f>
        <v>1.9200000000000099E-2</v>
      </c>
      <c r="U17" s="1183">
        <f>E17/E18-1</f>
        <v>3.9199999999999902E-2</v>
      </c>
      <c r="V17" s="1183">
        <f>F17/F18-1</f>
        <v>1.5800000000000002E-2</v>
      </c>
      <c r="W17" s="1123"/>
      <c r="X17" s="1203">
        <f>ROUND(SUMPRODUCT(PRODUCT(1+N17:N$28)),4)</f>
        <v>1.3180000000000001</v>
      </c>
      <c r="Y17" s="1203">
        <f>ROUND(SUMPRODUCT(PRODUCT(1+O17:O$28)),4)</f>
        <v>1.1966000000000001</v>
      </c>
      <c r="Z17" s="1203">
        <f t="shared" si="0"/>
        <v>1.1966000000000001</v>
      </c>
      <c r="AA17" s="1203">
        <f>ROUND(SUMPRODUCT(PRODUCT(1+P17:P$28)),4)</f>
        <v>1.36</v>
      </c>
      <c r="AB17" s="1203">
        <f>ROUND(SUMPRODUCT(PRODUCT(1+Q17:Q$28)),4)</f>
        <v>1.1733</v>
      </c>
      <c r="AC17" s="1123"/>
      <c r="AD17" s="1218">
        <f>ROUND(AVERAGE(I17:I$29)/100,4)</f>
        <v>2.3900000000000001E-2</v>
      </c>
      <c r="AE17" s="1218">
        <f>ROUND(AVERAGE(J17:J$29)/100,4)</f>
        <v>1.5699999999999999E-2</v>
      </c>
      <c r="AF17" s="1218">
        <f t="shared" si="1"/>
        <v>1.5699999999999999E-2</v>
      </c>
      <c r="AG17" s="1218">
        <f>ROUND(AVERAGE(K17:K$29)/100,4)</f>
        <v>2.6599999999999999E-2</v>
      </c>
      <c r="AH17" s="1218">
        <f>ROUND(AVERAGE(L17:L$29)/100,4)</f>
        <v>1.34E-2</v>
      </c>
    </row>
    <row r="18" spans="1:34">
      <c r="A18" s="1142" t="s">
        <v>2097</v>
      </c>
      <c r="B18" s="1151">
        <v>392</v>
      </c>
      <c r="C18" s="1151">
        <v>302</v>
      </c>
      <c r="D18" s="1151">
        <f t="shared" si="87"/>
        <v>302</v>
      </c>
      <c r="E18" s="1151">
        <v>553</v>
      </c>
      <c r="F18" s="1152">
        <v>266</v>
      </c>
      <c r="G18" s="3412">
        <v>2016</v>
      </c>
      <c r="H18" s="1145">
        <v>4</v>
      </c>
      <c r="I18" s="1145">
        <v>4.5599999999999996</v>
      </c>
      <c r="J18" s="1145">
        <v>2.15</v>
      </c>
      <c r="K18" s="1145">
        <v>5.32</v>
      </c>
      <c r="L18" s="1177">
        <v>1.57</v>
      </c>
      <c r="N18" s="1175">
        <f t="shared" si="90"/>
        <v>4.5600000000000002E-2</v>
      </c>
      <c r="O18" s="1176">
        <f t="shared" ref="O18:Q33" si="107">J18/100</f>
        <v>2.1499999999999998E-2</v>
      </c>
      <c r="P18" s="1176">
        <f t="shared" si="107"/>
        <v>5.3199999999999997E-2</v>
      </c>
      <c r="Q18" s="1176">
        <f t="shared" si="107"/>
        <v>1.5699999999999999E-2</v>
      </c>
      <c r="R18" s="1208"/>
      <c r="S18" s="1209"/>
      <c r="T18" s="1210"/>
      <c r="U18" s="1210"/>
      <c r="V18" s="1210"/>
      <c r="X18" s="1203">
        <f>ROUND(SUMPRODUCT(PRODUCT(1+N18:N$28)),4)</f>
        <v>1.274</v>
      </c>
      <c r="Y18" s="1203">
        <f>ROUND(SUMPRODUCT(PRODUCT(1+O18:O$28)),4)</f>
        <v>1.1740999999999999</v>
      </c>
      <c r="Z18" s="1203">
        <f t="shared" si="0"/>
        <v>1.1740999999999999</v>
      </c>
      <c r="AA18" s="1203">
        <f>ROUND(SUMPRODUCT(PRODUCT(1+P18:P$28)),4)</f>
        <v>1.3087</v>
      </c>
      <c r="AB18" s="1203">
        <f>ROUND(SUMPRODUCT(PRODUCT(1+Q18:Q$28)),4)</f>
        <v>1.1551</v>
      </c>
      <c r="AD18" s="1218">
        <f>ROUND(AVERAGE(I18:I$29)/100,4)</f>
        <v>2.3E-2</v>
      </c>
      <c r="AE18" s="1218">
        <f>ROUND(AVERAGE(J18:J$29)/100,4)</f>
        <v>1.55E-2</v>
      </c>
      <c r="AF18" s="1218">
        <f t="shared" si="1"/>
        <v>1.55E-2</v>
      </c>
      <c r="AG18" s="1218">
        <f>ROUND(AVERAGE(K18:K$29)/100,4)</f>
        <v>2.5600000000000001E-2</v>
      </c>
      <c r="AH18" s="1218">
        <f>ROUND(AVERAGE(L18:L$29)/100,4)</f>
        <v>1.32E-2</v>
      </c>
    </row>
    <row r="19" spans="1:34">
      <c r="A19" s="1142" t="s">
        <v>2098</v>
      </c>
      <c r="B19" s="1143">
        <f t="shared" ref="B19:C21" si="108">B18/(1+N18)</f>
        <v>374.90436113236399</v>
      </c>
      <c r="C19" s="1143">
        <f t="shared" si="108"/>
        <v>295.64366128242801</v>
      </c>
      <c r="D19" s="1143">
        <f t="shared" ref="D19:D78" si="109">C19</f>
        <v>295.64366128242801</v>
      </c>
      <c r="E19" s="1143">
        <f t="shared" ref="E19:F21" si="110">E18/(1+P18)</f>
        <v>525.06646410938095</v>
      </c>
      <c r="F19" s="1143">
        <f t="shared" si="110"/>
        <v>261.88835286009601</v>
      </c>
      <c r="G19" s="3410"/>
      <c r="H19" s="1144">
        <v>3</v>
      </c>
      <c r="I19" s="1144">
        <v>4.12</v>
      </c>
      <c r="J19" s="1144">
        <v>2</v>
      </c>
      <c r="K19" s="1144">
        <v>4.79</v>
      </c>
      <c r="L19" s="1174">
        <v>1.97</v>
      </c>
      <c r="N19" s="1175">
        <f t="shared" ref="N19:Q53" si="111">I19/100</f>
        <v>4.1200000000000001E-2</v>
      </c>
      <c r="O19" s="1176">
        <f t="shared" si="107"/>
        <v>0.02</v>
      </c>
      <c r="P19" s="1176">
        <f t="shared" si="107"/>
        <v>4.7899999999999998E-2</v>
      </c>
      <c r="Q19" s="1176">
        <f t="shared" si="107"/>
        <v>1.9699999999999999E-2</v>
      </c>
      <c r="R19" s="1208"/>
      <c r="S19" s="1175"/>
      <c r="T19" s="1176"/>
      <c r="U19" s="1176"/>
      <c r="V19" s="1176"/>
      <c r="X19" s="1203">
        <f>ROUND(SUMPRODUCT(PRODUCT(1+N19:N$28)),4)</f>
        <v>1.2184999999999999</v>
      </c>
      <c r="Y19" s="1203">
        <f>ROUND(SUMPRODUCT(PRODUCT(1+O19:O$28)),4)</f>
        <v>1.1494</v>
      </c>
      <c r="Z19" s="1203">
        <f t="shared" si="0"/>
        <v>1.1494</v>
      </c>
      <c r="AA19" s="1203">
        <f>ROUND(SUMPRODUCT(PRODUCT(1+P19:P$28)),4)</f>
        <v>1.2425999999999999</v>
      </c>
      <c r="AB19" s="1203">
        <f>ROUND(SUMPRODUCT(PRODUCT(1+Q19:Q$28)),4)</f>
        <v>1.1372</v>
      </c>
      <c r="AD19" s="1218">
        <f>ROUND(AVERAGE(I19:I$29)/100,4)</f>
        <v>2.0899999999999998E-2</v>
      </c>
      <c r="AE19" s="1218">
        <f>ROUND(AVERAGE(J19:J$29)/100,4)</f>
        <v>1.49E-2</v>
      </c>
      <c r="AF19" s="1218">
        <f t="shared" si="1"/>
        <v>1.49E-2</v>
      </c>
      <c r="AG19" s="1218">
        <f>ROUND(AVERAGE(K19:K$29)/100,4)</f>
        <v>2.3099999999999999E-2</v>
      </c>
      <c r="AH19" s="1218">
        <f>ROUND(AVERAGE(L19:L$29)/100,4)</f>
        <v>1.2999999999999999E-2</v>
      </c>
    </row>
    <row r="20" spans="1:34">
      <c r="A20" s="1142" t="s">
        <v>2099</v>
      </c>
      <c r="B20" s="1143">
        <f t="shared" si="108"/>
        <v>360.06949782209398</v>
      </c>
      <c r="C20" s="1143">
        <f t="shared" si="108"/>
        <v>289.84672674747799</v>
      </c>
      <c r="D20" s="1143">
        <f t="shared" si="109"/>
        <v>289.84672674747799</v>
      </c>
      <c r="E20" s="1143">
        <f t="shared" si="110"/>
        <v>501.06543001181501</v>
      </c>
      <c r="F20" s="1143">
        <f t="shared" si="110"/>
        <v>256.82882500745001</v>
      </c>
      <c r="G20" s="3410"/>
      <c r="H20" s="1148">
        <v>2</v>
      </c>
      <c r="I20" s="1148">
        <v>3.85</v>
      </c>
      <c r="J20" s="1148">
        <v>1.95</v>
      </c>
      <c r="K20" s="1148">
        <v>4.4800000000000004</v>
      </c>
      <c r="L20" s="1178">
        <v>1.41</v>
      </c>
      <c r="N20" s="1175">
        <f t="shared" si="111"/>
        <v>3.85E-2</v>
      </c>
      <c r="O20" s="1176">
        <f t="shared" si="107"/>
        <v>1.95E-2</v>
      </c>
      <c r="P20" s="1176">
        <f t="shared" si="107"/>
        <v>4.48E-2</v>
      </c>
      <c r="Q20" s="1176">
        <f t="shared" si="107"/>
        <v>1.41E-2</v>
      </c>
      <c r="R20" s="1208"/>
      <c r="S20" s="1175"/>
      <c r="T20" s="1176"/>
      <c r="U20" s="1176"/>
      <c r="V20" s="1176"/>
      <c r="X20" s="1203">
        <f>ROUND(SUMPRODUCT(PRODUCT(1+N20:N$28)),4)</f>
        <v>1.1702999999999999</v>
      </c>
      <c r="Y20" s="1203">
        <f>ROUND(SUMPRODUCT(PRODUCT(1+O20:O$28)),4)</f>
        <v>1.1269</v>
      </c>
      <c r="Z20" s="1203">
        <f t="shared" si="0"/>
        <v>1.1269</v>
      </c>
      <c r="AA20" s="1203">
        <f>ROUND(SUMPRODUCT(PRODUCT(1+P20:P$28)),4)</f>
        <v>1.1858</v>
      </c>
      <c r="AB20" s="1203">
        <f>ROUND(SUMPRODUCT(PRODUCT(1+Q20:Q$28)),4)</f>
        <v>1.1152</v>
      </c>
      <c r="AD20" s="1218">
        <f>ROUND(AVERAGE(I20:I$29)/100,4)</f>
        <v>1.89E-2</v>
      </c>
      <c r="AE20" s="1218">
        <f>ROUND(AVERAGE(J20:J$29)/100,4)</f>
        <v>1.44E-2</v>
      </c>
      <c r="AF20" s="1218">
        <f t="shared" si="1"/>
        <v>1.44E-2</v>
      </c>
      <c r="AG20" s="1218">
        <f>ROUND(AVERAGE(K20:K$29)/100,4)</f>
        <v>2.06E-2</v>
      </c>
      <c r="AH20" s="1218">
        <f>ROUND(AVERAGE(L20:L$29)/100,4)</f>
        <v>1.23E-2</v>
      </c>
    </row>
    <row r="21" spans="1:34">
      <c r="A21" s="1142" t="s">
        <v>2100</v>
      </c>
      <c r="B21" s="1143">
        <f t="shared" si="108"/>
        <v>346.720748986128</v>
      </c>
      <c r="C21" s="1143">
        <f t="shared" si="108"/>
        <v>284.30282172386302</v>
      </c>
      <c r="D21" s="1143">
        <f t="shared" si="109"/>
        <v>284.30282172386302</v>
      </c>
      <c r="E21" s="1143">
        <f t="shared" si="110"/>
        <v>479.58023546306902</v>
      </c>
      <c r="F21" s="1143">
        <f t="shared" si="110"/>
        <v>253.25788877571199</v>
      </c>
      <c r="G21" s="3413"/>
      <c r="H21" s="1144">
        <v>1</v>
      </c>
      <c r="I21" s="1144">
        <v>4.09</v>
      </c>
      <c r="J21" s="1144">
        <v>2.93</v>
      </c>
      <c r="K21" s="1144">
        <v>4.54</v>
      </c>
      <c r="L21" s="1174">
        <v>1.48</v>
      </c>
      <c r="N21" s="1175">
        <f t="shared" si="111"/>
        <v>4.0899999999999999E-2</v>
      </c>
      <c r="O21" s="1176">
        <f t="shared" si="107"/>
        <v>2.93E-2</v>
      </c>
      <c r="P21" s="1176">
        <f t="shared" si="107"/>
        <v>4.5400000000000003E-2</v>
      </c>
      <c r="Q21" s="1176">
        <f t="shared" si="107"/>
        <v>1.4800000000000001E-2</v>
      </c>
      <c r="R21" s="1208"/>
      <c r="S21" s="1182">
        <f>B21/B22-1</f>
        <v>4.1203450408792801E-2</v>
      </c>
      <c r="T21" s="1183">
        <f>C21/C22-1</f>
        <v>2.6363977342465102E-2</v>
      </c>
      <c r="U21" s="1183">
        <f>E21/E22-1</f>
        <v>4.4837114298626399E-2</v>
      </c>
      <c r="V21" s="1183">
        <f>F21/F22-1</f>
        <v>1.7099954922538602E-2</v>
      </c>
      <c r="X21" s="1203">
        <f>ROUND(SUMPRODUCT(PRODUCT(1+N21:N$28)),4)</f>
        <v>1.1269</v>
      </c>
      <c r="Y21" s="1203">
        <f>ROUND(SUMPRODUCT(PRODUCT(1+O21:O$28)),4)</f>
        <v>1.1052999999999999</v>
      </c>
      <c r="Z21" s="1203">
        <f t="shared" si="0"/>
        <v>1.1052999999999999</v>
      </c>
      <c r="AA21" s="1203">
        <f>ROUND(SUMPRODUCT(PRODUCT(1+P21:P$28)),4)</f>
        <v>1.1349</v>
      </c>
      <c r="AB21" s="1203">
        <f>ROUND(SUMPRODUCT(PRODUCT(1+Q21:Q$28)),4)</f>
        <v>1.0996999999999999</v>
      </c>
      <c r="AD21" s="1218">
        <f>ROUND(AVERAGE(I21:I$29)/100,4)</f>
        <v>1.67E-2</v>
      </c>
      <c r="AE21" s="1218">
        <f>ROUND(AVERAGE(J21:J$29)/100,4)</f>
        <v>1.38E-2</v>
      </c>
      <c r="AF21" s="1218">
        <f t="shared" si="1"/>
        <v>1.38E-2</v>
      </c>
      <c r="AG21" s="1218">
        <f>ROUND(AVERAGE(K21:K$29)/100,4)</f>
        <v>1.7899999999999999E-2</v>
      </c>
      <c r="AH21" s="1218">
        <f>ROUND(AVERAGE(L21:L$29)/100,4)</f>
        <v>1.21E-2</v>
      </c>
    </row>
    <row r="22" spans="1:34">
      <c r="A22" s="1142" t="s">
        <v>2101</v>
      </c>
      <c r="B22" s="1151">
        <v>333</v>
      </c>
      <c r="C22" s="1151">
        <v>277</v>
      </c>
      <c r="D22" s="1151">
        <f t="shared" si="109"/>
        <v>277</v>
      </c>
      <c r="E22" s="1151">
        <v>459</v>
      </c>
      <c r="F22" s="1152">
        <v>249</v>
      </c>
      <c r="G22" s="3414">
        <v>2015</v>
      </c>
      <c r="H22" s="1153">
        <v>4</v>
      </c>
      <c r="I22" s="1153">
        <v>1.63</v>
      </c>
      <c r="J22" s="1153">
        <v>1.1100000000000001</v>
      </c>
      <c r="K22" s="1153">
        <v>1.77</v>
      </c>
      <c r="L22" s="1184">
        <v>1.89</v>
      </c>
      <c r="N22" s="1179">
        <f t="shared" si="111"/>
        <v>1.6299999999999999E-2</v>
      </c>
      <c r="O22" s="1180">
        <f t="shared" si="107"/>
        <v>1.11E-2</v>
      </c>
      <c r="P22" s="1180">
        <f t="shared" si="107"/>
        <v>1.77E-2</v>
      </c>
      <c r="Q22" s="1180">
        <f t="shared" si="107"/>
        <v>1.89E-2</v>
      </c>
      <c r="R22" s="1208"/>
      <c r="X22" s="1203">
        <f>ROUND(SUMPRODUCT(PRODUCT(1+N22:N$28)),4)</f>
        <v>1.0826</v>
      </c>
      <c r="Y22" s="1203">
        <f>ROUND(SUMPRODUCT(PRODUCT(1+O22:O$28)),4)</f>
        <v>1.0738000000000001</v>
      </c>
      <c r="Z22" s="1203">
        <f t="shared" si="0"/>
        <v>1.0738000000000001</v>
      </c>
      <c r="AA22" s="1203">
        <f>ROUND(SUMPRODUCT(PRODUCT(1+P22:P$28)),4)</f>
        <v>1.0855999999999999</v>
      </c>
      <c r="AB22" s="1203">
        <f>ROUND(SUMPRODUCT(PRODUCT(1+Q22:Q$28)),4)</f>
        <v>1.0837000000000001</v>
      </c>
      <c r="AD22" s="1218">
        <f>ROUND(AVERAGE(I22:I$29)/100,4)</f>
        <v>1.37E-2</v>
      </c>
      <c r="AE22" s="1218">
        <f>ROUND(AVERAGE(J22:J$29)/100,4)</f>
        <v>1.1900000000000001E-2</v>
      </c>
      <c r="AF22" s="1218">
        <f t="shared" si="1"/>
        <v>1.1900000000000001E-2</v>
      </c>
      <c r="AG22" s="1218">
        <f>ROUND(AVERAGE(K22:K$29)/100,4)</f>
        <v>1.4500000000000001E-2</v>
      </c>
      <c r="AH22" s="1218">
        <f>ROUND(AVERAGE(L22:L$29)/100,4)</f>
        <v>1.18E-2</v>
      </c>
    </row>
    <row r="23" spans="1:34">
      <c r="A23" s="1142" t="s">
        <v>2102</v>
      </c>
      <c r="B23" s="1143">
        <f t="shared" ref="B23:C25" si="112">B22/(1+N22)</f>
        <v>327.65915576109398</v>
      </c>
      <c r="C23" s="1143">
        <f t="shared" si="112"/>
        <v>273.959054495104</v>
      </c>
      <c r="D23" s="1143">
        <f t="shared" si="109"/>
        <v>273.959054495104</v>
      </c>
      <c r="E23" s="1143">
        <f t="shared" ref="E23:F25" si="113">E22/(1+P22)</f>
        <v>451.01699911565299</v>
      </c>
      <c r="F23" s="1143">
        <f t="shared" si="113"/>
        <v>244.381195406811</v>
      </c>
      <c r="G23" s="3410"/>
      <c r="H23" s="1154">
        <v>3</v>
      </c>
      <c r="I23" s="1154">
        <v>1.65</v>
      </c>
      <c r="J23" s="1154">
        <v>0.92</v>
      </c>
      <c r="K23" s="1154">
        <v>1.88</v>
      </c>
      <c r="L23" s="1185">
        <v>1.26</v>
      </c>
      <c r="N23" s="1175">
        <f t="shared" si="111"/>
        <v>1.6500000000000001E-2</v>
      </c>
      <c r="O23" s="1181">
        <f t="shared" si="107"/>
        <v>9.1999999999999998E-3</v>
      </c>
      <c r="P23" s="1181">
        <f t="shared" si="107"/>
        <v>1.8800000000000001E-2</v>
      </c>
      <c r="Q23" s="1181">
        <f t="shared" si="107"/>
        <v>1.26E-2</v>
      </c>
      <c r="R23" s="1208"/>
      <c r="S23" s="1175"/>
      <c r="T23" s="1176"/>
      <c r="U23" s="1176"/>
      <c r="V23" s="1176"/>
      <c r="X23" s="1203">
        <f>ROUND(SUMPRODUCT(PRODUCT(1+N23:N$28)),4)</f>
        <v>1.0651999999999999</v>
      </c>
      <c r="Y23" s="1203">
        <f>ROUND(SUMPRODUCT(PRODUCT(1+O23:O$28)),4)</f>
        <v>1.0621</v>
      </c>
      <c r="Z23" s="1203">
        <f t="shared" si="0"/>
        <v>1.0621</v>
      </c>
      <c r="AA23" s="1203">
        <f>ROUND(SUMPRODUCT(PRODUCT(1+P23:P$28)),4)</f>
        <v>1.0668</v>
      </c>
      <c r="AB23" s="1203">
        <f>ROUND(SUMPRODUCT(PRODUCT(1+Q23:Q$28)),4)</f>
        <v>1.0636000000000001</v>
      </c>
      <c r="AD23" s="1218">
        <f>ROUND(AVERAGE(I23:I$29)/100,4)</f>
        <v>1.3299999999999999E-2</v>
      </c>
      <c r="AE23" s="1218">
        <f>ROUND(AVERAGE(J23:J$29)/100,4)</f>
        <v>1.2E-2</v>
      </c>
      <c r="AF23" s="1218">
        <f t="shared" si="1"/>
        <v>1.2E-2</v>
      </c>
      <c r="AG23" s="1218">
        <f>ROUND(AVERAGE(K23:K$29)/100,4)</f>
        <v>1.4E-2</v>
      </c>
      <c r="AH23" s="1218">
        <f>ROUND(AVERAGE(L23:L$29)/100,4)</f>
        <v>1.0800000000000001E-2</v>
      </c>
    </row>
    <row r="24" spans="1:34">
      <c r="A24" s="1142" t="s">
        <v>2103</v>
      </c>
      <c r="B24" s="1143">
        <f t="shared" si="112"/>
        <v>322.34053690220799</v>
      </c>
      <c r="C24" s="1143">
        <f t="shared" si="112"/>
        <v>271.461607704225</v>
      </c>
      <c r="D24" s="1143">
        <f t="shared" si="109"/>
        <v>271.461607704225</v>
      </c>
      <c r="E24" s="1143">
        <f t="shared" si="113"/>
        <v>442.69434542172502</v>
      </c>
      <c r="F24" s="1143">
        <f t="shared" si="113"/>
        <v>241.34030753190899</v>
      </c>
      <c r="G24" s="3410"/>
      <c r="H24" s="1148">
        <v>2</v>
      </c>
      <c r="I24" s="1148">
        <v>0.77</v>
      </c>
      <c r="J24" s="1148">
        <v>0.69</v>
      </c>
      <c r="K24" s="1148">
        <v>0.8</v>
      </c>
      <c r="L24" s="1178">
        <v>0.88</v>
      </c>
      <c r="N24" s="1175">
        <f t="shared" si="111"/>
        <v>7.7000000000000002E-3</v>
      </c>
      <c r="O24" s="1181">
        <f t="shared" si="107"/>
        <v>6.8999999999999999E-3</v>
      </c>
      <c r="P24" s="1181">
        <f t="shared" si="107"/>
        <v>8.0000000000000002E-3</v>
      </c>
      <c r="Q24" s="1181">
        <f t="shared" si="107"/>
        <v>8.8000000000000005E-3</v>
      </c>
      <c r="R24" s="1208"/>
      <c r="S24" s="1175"/>
      <c r="T24" s="1176"/>
      <c r="U24" s="1176"/>
      <c r="V24" s="1176"/>
      <c r="X24" s="1203">
        <f>ROUND(SUMPRODUCT(PRODUCT(1+N24:N$28)),4)</f>
        <v>1.048</v>
      </c>
      <c r="Y24" s="1203">
        <f>ROUND(SUMPRODUCT(PRODUCT(1+O24:O$28)),4)</f>
        <v>1.0524</v>
      </c>
      <c r="Z24" s="1203">
        <f t="shared" si="0"/>
        <v>1.0524</v>
      </c>
      <c r="AA24" s="1203">
        <f>ROUND(SUMPRODUCT(PRODUCT(1+P24:P$28)),4)</f>
        <v>1.0470999999999999</v>
      </c>
      <c r="AB24" s="1203">
        <f>ROUND(SUMPRODUCT(PRODUCT(1+Q24:Q$28)),4)</f>
        <v>1.0504</v>
      </c>
      <c r="AD24" s="1218">
        <f>ROUND(AVERAGE(I24:I$29)/100,4)</f>
        <v>1.2800000000000001E-2</v>
      </c>
      <c r="AE24" s="1218">
        <f>ROUND(AVERAGE(J24:J$29)/100,4)</f>
        <v>1.2500000000000001E-2</v>
      </c>
      <c r="AF24" s="1218">
        <f t="shared" si="1"/>
        <v>1.2500000000000001E-2</v>
      </c>
      <c r="AG24" s="1218">
        <f>ROUND(AVERAGE(K24:K$29)/100,4)</f>
        <v>1.32E-2</v>
      </c>
      <c r="AH24" s="1218">
        <f>ROUND(AVERAGE(L24:L$29)/100,4)</f>
        <v>1.0500000000000001E-2</v>
      </c>
    </row>
    <row r="25" spans="1:34">
      <c r="A25" s="1142" t="s">
        <v>2104</v>
      </c>
      <c r="B25" s="1143">
        <f t="shared" si="112"/>
        <v>319.87748030386803</v>
      </c>
      <c r="C25" s="1143">
        <f t="shared" si="112"/>
        <v>269.60135833173598</v>
      </c>
      <c r="D25" s="1143">
        <f t="shared" si="109"/>
        <v>269.60135833173598</v>
      </c>
      <c r="E25" s="1143">
        <f t="shared" si="113"/>
        <v>439.18089823583801</v>
      </c>
      <c r="F25" s="1143">
        <f t="shared" si="113"/>
        <v>239.23503918706299</v>
      </c>
      <c r="G25" s="3413"/>
      <c r="H25" s="1144">
        <v>1</v>
      </c>
      <c r="I25" s="1144">
        <v>0.51</v>
      </c>
      <c r="J25" s="1144">
        <v>0.54</v>
      </c>
      <c r="K25" s="1144">
        <v>0.48</v>
      </c>
      <c r="L25" s="1174">
        <v>0.93</v>
      </c>
      <c r="N25" s="1182">
        <f t="shared" si="111"/>
        <v>5.1000000000000004E-3</v>
      </c>
      <c r="O25" s="1183">
        <f t="shared" si="107"/>
        <v>5.4000000000000003E-3</v>
      </c>
      <c r="P25" s="1183">
        <f t="shared" si="107"/>
        <v>4.7999999999999996E-3</v>
      </c>
      <c r="Q25" s="1183">
        <f t="shared" si="107"/>
        <v>9.2999999999999992E-3</v>
      </c>
      <c r="R25" s="1208"/>
      <c r="S25" s="1182">
        <f>B25/B26-1</f>
        <v>5.9040261127922796E-3</v>
      </c>
      <c r="T25" s="1183">
        <f>C25/C26-1</f>
        <v>5.9752176557332799E-3</v>
      </c>
      <c r="U25" s="1183">
        <f>E25/E26-1</f>
        <v>4.9906138119859599E-3</v>
      </c>
      <c r="V25" s="1183">
        <f>F25/F26-1</f>
        <v>9.4305450930933805E-3</v>
      </c>
      <c r="X25" s="1203">
        <f>ROUND(SUMPRODUCT(PRODUCT(1+N25:N$28)),4)</f>
        <v>1.0399</v>
      </c>
      <c r="Y25" s="1203">
        <f>ROUND(SUMPRODUCT(PRODUCT(1+O25:O$28)),4)</f>
        <v>1.0451999999999999</v>
      </c>
      <c r="Z25" s="1203">
        <f t="shared" si="0"/>
        <v>1.0451999999999999</v>
      </c>
      <c r="AA25" s="1203">
        <f>ROUND(SUMPRODUCT(PRODUCT(1+P25:P$28)),4)</f>
        <v>1.0387999999999999</v>
      </c>
      <c r="AB25" s="1203">
        <f>ROUND(SUMPRODUCT(PRODUCT(1+Q25:Q$28)),4)</f>
        <v>1.0411999999999999</v>
      </c>
      <c r="AD25" s="1218">
        <f>ROUND(AVERAGE(I25:I$29)/100,4)</f>
        <v>1.38E-2</v>
      </c>
      <c r="AE25" s="1218">
        <f>ROUND(AVERAGE(J25:J$29)/100,4)</f>
        <v>1.3599999999999999E-2</v>
      </c>
      <c r="AF25" s="1218">
        <f t="shared" si="1"/>
        <v>1.3599999999999999E-2</v>
      </c>
      <c r="AG25" s="1218">
        <f>ROUND(AVERAGE(K25:K$29)/100,4)</f>
        <v>1.4200000000000001E-2</v>
      </c>
      <c r="AH25" s="1218">
        <f>ROUND(AVERAGE(L25:L$29)/100,4)</f>
        <v>1.0800000000000001E-2</v>
      </c>
    </row>
    <row r="26" spans="1:34">
      <c r="A26" s="1142" t="s">
        <v>2105</v>
      </c>
      <c r="B26" s="1155">
        <v>318</v>
      </c>
      <c r="C26" s="1155">
        <v>268</v>
      </c>
      <c r="D26" s="1155">
        <f t="shared" si="109"/>
        <v>268</v>
      </c>
      <c r="E26" s="1155">
        <v>437</v>
      </c>
      <c r="F26" s="1156">
        <v>237</v>
      </c>
      <c r="G26" s="3414">
        <v>2014</v>
      </c>
      <c r="H26" s="1153">
        <v>4</v>
      </c>
      <c r="I26" s="1153">
        <v>0.21</v>
      </c>
      <c r="J26" s="1153">
        <v>0.41</v>
      </c>
      <c r="K26" s="1153">
        <v>0.12</v>
      </c>
      <c r="L26" s="1184">
        <v>0.89</v>
      </c>
      <c r="N26" s="1175">
        <f t="shared" si="111"/>
        <v>2.0999999999999999E-3</v>
      </c>
      <c r="O26" s="1176">
        <f t="shared" si="107"/>
        <v>4.1000000000000003E-3</v>
      </c>
      <c r="P26" s="1176">
        <f t="shared" si="107"/>
        <v>1.1999999999999999E-3</v>
      </c>
      <c r="Q26" s="1176">
        <f t="shared" si="107"/>
        <v>8.8999999999999999E-3</v>
      </c>
      <c r="R26" s="1208"/>
      <c r="S26" s="1209"/>
      <c r="T26" s="1210"/>
      <c r="U26" s="1210"/>
      <c r="V26" s="1210"/>
      <c r="X26" s="1203">
        <f>ROUND(SUMPRODUCT(PRODUCT(1+N26:N$28)),4)</f>
        <v>1.0347</v>
      </c>
      <c r="Y26" s="1203">
        <f>ROUND(SUMPRODUCT(PRODUCT(1+O26:O$28)),4)</f>
        <v>1.0395000000000001</v>
      </c>
      <c r="Z26" s="1203">
        <f t="shared" si="0"/>
        <v>1.0395000000000001</v>
      </c>
      <c r="AA26" s="1203">
        <f>ROUND(SUMPRODUCT(PRODUCT(1+P26:P$28)),4)</f>
        <v>1.0338000000000001</v>
      </c>
      <c r="AB26" s="1203">
        <f>ROUND(SUMPRODUCT(PRODUCT(1+Q26:Q$28)),4)</f>
        <v>1.0316000000000001</v>
      </c>
      <c r="AD26" s="1218">
        <f>ROUND(AVERAGE(I26:I$29)/100,4)</f>
        <v>1.6E-2</v>
      </c>
      <c r="AE26" s="1218">
        <f>ROUND(AVERAGE(J26:J$29)/100,4)</f>
        <v>1.5599999999999999E-2</v>
      </c>
      <c r="AF26" s="1218">
        <f t="shared" si="1"/>
        <v>1.5599999999999999E-2</v>
      </c>
      <c r="AG26" s="1218">
        <f>ROUND(AVERAGE(K26:K$29)/100,4)</f>
        <v>1.66E-2</v>
      </c>
      <c r="AH26" s="1218">
        <f>ROUND(AVERAGE(L26:L$29)/100,4)</f>
        <v>1.12E-2</v>
      </c>
    </row>
    <row r="27" spans="1:34">
      <c r="A27" s="1142" t="s">
        <v>2106</v>
      </c>
      <c r="B27" s="1143">
        <f t="shared" ref="B27:C29" si="114">B26/(1+N26)</f>
        <v>317.33359944117399</v>
      </c>
      <c r="C27" s="1143">
        <f t="shared" si="114"/>
        <v>266.90568668459298</v>
      </c>
      <c r="D27" s="1143">
        <f t="shared" si="109"/>
        <v>266.90568668459298</v>
      </c>
      <c r="E27" s="1143">
        <f t="shared" ref="E27:F29" si="115">E26/(1+P26)</f>
        <v>436.47622852576899</v>
      </c>
      <c r="F27" s="1143">
        <f t="shared" si="115"/>
        <v>234.909307166221</v>
      </c>
      <c r="G27" s="3410"/>
      <c r="H27" s="1157">
        <v>3</v>
      </c>
      <c r="I27" s="1157">
        <v>0.83</v>
      </c>
      <c r="J27" s="1157">
        <v>1.47</v>
      </c>
      <c r="K27" s="1157">
        <v>0.65</v>
      </c>
      <c r="L27" s="1186">
        <v>0.72</v>
      </c>
      <c r="N27" s="1175">
        <f t="shared" si="111"/>
        <v>8.3000000000000001E-3</v>
      </c>
      <c r="O27" s="1176">
        <f t="shared" si="107"/>
        <v>1.47E-2</v>
      </c>
      <c r="P27" s="1176">
        <f t="shared" si="107"/>
        <v>6.4999999999999997E-3</v>
      </c>
      <c r="Q27" s="1176">
        <f t="shared" si="107"/>
        <v>7.1999999999999998E-3</v>
      </c>
      <c r="R27" s="1208"/>
      <c r="S27" s="1175"/>
      <c r="T27" s="1176"/>
      <c r="U27" s="1176"/>
      <c r="V27" s="1176"/>
      <c r="X27" s="1203">
        <f>ROUND(SUMPRODUCT(PRODUCT(1+N27:N$28)),4)</f>
        <v>1.0325</v>
      </c>
      <c r="Y27" s="1203">
        <f>ROUND(SUMPRODUCT(PRODUCT(1+O27:O$28)),4)</f>
        <v>1.0353000000000001</v>
      </c>
      <c r="Z27" s="1203">
        <f t="shared" ref="Z27:Z28" si="116">Y27</f>
        <v>1.0353000000000001</v>
      </c>
      <c r="AA27" s="1203">
        <f>ROUND(SUMPRODUCT(PRODUCT(1+P27:P$28)),4)</f>
        <v>1.0326</v>
      </c>
      <c r="AB27" s="1203">
        <f>ROUND(SUMPRODUCT(PRODUCT(1+Q27:Q$28)),4)</f>
        <v>1.0225</v>
      </c>
      <c r="AD27" s="1218">
        <f>ROUND(AVERAGE(I27:I$29)/100,4)</f>
        <v>2.07E-2</v>
      </c>
      <c r="AE27" s="1218">
        <f>ROUND(AVERAGE(J27:J$29)/100,4)</f>
        <v>1.95E-2</v>
      </c>
      <c r="AF27" s="1218">
        <f t="shared" si="1"/>
        <v>1.95E-2</v>
      </c>
      <c r="AG27" s="1218">
        <f>ROUND(AVERAGE(K27:K$29)/100,4)</f>
        <v>2.1700000000000001E-2</v>
      </c>
      <c r="AH27" s="1218">
        <f>ROUND(AVERAGE(L27:L$29)/100,4)</f>
        <v>1.2E-2</v>
      </c>
    </row>
    <row r="28" spans="1:34">
      <c r="A28" s="1142" t="s">
        <v>2107</v>
      </c>
      <c r="B28" s="1143">
        <f t="shared" si="114"/>
        <v>314.721411723865</v>
      </c>
      <c r="C28" s="1143">
        <f t="shared" si="114"/>
        <v>263.03901319069001</v>
      </c>
      <c r="D28" s="1143">
        <f t="shared" si="109"/>
        <v>263.03901319069001</v>
      </c>
      <c r="E28" s="1143">
        <f t="shared" si="115"/>
        <v>433.65745506782798</v>
      </c>
      <c r="F28" s="1143">
        <f t="shared" si="115"/>
        <v>233.23005080045701</v>
      </c>
      <c r="G28" s="3410"/>
      <c r="H28" s="1153">
        <v>2</v>
      </c>
      <c r="I28" s="1153">
        <v>2.4</v>
      </c>
      <c r="J28" s="1153">
        <v>2.0299999999999998</v>
      </c>
      <c r="K28" s="1153">
        <v>2.59</v>
      </c>
      <c r="L28" s="1184">
        <v>1.52</v>
      </c>
      <c r="N28" s="1175">
        <f t="shared" si="111"/>
        <v>2.4E-2</v>
      </c>
      <c r="O28" s="1176">
        <f t="shared" si="107"/>
        <v>2.0299999999999999E-2</v>
      </c>
      <c r="P28" s="1176">
        <f t="shared" si="107"/>
        <v>2.5899999999999999E-2</v>
      </c>
      <c r="Q28" s="1176">
        <f t="shared" si="107"/>
        <v>1.52E-2</v>
      </c>
      <c r="R28" s="1208"/>
      <c r="S28" s="1175"/>
      <c r="T28" s="1176"/>
      <c r="U28" s="1176"/>
      <c r="V28" s="1176"/>
      <c r="X28" s="1203">
        <f>1+N28</f>
        <v>1.024</v>
      </c>
      <c r="Y28" s="1203">
        <f>1+O28</f>
        <v>1.0203</v>
      </c>
      <c r="Z28" s="1203">
        <f t="shared" si="116"/>
        <v>1.0203</v>
      </c>
      <c r="AA28" s="1203">
        <f>1+P28</f>
        <v>1.0259</v>
      </c>
      <c r="AB28" s="1203">
        <f>1+Q28</f>
        <v>1.0152000000000001</v>
      </c>
      <c r="AD28" s="1218">
        <f>ROUND(AVERAGE(I28:I$29)/100,4)</f>
        <v>2.69E-2</v>
      </c>
      <c r="AE28" s="1218">
        <f>ROUND(AVERAGE(J28:J$29)/100,4)</f>
        <v>2.1899999999999999E-2</v>
      </c>
      <c r="AF28" s="1218">
        <f t="shared" ref="AF28:AF29" si="117">AE28</f>
        <v>2.1899999999999999E-2</v>
      </c>
      <c r="AG28" s="1218">
        <f>ROUND(AVERAGE(K28:K$29)/100,4)</f>
        <v>2.9399999999999999E-2</v>
      </c>
      <c r="AH28" s="1218">
        <f>ROUND(AVERAGE(L28:L$29)/100,4)</f>
        <v>1.44E-2</v>
      </c>
    </row>
    <row r="29" spans="1:34" s="1120" customFormat="1">
      <c r="A29" s="1158" t="s">
        <v>2108</v>
      </c>
      <c r="B29" s="1159">
        <f t="shared" si="114"/>
        <v>307.34512863658699</v>
      </c>
      <c r="C29" s="1159">
        <f t="shared" si="114"/>
        <v>257.80556031626998</v>
      </c>
      <c r="D29" s="1159">
        <f t="shared" si="109"/>
        <v>257.80556031626998</v>
      </c>
      <c r="E29" s="1159">
        <f t="shared" si="115"/>
        <v>422.70928459677202</v>
      </c>
      <c r="F29" s="1159">
        <f t="shared" si="115"/>
        <v>229.738032703366</v>
      </c>
      <c r="G29" s="3413"/>
      <c r="H29" s="1160">
        <v>1</v>
      </c>
      <c r="I29" s="1160">
        <v>2.97</v>
      </c>
      <c r="J29" s="1160">
        <v>2.34</v>
      </c>
      <c r="K29" s="1160">
        <v>3.28</v>
      </c>
      <c r="L29" s="1187">
        <v>1.36</v>
      </c>
      <c r="N29" s="1188">
        <f t="shared" si="111"/>
        <v>2.9700000000000001E-2</v>
      </c>
      <c r="O29" s="1189">
        <f t="shared" si="107"/>
        <v>2.3400000000000001E-2</v>
      </c>
      <c r="P29" s="1189">
        <f t="shared" si="107"/>
        <v>3.2800000000000003E-2</v>
      </c>
      <c r="Q29" s="1189">
        <f t="shared" si="107"/>
        <v>1.3599999999999999E-2</v>
      </c>
      <c r="R29" s="1211"/>
      <c r="S29" s="1212">
        <f>B29/B30-1</f>
        <v>2.7910129219355501E-2</v>
      </c>
      <c r="T29" s="1213">
        <f>C29/C30-1</f>
        <v>2.3037937762975198E-2</v>
      </c>
      <c r="U29" s="1213">
        <f>E29/E30-1</f>
        <v>3.3519033243940802E-2</v>
      </c>
      <c r="V29" s="1213">
        <f>F29/F30-1</f>
        <v>1.20618180765029E-2</v>
      </c>
      <c r="W29" s="1214" t="s">
        <v>2109</v>
      </c>
      <c r="X29" s="1215">
        <v>1</v>
      </c>
      <c r="Y29" s="1215">
        <v>1</v>
      </c>
      <c r="Z29" s="1215">
        <v>1</v>
      </c>
      <c r="AA29" s="1215">
        <v>1</v>
      </c>
      <c r="AB29" s="1215">
        <v>1</v>
      </c>
      <c r="AD29" s="1224">
        <f>I29/100</f>
        <v>2.9700000000000001E-2</v>
      </c>
      <c r="AE29" s="1224">
        <f>J29/100</f>
        <v>2.3400000000000001E-2</v>
      </c>
      <c r="AF29" s="1224">
        <f t="shared" si="117"/>
        <v>2.3400000000000001E-2</v>
      </c>
      <c r="AG29" s="1224">
        <f>K29/100</f>
        <v>3.2800000000000003E-2</v>
      </c>
      <c r="AH29" s="1224">
        <f>L29/100</f>
        <v>1.3599999999999999E-2</v>
      </c>
    </row>
    <row r="30" spans="1:34">
      <c r="A30" s="1142" t="s">
        <v>2110</v>
      </c>
      <c r="B30" s="1151">
        <v>299</v>
      </c>
      <c r="C30" s="1151">
        <v>252</v>
      </c>
      <c r="D30" s="1151">
        <f t="shared" si="109"/>
        <v>252</v>
      </c>
      <c r="E30" s="1151">
        <v>409</v>
      </c>
      <c r="F30" s="1152">
        <v>227</v>
      </c>
      <c r="G30" s="3415">
        <v>2013</v>
      </c>
      <c r="H30" s="1161">
        <v>4</v>
      </c>
      <c r="I30" s="1161">
        <v>1.83</v>
      </c>
      <c r="J30" s="1161">
        <v>1.68</v>
      </c>
      <c r="K30" s="1161">
        <v>1.97</v>
      </c>
      <c r="L30" s="1190">
        <v>0.87</v>
      </c>
      <c r="N30" s="1179">
        <f t="shared" si="111"/>
        <v>1.83E-2</v>
      </c>
      <c r="O30" s="1180">
        <f t="shared" si="107"/>
        <v>1.6799999999999999E-2</v>
      </c>
      <c r="P30" s="1180">
        <f t="shared" si="107"/>
        <v>1.9699999999999999E-2</v>
      </c>
      <c r="Q30" s="1180">
        <f t="shared" si="107"/>
        <v>8.6999999999999994E-3</v>
      </c>
      <c r="R30" s="1208"/>
      <c r="S30" s="1209"/>
      <c r="T30" s="1210"/>
      <c r="U30" s="1210"/>
      <c r="V30" s="1210"/>
      <c r="X30" s="1210"/>
      <c r="Y30" s="1210"/>
      <c r="Z30" s="1210"/>
    </row>
    <row r="31" spans="1:34">
      <c r="A31" s="1142" t="s">
        <v>2111</v>
      </c>
      <c r="B31" s="1143">
        <f t="shared" ref="B31:C33" si="118">B30/(1+N30)</f>
        <v>293.62663262299901</v>
      </c>
      <c r="C31" s="1143">
        <f t="shared" si="118"/>
        <v>247.836349331235</v>
      </c>
      <c r="D31" s="1143">
        <f t="shared" si="109"/>
        <v>247.836349331235</v>
      </c>
      <c r="E31" s="1143">
        <f t="shared" ref="E31:F33" si="119">E30/(1+P30)</f>
        <v>401.09836226341099</v>
      </c>
      <c r="F31" s="1143">
        <f t="shared" si="119"/>
        <v>225.04213343908</v>
      </c>
      <c r="G31" s="3416"/>
      <c r="H31" s="1154">
        <v>3</v>
      </c>
      <c r="I31" s="1154">
        <v>1.86</v>
      </c>
      <c r="J31" s="1154">
        <v>1.72</v>
      </c>
      <c r="K31" s="1154">
        <v>1.98</v>
      </c>
      <c r="L31" s="1185">
        <v>0.88</v>
      </c>
      <c r="N31" s="1175">
        <f t="shared" si="111"/>
        <v>1.8599999999999998E-2</v>
      </c>
      <c r="O31" s="1181">
        <f t="shared" si="107"/>
        <v>1.72E-2</v>
      </c>
      <c r="P31" s="1181">
        <f t="shared" si="107"/>
        <v>1.9800000000000002E-2</v>
      </c>
      <c r="Q31" s="1181">
        <f t="shared" si="107"/>
        <v>8.8000000000000005E-3</v>
      </c>
      <c r="R31" s="1208"/>
      <c r="S31" s="1175"/>
      <c r="T31" s="1176"/>
      <c r="U31" s="1176"/>
      <c r="V31" s="1176"/>
    </row>
    <row r="32" spans="1:34">
      <c r="A32" s="1142" t="s">
        <v>2112</v>
      </c>
      <c r="B32" s="1143">
        <f t="shared" si="118"/>
        <v>288.264905382878</v>
      </c>
      <c r="C32" s="1143">
        <f t="shared" si="118"/>
        <v>243.64564425013299</v>
      </c>
      <c r="D32" s="1143">
        <f t="shared" si="109"/>
        <v>243.64564425013299</v>
      </c>
      <c r="E32" s="1143">
        <f t="shared" si="119"/>
        <v>393.31080825986498</v>
      </c>
      <c r="F32" s="1143">
        <f t="shared" si="119"/>
        <v>223.079037905512</v>
      </c>
      <c r="G32" s="3416"/>
      <c r="H32" s="1148">
        <v>2</v>
      </c>
      <c r="I32" s="1148">
        <v>2.04</v>
      </c>
      <c r="J32" s="1148">
        <v>2.33</v>
      </c>
      <c r="K32" s="1148">
        <v>2.0699999999999998</v>
      </c>
      <c r="L32" s="1178">
        <v>0.69</v>
      </c>
      <c r="N32" s="1175">
        <f t="shared" si="111"/>
        <v>2.0400000000000001E-2</v>
      </c>
      <c r="O32" s="1181">
        <f t="shared" si="107"/>
        <v>2.3300000000000001E-2</v>
      </c>
      <c r="P32" s="1181">
        <f t="shared" si="107"/>
        <v>2.07E-2</v>
      </c>
      <c r="Q32" s="1181">
        <f t="shared" si="107"/>
        <v>6.8999999999999999E-3</v>
      </c>
      <c r="R32" s="1208"/>
      <c r="S32" s="1175"/>
      <c r="T32" s="1176"/>
      <c r="U32" s="1176"/>
      <c r="V32" s="1176"/>
      <c r="X32" s="1216"/>
      <c r="Y32" s="1225"/>
    </row>
    <row r="33" spans="1:26">
      <c r="A33" s="1142" t="s">
        <v>2113</v>
      </c>
      <c r="B33" s="1143">
        <f t="shared" si="118"/>
        <v>282.50186729015797</v>
      </c>
      <c r="C33" s="1143">
        <f t="shared" si="118"/>
        <v>238.097961741555</v>
      </c>
      <c r="D33" s="1143">
        <f t="shared" si="109"/>
        <v>238.097961741555</v>
      </c>
      <c r="E33" s="1143">
        <f t="shared" si="119"/>
        <v>385.33438646014099</v>
      </c>
      <c r="F33" s="1143">
        <f t="shared" si="119"/>
        <v>221.550340555677</v>
      </c>
      <c r="G33" s="3417"/>
      <c r="H33" s="1144">
        <v>1</v>
      </c>
      <c r="I33" s="1144">
        <v>1.67</v>
      </c>
      <c r="J33" s="1144">
        <v>1.31</v>
      </c>
      <c r="K33" s="1144">
        <v>1.85</v>
      </c>
      <c r="L33" s="1174">
        <v>0.96</v>
      </c>
      <c r="N33" s="1182">
        <f t="shared" si="111"/>
        <v>1.67E-2</v>
      </c>
      <c r="O33" s="1183">
        <f t="shared" si="107"/>
        <v>1.3100000000000001E-2</v>
      </c>
      <c r="P33" s="1183">
        <f t="shared" si="107"/>
        <v>1.8499999999999999E-2</v>
      </c>
      <c r="Q33" s="1183">
        <f t="shared" si="107"/>
        <v>9.5999999999999992E-3</v>
      </c>
      <c r="R33" s="1208"/>
      <c r="S33" s="1182">
        <f>B33/B34-1</f>
        <v>1.61937672307855E-2</v>
      </c>
      <c r="T33" s="1183">
        <f>C33/C34-1</f>
        <v>1.7512657015190902E-2</v>
      </c>
      <c r="U33" s="1183">
        <f>E33/E34-1</f>
        <v>1.6713420739156999E-2</v>
      </c>
      <c r="V33" s="1183">
        <f>F33/F34-1</f>
        <v>7.0470025258062598E-3</v>
      </c>
      <c r="X33" s="1217"/>
      <c r="Y33" s="1218"/>
      <c r="Z33" s="1218"/>
    </row>
    <row r="34" spans="1:26">
      <c r="A34" s="1142" t="s">
        <v>2114</v>
      </c>
      <c r="B34" s="1162">
        <v>278</v>
      </c>
      <c r="C34" s="1162">
        <v>234</v>
      </c>
      <c r="D34" s="1162">
        <f t="shared" si="109"/>
        <v>234</v>
      </c>
      <c r="E34" s="1162">
        <v>379</v>
      </c>
      <c r="F34" s="1163">
        <v>220</v>
      </c>
      <c r="G34" s="3414">
        <v>2012</v>
      </c>
      <c r="H34" s="1153">
        <v>4</v>
      </c>
      <c r="I34" s="1153">
        <v>0.91</v>
      </c>
      <c r="J34" s="1153">
        <v>0.68</v>
      </c>
      <c r="K34" s="1153">
        <v>0.98</v>
      </c>
      <c r="L34" s="1184">
        <v>0.9</v>
      </c>
      <c r="N34" s="1175">
        <f t="shared" si="111"/>
        <v>9.1000000000000004E-3</v>
      </c>
      <c r="O34" s="1176">
        <f t="shared" si="111"/>
        <v>6.7999999999999996E-3</v>
      </c>
      <c r="P34" s="1176">
        <f t="shared" si="111"/>
        <v>9.7999999999999997E-3</v>
      </c>
      <c r="Q34" s="1176">
        <f t="shared" si="111"/>
        <v>8.9999999999999993E-3</v>
      </c>
      <c r="R34" s="1208"/>
      <c r="S34" s="1209"/>
      <c r="T34" s="1210"/>
      <c r="U34" s="1210"/>
      <c r="V34" s="1210"/>
      <c r="X34" s="1210"/>
      <c r="Y34" s="1210"/>
      <c r="Z34" s="1210"/>
    </row>
    <row r="35" spans="1:26">
      <c r="A35" s="1142" t="s">
        <v>2115</v>
      </c>
      <c r="B35" s="1143">
        <f>B34/(1+N34)</f>
        <v>275.49301357645402</v>
      </c>
      <c r="C35" s="1143">
        <f>C34/(1+O34)</f>
        <v>232.41954707985701</v>
      </c>
      <c r="D35" s="1143">
        <f t="shared" si="109"/>
        <v>232.41954707985701</v>
      </c>
      <c r="E35" s="1143">
        <f t="shared" ref="E35:F37" si="120">E34/(1+P34)</f>
        <v>375.32184591008098</v>
      </c>
      <c r="F35" s="1143">
        <f t="shared" si="120"/>
        <v>218.03766105054501</v>
      </c>
      <c r="G35" s="3410"/>
      <c r="H35" s="1154">
        <v>3</v>
      </c>
      <c r="I35" s="1154">
        <v>0.09</v>
      </c>
      <c r="J35" s="1154">
        <v>0.28999999999999998</v>
      </c>
      <c r="K35" s="1154">
        <v>-0.01</v>
      </c>
      <c r="L35" s="1185">
        <v>0.57999999999999996</v>
      </c>
      <c r="N35" s="1175">
        <f t="shared" si="111"/>
        <v>8.9999999999999998E-4</v>
      </c>
      <c r="O35" s="1176">
        <f t="shared" si="111"/>
        <v>2.8999999999999998E-3</v>
      </c>
      <c r="P35" s="1176">
        <f t="shared" si="111"/>
        <v>-1E-4</v>
      </c>
      <c r="Q35" s="1176">
        <f t="shared" si="111"/>
        <v>5.7999999999999996E-3</v>
      </c>
      <c r="R35" s="1208"/>
      <c r="S35" s="1175"/>
      <c r="T35" s="1176"/>
      <c r="U35" s="1176"/>
      <c r="V35" s="1176"/>
    </row>
    <row r="36" spans="1:26">
      <c r="A36" s="1142" t="s">
        <v>2116</v>
      </c>
      <c r="B36" s="1143">
        <f>B35/(1+N35)</f>
        <v>275.24529281292303</v>
      </c>
      <c r="C36" s="1143">
        <f>C35/(1+O35)</f>
        <v>231.74747938962699</v>
      </c>
      <c r="D36" s="1143">
        <f t="shared" si="109"/>
        <v>231.74747938962699</v>
      </c>
      <c r="E36" s="1143">
        <f t="shared" si="120"/>
        <v>375.35938184826603</v>
      </c>
      <c r="F36" s="1143">
        <f t="shared" si="120"/>
        <v>216.78033510692501</v>
      </c>
      <c r="G36" s="3410"/>
      <c r="H36" s="1148">
        <v>2</v>
      </c>
      <c r="I36" s="1148">
        <v>0.02</v>
      </c>
      <c r="J36" s="1148">
        <v>0.12</v>
      </c>
      <c r="K36" s="1148">
        <v>-0.08</v>
      </c>
      <c r="L36" s="1178">
        <v>1.24</v>
      </c>
      <c r="N36" s="1175">
        <f t="shared" si="111"/>
        <v>2.0000000000000001E-4</v>
      </c>
      <c r="O36" s="1176">
        <f t="shared" si="111"/>
        <v>1.1999999999999999E-3</v>
      </c>
      <c r="P36" s="1176">
        <f t="shared" si="111"/>
        <v>-8.0000000000000004E-4</v>
      </c>
      <c r="Q36" s="1176">
        <f t="shared" si="111"/>
        <v>1.24E-2</v>
      </c>
      <c r="R36" s="1208"/>
      <c r="S36" s="1175"/>
      <c r="T36" s="1176"/>
      <c r="U36" s="1176"/>
      <c r="V36" s="1176"/>
    </row>
    <row r="37" spans="1:26">
      <c r="A37" s="1142" t="s">
        <v>2117</v>
      </c>
      <c r="B37" s="1143">
        <f>B36/(1+N36)</f>
        <v>275.19025476196998</v>
      </c>
      <c r="C37" s="1164">
        <v>232</v>
      </c>
      <c r="D37" s="1164">
        <f t="shared" si="109"/>
        <v>232</v>
      </c>
      <c r="E37" s="1143">
        <f t="shared" si="120"/>
        <v>375.65990977608698</v>
      </c>
      <c r="F37" s="1143">
        <f t="shared" si="120"/>
        <v>214.12518283971301</v>
      </c>
      <c r="G37" s="3413"/>
      <c r="H37" s="1144">
        <v>1</v>
      </c>
      <c r="I37" s="1144">
        <v>0.02</v>
      </c>
      <c r="J37" s="1144">
        <v>0.13</v>
      </c>
      <c r="K37" s="1144">
        <v>-0.04</v>
      </c>
      <c r="L37" s="1174">
        <v>0.46</v>
      </c>
      <c r="N37" s="1175">
        <f t="shared" si="111"/>
        <v>2.0000000000000001E-4</v>
      </c>
      <c r="O37" s="1176">
        <f t="shared" si="111"/>
        <v>1.2999999999999999E-3</v>
      </c>
      <c r="P37" s="1176">
        <f t="shared" si="111"/>
        <v>-4.0000000000000002E-4</v>
      </c>
      <c r="Q37" s="1176">
        <f t="shared" si="111"/>
        <v>4.5999999999999999E-3</v>
      </c>
      <c r="R37" s="1208"/>
      <c r="S37" s="1182">
        <f>B37/B38-1</f>
        <v>6.91835498073612E-4</v>
      </c>
      <c r="T37" s="1183">
        <f>C37/C38-1</f>
        <v>0</v>
      </c>
      <c r="U37" s="1183">
        <f>E37/E38-1</f>
        <v>-9.0449527636460303E-4</v>
      </c>
      <c r="V37" s="1183">
        <f>F37/F38-1</f>
        <v>5.2825485432512797E-3</v>
      </c>
      <c r="X37" s="1218"/>
      <c r="Y37" s="1218"/>
      <c r="Z37" s="1218"/>
    </row>
    <row r="38" spans="1:26">
      <c r="A38" s="1142" t="s">
        <v>2118</v>
      </c>
      <c r="B38" s="1151">
        <v>275</v>
      </c>
      <c r="C38" s="1151">
        <v>232</v>
      </c>
      <c r="D38" s="1151">
        <f t="shared" si="109"/>
        <v>232</v>
      </c>
      <c r="E38" s="1151">
        <v>376</v>
      </c>
      <c r="F38" s="1152">
        <v>213</v>
      </c>
      <c r="G38" s="3414">
        <v>2011</v>
      </c>
      <c r="H38" s="1153">
        <v>4</v>
      </c>
      <c r="I38" s="1153">
        <v>-0.2</v>
      </c>
      <c r="J38" s="1153">
        <v>0.04</v>
      </c>
      <c r="K38" s="1153">
        <v>-0.34</v>
      </c>
      <c r="L38" s="1184">
        <v>0.46</v>
      </c>
      <c r="N38" s="1179">
        <f t="shared" si="111"/>
        <v>-2E-3</v>
      </c>
      <c r="O38" s="1180">
        <f t="shared" si="111"/>
        <v>4.0000000000000002E-4</v>
      </c>
      <c r="P38" s="1180">
        <f t="shared" si="111"/>
        <v>-3.3999999999999998E-3</v>
      </c>
      <c r="Q38" s="1180">
        <f t="shared" si="111"/>
        <v>4.5999999999999999E-3</v>
      </c>
      <c r="R38" s="1208"/>
      <c r="S38" s="1209"/>
      <c r="T38" s="1210"/>
      <c r="U38" s="1210"/>
      <c r="V38" s="1210"/>
      <c r="X38" s="1210"/>
      <c r="Y38" s="1210"/>
      <c r="Z38" s="1210"/>
    </row>
    <row r="39" spans="1:26">
      <c r="A39" s="1142" t="s">
        <v>2119</v>
      </c>
      <c r="B39" s="1143">
        <f t="shared" ref="B39:C41" si="121">B38/(1+N38)</f>
        <v>275.55110220440901</v>
      </c>
      <c r="C39" s="1143">
        <f t="shared" si="121"/>
        <v>231.907237105158</v>
      </c>
      <c r="D39" s="1143">
        <f t="shared" si="109"/>
        <v>231.907237105158</v>
      </c>
      <c r="E39" s="1143">
        <f t="shared" ref="E39:F41" si="122">E38/(1+P38)</f>
        <v>377.28276138872201</v>
      </c>
      <c r="F39" s="1143">
        <f t="shared" si="122"/>
        <v>212.02468644236501</v>
      </c>
      <c r="G39" s="3410">
        <v>2011</v>
      </c>
      <c r="H39" s="1154">
        <v>3</v>
      </c>
      <c r="I39" s="1154">
        <v>0.13</v>
      </c>
      <c r="J39" s="1154">
        <v>0.75</v>
      </c>
      <c r="K39" s="1154">
        <v>-0.08</v>
      </c>
      <c r="L39" s="1185">
        <v>0.53</v>
      </c>
      <c r="N39" s="1175">
        <f t="shared" si="111"/>
        <v>1.2999999999999999E-3</v>
      </c>
      <c r="O39" s="1181">
        <f t="shared" si="111"/>
        <v>7.4999999999999997E-3</v>
      </c>
      <c r="P39" s="1181">
        <f t="shared" si="111"/>
        <v>-8.0000000000000004E-4</v>
      </c>
      <c r="Q39" s="1181">
        <f t="shared" si="111"/>
        <v>5.3E-3</v>
      </c>
      <c r="R39" s="1208"/>
      <c r="S39" s="1175"/>
      <c r="T39" s="1176"/>
      <c r="U39" s="1176"/>
      <c r="V39" s="1176"/>
    </row>
    <row r="40" spans="1:26">
      <c r="A40" s="1142" t="s">
        <v>2120</v>
      </c>
      <c r="B40" s="1143">
        <f t="shared" si="121"/>
        <v>275.19335084830601</v>
      </c>
      <c r="C40" s="1143">
        <f t="shared" si="121"/>
        <v>230.18088050139701</v>
      </c>
      <c r="D40" s="1143">
        <f t="shared" si="109"/>
        <v>230.18088050139701</v>
      </c>
      <c r="E40" s="1143">
        <f t="shared" si="122"/>
        <v>377.58482925212297</v>
      </c>
      <c r="F40" s="1143">
        <f t="shared" si="122"/>
        <v>210.906879978479</v>
      </c>
      <c r="G40" s="3410">
        <v>2011</v>
      </c>
      <c r="H40" s="1148">
        <v>2</v>
      </c>
      <c r="I40" s="1148">
        <v>-0.4</v>
      </c>
      <c r="J40" s="1148">
        <v>0.17</v>
      </c>
      <c r="K40" s="1148">
        <v>-0.57999999999999996</v>
      </c>
      <c r="L40" s="1178">
        <v>-0.2</v>
      </c>
      <c r="N40" s="1175">
        <f t="shared" si="111"/>
        <v>-4.0000000000000001E-3</v>
      </c>
      <c r="O40" s="1181">
        <f t="shared" si="111"/>
        <v>1.6999999999999999E-3</v>
      </c>
      <c r="P40" s="1181">
        <f t="shared" si="111"/>
        <v>-5.7999999999999996E-3</v>
      </c>
      <c r="Q40" s="1181">
        <f t="shared" si="111"/>
        <v>-2E-3</v>
      </c>
      <c r="R40" s="1208"/>
      <c r="S40" s="1175"/>
      <c r="T40" s="1176"/>
      <c r="U40" s="1176"/>
      <c r="V40" s="1176"/>
    </row>
    <row r="41" spans="1:26">
      <c r="A41" s="1142" t="s">
        <v>2121</v>
      </c>
      <c r="B41" s="1143">
        <f t="shared" si="121"/>
        <v>276.29854502841999</v>
      </c>
      <c r="C41" s="1143">
        <f t="shared" si="121"/>
        <v>229.79023709833001</v>
      </c>
      <c r="D41" s="1143">
        <f t="shared" si="109"/>
        <v>229.79023709833001</v>
      </c>
      <c r="E41" s="1143">
        <f t="shared" si="122"/>
        <v>379.78759731655902</v>
      </c>
      <c r="F41" s="1143">
        <f t="shared" si="122"/>
        <v>211.32953905659201</v>
      </c>
      <c r="G41" s="3413">
        <v>2011</v>
      </c>
      <c r="H41" s="1144">
        <v>1</v>
      </c>
      <c r="I41" s="1144">
        <v>2.65</v>
      </c>
      <c r="J41" s="1144">
        <v>3.76</v>
      </c>
      <c r="K41" s="1144">
        <v>1.89</v>
      </c>
      <c r="L41" s="1174">
        <v>7.95</v>
      </c>
      <c r="N41" s="1182">
        <f t="shared" si="111"/>
        <v>2.6499999999999999E-2</v>
      </c>
      <c r="O41" s="1183">
        <f t="shared" si="111"/>
        <v>3.7600000000000001E-2</v>
      </c>
      <c r="P41" s="1183">
        <f t="shared" si="111"/>
        <v>1.89E-2</v>
      </c>
      <c r="Q41" s="1183">
        <f t="shared" si="111"/>
        <v>7.9500000000000001E-2</v>
      </c>
      <c r="R41" s="1208"/>
      <c r="S41" s="1182">
        <f>B41/B42-1</f>
        <v>2.7132137652117898E-2</v>
      </c>
      <c r="T41" s="1183">
        <f>C41/C42-1</f>
        <v>3.9774828499231897E-2</v>
      </c>
      <c r="U41" s="1183">
        <f>E41/E42-1</f>
        <v>1.81973118406418E-2</v>
      </c>
      <c r="V41" s="1183">
        <f>F41/F42-1</f>
        <v>7.8211933962205799E-2</v>
      </c>
      <c r="X41" s="1218"/>
      <c r="Y41" s="1218"/>
      <c r="Z41" s="1218"/>
    </row>
    <row r="42" spans="1:26">
      <c r="A42" s="1142" t="s">
        <v>2122</v>
      </c>
      <c r="B42" s="1151">
        <v>269</v>
      </c>
      <c r="C42" s="1151">
        <v>221</v>
      </c>
      <c r="D42" s="1151">
        <f t="shared" si="109"/>
        <v>221</v>
      </c>
      <c r="E42" s="1151">
        <v>373</v>
      </c>
      <c r="F42" s="1152">
        <v>196</v>
      </c>
      <c r="G42" s="3414">
        <v>2010</v>
      </c>
      <c r="H42" s="1153">
        <v>4</v>
      </c>
      <c r="I42" s="1153">
        <v>5.72</v>
      </c>
      <c r="J42" s="1153">
        <v>6.57</v>
      </c>
      <c r="K42" s="1153">
        <v>5.72</v>
      </c>
      <c r="L42" s="1184">
        <v>2.72</v>
      </c>
      <c r="N42" s="1175">
        <f t="shared" si="111"/>
        <v>5.7200000000000001E-2</v>
      </c>
      <c r="O42" s="1176">
        <f t="shared" si="111"/>
        <v>6.5699999999999995E-2</v>
      </c>
      <c r="P42" s="1176">
        <f t="shared" si="111"/>
        <v>5.7200000000000001E-2</v>
      </c>
      <c r="Q42" s="1176">
        <f t="shared" si="111"/>
        <v>2.7199999999999998E-2</v>
      </c>
      <c r="R42" s="1208"/>
      <c r="S42" s="1209"/>
      <c r="T42" s="1210"/>
      <c r="U42" s="1210"/>
      <c r="V42" s="1210"/>
      <c r="X42" s="1210"/>
      <c r="Y42" s="1210"/>
      <c r="Z42" s="1210"/>
    </row>
    <row r="43" spans="1:26">
      <c r="A43" s="1142" t="s">
        <v>2123</v>
      </c>
      <c r="B43" s="1143">
        <f t="shared" ref="B43:C45" si="123">B42/(1+N42)</f>
        <v>254.445705637533</v>
      </c>
      <c r="C43" s="1143">
        <f t="shared" si="123"/>
        <v>207.375433987051</v>
      </c>
      <c r="D43" s="1143">
        <f t="shared" si="109"/>
        <v>207.375433987051</v>
      </c>
      <c r="E43" s="1143">
        <f t="shared" ref="E43:F45" si="124">E42/(1+P42)</f>
        <v>352.81876655315898</v>
      </c>
      <c r="F43" s="1143">
        <f t="shared" si="124"/>
        <v>190.809968847352</v>
      </c>
      <c r="G43" s="3410">
        <v>2010</v>
      </c>
      <c r="H43" s="1154">
        <v>3</v>
      </c>
      <c r="I43" s="1154">
        <v>4.7300000000000004</v>
      </c>
      <c r="J43" s="1154">
        <v>3.9</v>
      </c>
      <c r="K43" s="1154">
        <v>5.03</v>
      </c>
      <c r="L43" s="1185">
        <v>4.21</v>
      </c>
      <c r="N43" s="1175">
        <f t="shared" si="111"/>
        <v>4.7300000000000002E-2</v>
      </c>
      <c r="O43" s="1176">
        <f t="shared" si="111"/>
        <v>3.9E-2</v>
      </c>
      <c r="P43" s="1176">
        <f t="shared" si="111"/>
        <v>5.0299999999999997E-2</v>
      </c>
      <c r="Q43" s="1176">
        <f t="shared" si="111"/>
        <v>4.2099999999999999E-2</v>
      </c>
      <c r="R43" s="1208"/>
      <c r="S43" s="1175"/>
      <c r="T43" s="1176"/>
      <c r="U43" s="1176"/>
      <c r="V43" s="1176"/>
    </row>
    <row r="44" spans="1:26">
      <c r="A44" s="1142" t="s">
        <v>2124</v>
      </c>
      <c r="B44" s="1143">
        <f t="shared" si="123"/>
        <v>242.95398227588399</v>
      </c>
      <c r="C44" s="1143">
        <f t="shared" si="123"/>
        <v>199.591370536141</v>
      </c>
      <c r="D44" s="1143">
        <f t="shared" si="109"/>
        <v>199.591370536141</v>
      </c>
      <c r="E44" s="1143">
        <f t="shared" si="124"/>
        <v>335.92189522342102</v>
      </c>
      <c r="F44" s="1143">
        <f t="shared" si="124"/>
        <v>183.101399911095</v>
      </c>
      <c r="G44" s="3410">
        <v>2010</v>
      </c>
      <c r="H44" s="1148">
        <v>2</v>
      </c>
      <c r="I44" s="1148">
        <v>4.6900000000000004</v>
      </c>
      <c r="J44" s="1148">
        <v>3.55</v>
      </c>
      <c r="K44" s="1148">
        <v>5.07</v>
      </c>
      <c r="L44" s="1178">
        <v>4.2300000000000004</v>
      </c>
      <c r="N44" s="1175">
        <f t="shared" si="111"/>
        <v>4.6899999999999997E-2</v>
      </c>
      <c r="O44" s="1176">
        <f t="shared" si="111"/>
        <v>3.5499999999999997E-2</v>
      </c>
      <c r="P44" s="1176">
        <f t="shared" si="111"/>
        <v>5.0700000000000002E-2</v>
      </c>
      <c r="Q44" s="1176">
        <f t="shared" si="111"/>
        <v>4.2299999999999997E-2</v>
      </c>
      <c r="R44" s="1208"/>
      <c r="S44" s="1175"/>
      <c r="T44" s="1176"/>
      <c r="U44" s="1176"/>
      <c r="V44" s="1176"/>
    </row>
    <row r="45" spans="1:26">
      <c r="A45" s="1142" t="s">
        <v>2125</v>
      </c>
      <c r="B45" s="1143">
        <f t="shared" si="123"/>
        <v>232.06990378821601</v>
      </c>
      <c r="C45" s="1143">
        <f t="shared" si="123"/>
        <v>192.74878854286899</v>
      </c>
      <c r="D45" s="1143">
        <f t="shared" si="109"/>
        <v>192.74878854286899</v>
      </c>
      <c r="E45" s="1143">
        <f t="shared" si="124"/>
        <v>319.71247284993001</v>
      </c>
      <c r="F45" s="1143">
        <f t="shared" si="124"/>
        <v>175.670536228624</v>
      </c>
      <c r="G45" s="3413">
        <v>2010</v>
      </c>
      <c r="H45" s="1144">
        <v>1</v>
      </c>
      <c r="I45" s="1144">
        <v>5.4</v>
      </c>
      <c r="J45" s="1144">
        <v>3.2</v>
      </c>
      <c r="K45" s="1144">
        <v>6.16</v>
      </c>
      <c r="L45" s="1174">
        <v>4.51</v>
      </c>
      <c r="N45" s="1175">
        <f t="shared" si="111"/>
        <v>5.3999999999999999E-2</v>
      </c>
      <c r="O45" s="1176">
        <f t="shared" si="111"/>
        <v>3.2000000000000001E-2</v>
      </c>
      <c r="P45" s="1176">
        <f t="shared" si="111"/>
        <v>6.1600000000000002E-2</v>
      </c>
      <c r="Q45" s="1176">
        <f t="shared" si="111"/>
        <v>4.5100000000000001E-2</v>
      </c>
      <c r="R45" s="1208"/>
      <c r="S45" s="1182">
        <f>B45/B46-1</f>
        <v>5.4863199037347599E-2</v>
      </c>
      <c r="T45" s="1183">
        <f>C45/C46-1</f>
        <v>3.0742184721226602E-2</v>
      </c>
      <c r="U45" s="1183">
        <f>E45/E46-1</f>
        <v>6.2167683886810203E-2</v>
      </c>
      <c r="V45" s="1183">
        <f>F45/F46-1</f>
        <v>4.5657953741810003E-2</v>
      </c>
      <c r="X45" s="1218"/>
      <c r="Y45" s="1218"/>
      <c r="Z45" s="1218"/>
    </row>
    <row r="46" spans="1:26">
      <c r="A46" s="1142" t="s">
        <v>2126</v>
      </c>
      <c r="B46" s="1151">
        <v>220</v>
      </c>
      <c r="C46" s="1151">
        <v>187</v>
      </c>
      <c r="D46" s="1151">
        <f t="shared" si="109"/>
        <v>187</v>
      </c>
      <c r="E46" s="1151">
        <v>301</v>
      </c>
      <c r="F46" s="1152">
        <v>168</v>
      </c>
      <c r="G46" s="3414">
        <v>2009</v>
      </c>
      <c r="H46" s="1153">
        <v>4</v>
      </c>
      <c r="I46" s="1153">
        <v>2.2999999999999998</v>
      </c>
      <c r="J46" s="1153">
        <v>1.04</v>
      </c>
      <c r="K46" s="1153">
        <v>2.84</v>
      </c>
      <c r="L46" s="1184">
        <v>0.67</v>
      </c>
      <c r="N46" s="1179">
        <f t="shared" si="111"/>
        <v>2.3E-2</v>
      </c>
      <c r="O46" s="1180">
        <f t="shared" si="111"/>
        <v>1.04E-2</v>
      </c>
      <c r="P46" s="1180">
        <f t="shared" si="111"/>
        <v>2.8400000000000002E-2</v>
      </c>
      <c r="Q46" s="1180">
        <f t="shared" si="111"/>
        <v>6.7000000000000002E-3</v>
      </c>
      <c r="R46" s="1208"/>
      <c r="S46" s="1209"/>
      <c r="T46" s="1210"/>
      <c r="U46" s="1210"/>
      <c r="V46" s="1210"/>
      <c r="X46" s="1210"/>
      <c r="Y46" s="1210"/>
      <c r="Z46" s="1210"/>
    </row>
    <row r="47" spans="1:26">
      <c r="A47" s="1142" t="s">
        <v>2127</v>
      </c>
      <c r="B47" s="1143">
        <f t="shared" ref="B47:C49" si="125">B46/(1+N46)</f>
        <v>215.05376344086</v>
      </c>
      <c r="C47" s="1143">
        <f t="shared" si="125"/>
        <v>185.07521773555001</v>
      </c>
      <c r="D47" s="1143">
        <f t="shared" si="109"/>
        <v>185.07521773555001</v>
      </c>
      <c r="E47" s="1143">
        <f t="shared" ref="E47:F49" si="126">E46/(1+P46)</f>
        <v>292.68767016725002</v>
      </c>
      <c r="F47" s="1143">
        <f t="shared" si="126"/>
        <v>166.881891328102</v>
      </c>
      <c r="G47" s="3410">
        <v>2009</v>
      </c>
      <c r="H47" s="1154">
        <v>3</v>
      </c>
      <c r="I47" s="1154">
        <v>2.1</v>
      </c>
      <c r="J47" s="1154">
        <v>1.86</v>
      </c>
      <c r="K47" s="1154">
        <v>2.29</v>
      </c>
      <c r="L47" s="1185">
        <v>0.85</v>
      </c>
      <c r="N47" s="1175">
        <f t="shared" si="111"/>
        <v>2.1000000000000001E-2</v>
      </c>
      <c r="O47" s="1181">
        <f t="shared" si="111"/>
        <v>1.8599999999999998E-2</v>
      </c>
      <c r="P47" s="1181">
        <f t="shared" si="111"/>
        <v>2.29E-2</v>
      </c>
      <c r="Q47" s="1181">
        <f t="shared" si="111"/>
        <v>8.5000000000000006E-3</v>
      </c>
      <c r="R47" s="1208"/>
      <c r="S47" s="1175"/>
      <c r="T47" s="1176"/>
      <c r="U47" s="1176"/>
      <c r="V47" s="1176"/>
    </row>
    <row r="48" spans="1:26">
      <c r="A48" s="1142" t="s">
        <v>2128</v>
      </c>
      <c r="B48" s="1143">
        <f t="shared" si="125"/>
        <v>210.630522469011</v>
      </c>
      <c r="C48" s="1143">
        <f t="shared" si="125"/>
        <v>181.695678122472</v>
      </c>
      <c r="D48" s="1143">
        <f t="shared" si="109"/>
        <v>181.695678122472</v>
      </c>
      <c r="E48" s="1143">
        <f t="shared" si="126"/>
        <v>286.13517466736698</v>
      </c>
      <c r="F48" s="1143">
        <f t="shared" si="126"/>
        <v>165.47535084591101</v>
      </c>
      <c r="G48" s="3410">
        <v>2009</v>
      </c>
      <c r="H48" s="1148">
        <v>2</v>
      </c>
      <c r="I48" s="1148">
        <v>0.86</v>
      </c>
      <c r="J48" s="1148">
        <v>-1.1299999999999999</v>
      </c>
      <c r="K48" s="1148">
        <v>1.79</v>
      </c>
      <c r="L48" s="1178">
        <v>-2.0699999999999998</v>
      </c>
      <c r="N48" s="1175">
        <f t="shared" si="111"/>
        <v>8.6E-3</v>
      </c>
      <c r="O48" s="1181">
        <f t="shared" si="111"/>
        <v>-1.1299999999999999E-2</v>
      </c>
      <c r="P48" s="1181">
        <f t="shared" si="111"/>
        <v>1.7899999999999999E-2</v>
      </c>
      <c r="Q48" s="1181">
        <f t="shared" si="111"/>
        <v>-2.07E-2</v>
      </c>
      <c r="R48" s="1208"/>
      <c r="S48" s="1175"/>
      <c r="T48" s="1176"/>
      <c r="U48" s="1176"/>
      <c r="V48" s="1176"/>
    </row>
    <row r="49" spans="1:26">
      <c r="A49" s="1142" t="s">
        <v>2129</v>
      </c>
      <c r="B49" s="1143">
        <f t="shared" si="125"/>
        <v>208.834545378754</v>
      </c>
      <c r="C49" s="1143">
        <f t="shared" si="125"/>
        <v>183.77230517090399</v>
      </c>
      <c r="D49" s="1143">
        <f t="shared" si="109"/>
        <v>183.77230517090399</v>
      </c>
      <c r="E49" s="1143">
        <f t="shared" si="126"/>
        <v>281.10342338870902</v>
      </c>
      <c r="F49" s="1143">
        <f t="shared" si="126"/>
        <v>168.97309388942301</v>
      </c>
      <c r="G49" s="3413">
        <v>2009</v>
      </c>
      <c r="H49" s="1144">
        <v>1</v>
      </c>
      <c r="I49" s="1144">
        <v>-2.64</v>
      </c>
      <c r="J49" s="1144">
        <v>-2.5299999999999998</v>
      </c>
      <c r="K49" s="1144">
        <v>-3.02</v>
      </c>
      <c r="L49" s="1174">
        <v>1.52</v>
      </c>
      <c r="N49" s="1182">
        <f t="shared" si="111"/>
        <v>-2.64E-2</v>
      </c>
      <c r="O49" s="1183">
        <f t="shared" si="111"/>
        <v>-2.53E-2</v>
      </c>
      <c r="P49" s="1183">
        <f t="shared" si="111"/>
        <v>-3.0200000000000001E-2</v>
      </c>
      <c r="Q49" s="1183">
        <f t="shared" si="111"/>
        <v>1.52E-2</v>
      </c>
      <c r="R49" s="1208"/>
      <c r="S49" s="1182">
        <f>B49/B50-1</f>
        <v>-2.4137638417038799E-2</v>
      </c>
      <c r="T49" s="1183">
        <f>C49/C50-1</f>
        <v>-2.2487738452641001E-2</v>
      </c>
      <c r="U49" s="1183">
        <f>E49/E50-1</f>
        <v>-2.73237945027354E-2</v>
      </c>
      <c r="V49" s="1183">
        <f>F49/F50-1</f>
        <v>1.7910204153148E-2</v>
      </c>
      <c r="X49" s="1218"/>
      <c r="Y49" s="1218"/>
      <c r="Z49" s="1218"/>
    </row>
    <row r="50" spans="1:26">
      <c r="A50" s="1142" t="s">
        <v>2130</v>
      </c>
      <c r="B50" s="1162">
        <v>214</v>
      </c>
      <c r="C50" s="1162">
        <v>188</v>
      </c>
      <c r="D50" s="1162">
        <f t="shared" si="109"/>
        <v>188</v>
      </c>
      <c r="E50" s="1162">
        <v>289</v>
      </c>
      <c r="F50" s="1163">
        <v>166</v>
      </c>
      <c r="G50" s="3414">
        <v>2008</v>
      </c>
      <c r="H50" s="1153">
        <v>4</v>
      </c>
      <c r="I50" s="1153">
        <v>1.73</v>
      </c>
      <c r="J50" s="1153">
        <v>0.03</v>
      </c>
      <c r="K50" s="1153">
        <v>2.59</v>
      </c>
      <c r="L50" s="1184">
        <v>-1.66</v>
      </c>
      <c r="N50" s="1175">
        <f t="shared" si="111"/>
        <v>1.7299999999999999E-2</v>
      </c>
      <c r="O50" s="1176">
        <f t="shared" si="111"/>
        <v>2.9999999999999997E-4</v>
      </c>
      <c r="P50" s="1176">
        <f t="shared" si="111"/>
        <v>2.5899999999999999E-2</v>
      </c>
      <c r="Q50" s="1176">
        <f t="shared" si="111"/>
        <v>-1.66E-2</v>
      </c>
      <c r="R50" s="1208"/>
      <c r="S50" s="1209"/>
      <c r="T50" s="1210"/>
      <c r="U50" s="1210"/>
      <c r="V50" s="1210"/>
      <c r="X50" s="1210"/>
      <c r="Y50" s="1210"/>
      <c r="Z50" s="1210"/>
    </row>
    <row r="51" spans="1:26">
      <c r="A51" s="1142" t="s">
        <v>2131</v>
      </c>
      <c r="B51" s="1143">
        <f t="shared" ref="B51:C53" si="127">B50/(1+N50)</f>
        <v>210.36075887152299</v>
      </c>
      <c r="C51" s="1143">
        <f t="shared" si="127"/>
        <v>187.943616914926</v>
      </c>
      <c r="D51" s="1143">
        <f t="shared" si="109"/>
        <v>187.943616914926</v>
      </c>
      <c r="E51" s="1143">
        <f t="shared" ref="E51:F53" si="128">E50/(1+P50)</f>
        <v>281.703869772882</v>
      </c>
      <c r="F51" s="1143">
        <f t="shared" si="128"/>
        <v>168.80211511083999</v>
      </c>
      <c r="G51" s="3410">
        <v>2008</v>
      </c>
      <c r="H51" s="1154">
        <v>3</v>
      </c>
      <c r="I51" s="1154">
        <v>1.96</v>
      </c>
      <c r="J51" s="1154">
        <v>2.36</v>
      </c>
      <c r="K51" s="1154">
        <v>1.82</v>
      </c>
      <c r="L51" s="1185">
        <v>2.2200000000000002</v>
      </c>
      <c r="N51" s="1175">
        <f t="shared" si="111"/>
        <v>1.9599999999999999E-2</v>
      </c>
      <c r="O51" s="1176">
        <f t="shared" si="111"/>
        <v>2.3599999999999999E-2</v>
      </c>
      <c r="P51" s="1176">
        <f t="shared" si="111"/>
        <v>1.8200000000000001E-2</v>
      </c>
      <c r="Q51" s="1176">
        <f t="shared" si="111"/>
        <v>2.2200000000000001E-2</v>
      </c>
      <c r="R51" s="1208"/>
      <c r="S51" s="1175"/>
      <c r="T51" s="1176"/>
      <c r="U51" s="1176"/>
      <c r="V51" s="1176"/>
    </row>
    <row r="52" spans="1:26">
      <c r="A52" s="1142" t="s">
        <v>2132</v>
      </c>
      <c r="B52" s="1143">
        <f t="shared" si="127"/>
        <v>206.31694671589099</v>
      </c>
      <c r="C52" s="1143">
        <f t="shared" si="127"/>
        <v>183.61041121036101</v>
      </c>
      <c r="D52" s="1143">
        <f t="shared" si="109"/>
        <v>183.61041121036101</v>
      </c>
      <c r="E52" s="1143">
        <f t="shared" si="128"/>
        <v>276.66850301795603</v>
      </c>
      <c r="F52" s="1143">
        <f t="shared" si="128"/>
        <v>165.136093827861</v>
      </c>
      <c r="G52" s="3410">
        <v>2008</v>
      </c>
      <c r="H52" s="1148">
        <v>2</v>
      </c>
      <c r="I52" s="1148">
        <v>4.93</v>
      </c>
      <c r="J52" s="1148">
        <v>7.38</v>
      </c>
      <c r="K52" s="1148">
        <v>3.98</v>
      </c>
      <c r="L52" s="1178">
        <v>6.86</v>
      </c>
      <c r="N52" s="1175">
        <f t="shared" si="111"/>
        <v>4.9299999999999997E-2</v>
      </c>
      <c r="O52" s="1176">
        <f t="shared" si="111"/>
        <v>7.3800000000000004E-2</v>
      </c>
      <c r="P52" s="1176">
        <f t="shared" si="111"/>
        <v>3.9800000000000002E-2</v>
      </c>
      <c r="Q52" s="1176">
        <f t="shared" si="111"/>
        <v>6.8599999999999994E-2</v>
      </c>
      <c r="R52" s="1208"/>
      <c r="S52" s="1175"/>
      <c r="T52" s="1176"/>
      <c r="U52" s="1176"/>
      <c r="V52" s="1176"/>
    </row>
    <row r="53" spans="1:26" s="1121" customFormat="1">
      <c r="A53" s="1142" t="s">
        <v>2133</v>
      </c>
      <c r="B53" s="1165">
        <f t="shared" si="127"/>
        <v>196.62341248059801</v>
      </c>
      <c r="C53" s="1165">
        <f t="shared" si="127"/>
        <v>170.99125648199001</v>
      </c>
      <c r="D53" s="1165">
        <f t="shared" si="109"/>
        <v>170.99125648199001</v>
      </c>
      <c r="E53" s="1165">
        <f t="shared" si="128"/>
        <v>266.07857570490103</v>
      </c>
      <c r="F53" s="1165">
        <f t="shared" si="128"/>
        <v>154.53499328828499</v>
      </c>
      <c r="G53" s="3413">
        <v>2008</v>
      </c>
      <c r="H53" s="1166">
        <v>1</v>
      </c>
      <c r="I53" s="1166">
        <v>4.1399999999999997</v>
      </c>
      <c r="J53" s="1166">
        <v>3.45</v>
      </c>
      <c r="K53" s="1166">
        <v>4.95</v>
      </c>
      <c r="L53" s="1191">
        <v>4.82</v>
      </c>
      <c r="N53" s="1192">
        <f t="shared" si="111"/>
        <v>4.1399999999999999E-2</v>
      </c>
      <c r="O53" s="1193">
        <f t="shared" si="111"/>
        <v>3.4500000000000003E-2</v>
      </c>
      <c r="P53" s="1193">
        <f t="shared" si="111"/>
        <v>4.9500000000000002E-2</v>
      </c>
      <c r="Q53" s="1193">
        <f t="shared" si="111"/>
        <v>4.82E-2</v>
      </c>
      <c r="R53" s="1219"/>
      <c r="S53" s="1192">
        <f>B53/B54-1</f>
        <v>4.5869215322328301E-2</v>
      </c>
      <c r="T53" s="1193">
        <f>C53/C54-1</f>
        <v>3.6310645345394701E-2</v>
      </c>
      <c r="U53" s="1193">
        <f>E53/E54-1</f>
        <v>4.7553447657088702E-2</v>
      </c>
      <c r="V53" s="1193">
        <f>F53/F54-1</f>
        <v>4.41553600559801E-2</v>
      </c>
      <c r="X53" s="1220"/>
      <c r="Y53" s="1220"/>
      <c r="Z53" s="1220"/>
    </row>
    <row r="54" spans="1:26">
      <c r="A54" s="1142" t="s">
        <v>2134</v>
      </c>
      <c r="B54" s="1151">
        <v>188</v>
      </c>
      <c r="C54" s="1151">
        <v>165</v>
      </c>
      <c r="D54" s="1151">
        <f t="shared" si="109"/>
        <v>165</v>
      </c>
      <c r="E54" s="1151">
        <v>254</v>
      </c>
      <c r="F54" s="1152">
        <v>148</v>
      </c>
      <c r="G54" s="3414">
        <v>2007</v>
      </c>
      <c r="H54" s="1167">
        <v>4</v>
      </c>
      <c r="I54" s="1167">
        <v>5.51</v>
      </c>
      <c r="J54" s="1167">
        <v>4.8899999999999997</v>
      </c>
      <c r="K54" s="1167">
        <v>6.43</v>
      </c>
      <c r="L54" s="1194">
        <v>5.36</v>
      </c>
      <c r="N54" s="1195">
        <f t="shared" ref="N54:O57" si="129">B54/B55-1</f>
        <v>4.1339718365245498E-2</v>
      </c>
      <c r="O54" s="1196">
        <f t="shared" si="129"/>
        <v>4.0324492593775997E-2</v>
      </c>
      <c r="P54" s="1196">
        <f t="shared" ref="P54:Q57" si="130">E54/E55-1</f>
        <v>6.1625555347991003E-2</v>
      </c>
      <c r="Q54" s="1196">
        <f t="shared" si="130"/>
        <v>4.6757569250590603E-2</v>
      </c>
      <c r="R54" s="1208"/>
      <c r="S54" s="1209"/>
      <c r="T54" s="1210"/>
      <c r="U54" s="1210"/>
      <c r="V54" s="1210"/>
      <c r="X54" s="1210"/>
      <c r="Y54" s="1210"/>
      <c r="Z54" s="1210"/>
    </row>
    <row r="55" spans="1:26">
      <c r="A55" s="1142" t="s">
        <v>2135</v>
      </c>
      <c r="B55" s="1143">
        <f t="shared" ref="B55:C57" si="131">B56+(B$54-B$58)*I55/SUM(I$54:I$57)</f>
        <v>180.536665109762</v>
      </c>
      <c r="C55" s="1143">
        <f t="shared" si="131"/>
        <v>158.60435967302499</v>
      </c>
      <c r="D55" s="1143">
        <f t="shared" si="109"/>
        <v>158.60435967302499</v>
      </c>
      <c r="E55" s="1143">
        <f t="shared" ref="E55:F57" si="132">E56+(E$54-E$58)*K55/SUM(K$54:K$57)</f>
        <v>239.255732607851</v>
      </c>
      <c r="F55" s="1143">
        <f t="shared" si="132"/>
        <v>141.3889943074</v>
      </c>
      <c r="G55" s="3410">
        <v>2007</v>
      </c>
      <c r="H55" s="1154">
        <v>3</v>
      </c>
      <c r="I55" s="1154">
        <v>8.65</v>
      </c>
      <c r="J55" s="1154">
        <v>8.06</v>
      </c>
      <c r="K55" s="1154">
        <v>9.94</v>
      </c>
      <c r="L55" s="1185">
        <v>5.8</v>
      </c>
      <c r="N55" s="1195">
        <f t="shared" si="129"/>
        <v>6.9402175717400094E-2</v>
      </c>
      <c r="O55" s="1196">
        <f t="shared" si="129"/>
        <v>7.11974824711534E-2</v>
      </c>
      <c r="P55" s="1196">
        <f t="shared" si="130"/>
        <v>0.105296799225796</v>
      </c>
      <c r="Q55" s="1196">
        <f t="shared" si="130"/>
        <v>5.3292245059512099E-2</v>
      </c>
      <c r="R55" s="1208"/>
      <c r="S55" s="1175"/>
      <c r="T55" s="1176"/>
      <c r="U55" s="1176"/>
      <c r="V55" s="1176"/>
      <c r="X55" s="1221"/>
      <c r="Y55" s="1221"/>
      <c r="Z55" s="1221"/>
    </row>
    <row r="56" spans="1:26">
      <c r="A56" s="1142" t="s">
        <v>2136</v>
      </c>
      <c r="B56" s="1143">
        <f t="shared" si="131"/>
        <v>168.820177487156</v>
      </c>
      <c r="C56" s="1143">
        <f t="shared" si="131"/>
        <v>148.06267029972801</v>
      </c>
      <c r="D56" s="1143">
        <f t="shared" si="109"/>
        <v>148.06267029972801</v>
      </c>
      <c r="E56" s="1143">
        <f t="shared" si="132"/>
        <v>216.46288379323701</v>
      </c>
      <c r="F56" s="1143">
        <f t="shared" si="132"/>
        <v>134.23529411764699</v>
      </c>
      <c r="G56" s="3410">
        <v>2007</v>
      </c>
      <c r="H56" s="1148">
        <v>2</v>
      </c>
      <c r="I56" s="1148">
        <v>3.67</v>
      </c>
      <c r="J56" s="1148">
        <v>2.3199999999999998</v>
      </c>
      <c r="K56" s="1148">
        <v>5.0199999999999996</v>
      </c>
      <c r="L56" s="1178">
        <v>6.71</v>
      </c>
      <c r="N56" s="1195">
        <f t="shared" si="129"/>
        <v>3.0339138143848001E-2</v>
      </c>
      <c r="O56" s="1196">
        <f t="shared" si="129"/>
        <v>2.09223415887905E-2</v>
      </c>
      <c r="P56" s="1196">
        <f t="shared" si="130"/>
        <v>5.6164796592717003E-2</v>
      </c>
      <c r="Q56" s="1196">
        <f t="shared" si="130"/>
        <v>6.5704536723887305E-2</v>
      </c>
      <c r="R56" s="1208"/>
      <c r="S56" s="1175"/>
      <c r="T56" s="1176"/>
      <c r="U56" s="1176"/>
      <c r="V56" s="1176"/>
      <c r="X56" s="1221"/>
      <c r="Y56" s="1221"/>
      <c r="Z56" s="1221"/>
    </row>
    <row r="57" spans="1:26">
      <c r="A57" s="1142" t="s">
        <v>2137</v>
      </c>
      <c r="B57" s="1143">
        <f t="shared" si="131"/>
        <v>163.849135917795</v>
      </c>
      <c r="C57" s="1143">
        <f t="shared" si="131"/>
        <v>145.028337874659</v>
      </c>
      <c r="D57" s="1143">
        <f t="shared" si="109"/>
        <v>145.028337874659</v>
      </c>
      <c r="E57" s="1143">
        <f t="shared" si="132"/>
        <v>204.95180722891601</v>
      </c>
      <c r="F57" s="1143">
        <f t="shared" si="132"/>
        <v>125.959203036053</v>
      </c>
      <c r="G57" s="3413">
        <v>2007</v>
      </c>
      <c r="H57" s="1144">
        <v>1</v>
      </c>
      <c r="I57" s="1144">
        <v>3.58</v>
      </c>
      <c r="J57" s="1144">
        <v>3.08</v>
      </c>
      <c r="K57" s="1144">
        <v>4.34</v>
      </c>
      <c r="L57" s="1174">
        <v>3.21</v>
      </c>
      <c r="N57" s="1197">
        <f t="shared" si="129"/>
        <v>3.0497710174814101E-2</v>
      </c>
      <c r="O57" s="1198">
        <f t="shared" si="129"/>
        <v>2.8569772160705002E-2</v>
      </c>
      <c r="P57" s="1198">
        <f t="shared" si="130"/>
        <v>5.1034908866234303E-2</v>
      </c>
      <c r="Q57" s="1198">
        <f t="shared" si="130"/>
        <v>3.2452483902074801E-2</v>
      </c>
      <c r="R57" s="1208"/>
      <c r="S57" s="1182">
        <f>B57/B58-1</f>
        <v>3.0497710174814101E-2</v>
      </c>
      <c r="T57" s="1183">
        <f>C57/C58-1</f>
        <v>2.8569772160705002E-2</v>
      </c>
      <c r="U57" s="1183">
        <f>E57/E58-1</f>
        <v>5.1034908866234303E-2</v>
      </c>
      <c r="V57" s="1183">
        <f>F57/F58-1</f>
        <v>3.2452483902074801E-2</v>
      </c>
      <c r="X57" s="1221"/>
      <c r="Y57" s="1221"/>
      <c r="Z57" s="1221"/>
    </row>
    <row r="58" spans="1:26">
      <c r="A58" s="1142" t="s">
        <v>2138</v>
      </c>
      <c r="B58" s="1155">
        <v>159</v>
      </c>
      <c r="C58" s="1155">
        <v>141</v>
      </c>
      <c r="D58" s="1155">
        <f t="shared" si="109"/>
        <v>141</v>
      </c>
      <c r="E58" s="1155">
        <v>195</v>
      </c>
      <c r="F58" s="1156">
        <v>122</v>
      </c>
      <c r="G58" s="3414">
        <v>2006</v>
      </c>
      <c r="H58" s="1153">
        <v>4</v>
      </c>
      <c r="I58" s="1153">
        <v>3.79</v>
      </c>
      <c r="J58" s="1153">
        <v>2.21</v>
      </c>
      <c r="K58" s="1153">
        <v>5.65</v>
      </c>
      <c r="L58" s="1184">
        <v>5.41</v>
      </c>
      <c r="N58" s="1195">
        <f t="shared" ref="N58:O61" si="133">I58/SUM(I$58:I$61)*(B$58/B$62-1)</f>
        <v>7.2454664627485302E-2</v>
      </c>
      <c r="O58" s="1196">
        <f t="shared" si="133"/>
        <v>2.3237230038062801E-2</v>
      </c>
      <c r="P58" s="1196">
        <f t="shared" ref="P58:Q61" si="134">K58/SUM(K$58:K$61)*(E$58/E$62-1)</f>
        <v>0.161468938663237</v>
      </c>
      <c r="Q58" s="1196">
        <f t="shared" si="134"/>
        <v>5.0755230321793798E-2</v>
      </c>
      <c r="R58" s="1208"/>
      <c r="S58" s="1209"/>
      <c r="T58" s="1210"/>
      <c r="U58" s="1210"/>
      <c r="V58" s="1210"/>
      <c r="X58" s="1221"/>
      <c r="Y58" s="1221"/>
      <c r="Z58" s="1221"/>
    </row>
    <row r="59" spans="1:26">
      <c r="A59" s="1142" t="s">
        <v>2139</v>
      </c>
      <c r="B59" s="1143">
        <f t="shared" ref="B59:C61" si="135">B60+(B$58-B$62)*I59/SUM(I$58:I$61)</f>
        <v>149.001256281407</v>
      </c>
      <c r="C59" s="1143">
        <f t="shared" si="135"/>
        <v>137.955922865014</v>
      </c>
      <c r="D59" s="1143">
        <f t="shared" si="109"/>
        <v>137.955922865014</v>
      </c>
      <c r="E59" s="1143">
        <f t="shared" ref="E59:F61" si="136">E60+(E$58-E$62)*K59/SUM(K$58:K$61)</f>
        <v>169.97231450719801</v>
      </c>
      <c r="F59" s="1143">
        <f t="shared" si="136"/>
        <v>116.213903743316</v>
      </c>
      <c r="G59" s="3410">
        <v>2006</v>
      </c>
      <c r="H59" s="1154">
        <v>3</v>
      </c>
      <c r="I59" s="1154">
        <v>0.92</v>
      </c>
      <c r="J59" s="1154">
        <v>1.08</v>
      </c>
      <c r="K59" s="1154">
        <v>0.73</v>
      </c>
      <c r="L59" s="1185">
        <v>1.08</v>
      </c>
      <c r="N59" s="1195">
        <f t="shared" si="133"/>
        <v>1.75879396984925E-2</v>
      </c>
      <c r="O59" s="1196">
        <f t="shared" si="133"/>
        <v>1.13557504258406E-2</v>
      </c>
      <c r="P59" s="1196">
        <f t="shared" si="134"/>
        <v>2.0862358446754499E-2</v>
      </c>
      <c r="Q59" s="1196">
        <f t="shared" si="134"/>
        <v>1.0132282578103001E-2</v>
      </c>
      <c r="R59" s="1208"/>
      <c r="S59" s="1175"/>
      <c r="T59" s="1176"/>
      <c r="U59" s="1176"/>
      <c r="V59" s="1176"/>
      <c r="X59" s="1221"/>
      <c r="Y59" s="1221"/>
      <c r="Z59" s="1221"/>
    </row>
    <row r="60" spans="1:26">
      <c r="A60" s="1142" t="s">
        <v>2140</v>
      </c>
      <c r="B60" s="1143">
        <f t="shared" si="135"/>
        <v>146.57412060301499</v>
      </c>
      <c r="C60" s="1143">
        <f t="shared" si="135"/>
        <v>136.468319559229</v>
      </c>
      <c r="D60" s="1143">
        <f t="shared" si="109"/>
        <v>136.468319559229</v>
      </c>
      <c r="E60" s="1143">
        <f t="shared" si="136"/>
        <v>166.73864894795099</v>
      </c>
      <c r="F60" s="1143">
        <f t="shared" si="136"/>
        <v>115.058823529412</v>
      </c>
      <c r="G60" s="3410">
        <v>2006</v>
      </c>
      <c r="H60" s="1148">
        <v>2</v>
      </c>
      <c r="I60" s="1148">
        <v>0.96</v>
      </c>
      <c r="J60" s="1148">
        <v>0.25</v>
      </c>
      <c r="K60" s="1148">
        <v>1.9</v>
      </c>
      <c r="L60" s="1178">
        <v>0.95</v>
      </c>
      <c r="N60" s="1195">
        <f t="shared" si="133"/>
        <v>1.8352632728861701E-2</v>
      </c>
      <c r="O60" s="1196">
        <f t="shared" si="133"/>
        <v>2.62864593190755E-3</v>
      </c>
      <c r="P60" s="1196">
        <f t="shared" si="134"/>
        <v>5.4299289107991297E-2</v>
      </c>
      <c r="Q60" s="1196">
        <f t="shared" si="134"/>
        <v>8.9126559714794995E-3</v>
      </c>
      <c r="R60" s="1208"/>
      <c r="S60" s="1175"/>
      <c r="T60" s="1176"/>
      <c r="U60" s="1176"/>
      <c r="V60" s="1176"/>
      <c r="X60" s="1221"/>
      <c r="Y60" s="1221"/>
      <c r="Z60" s="1221"/>
    </row>
    <row r="61" spans="1:26">
      <c r="A61" s="1142" t="s">
        <v>2141</v>
      </c>
      <c r="B61" s="1143">
        <f t="shared" si="135"/>
        <v>144.04145728643201</v>
      </c>
      <c r="C61" s="1143">
        <f t="shared" si="135"/>
        <v>136.123966942149</v>
      </c>
      <c r="D61" s="1143">
        <f t="shared" si="109"/>
        <v>136.123966942149</v>
      </c>
      <c r="E61" s="1143">
        <f t="shared" si="136"/>
        <v>158.32225913621301</v>
      </c>
      <c r="F61" s="1143">
        <f t="shared" si="136"/>
        <v>114.04278074866301</v>
      </c>
      <c r="G61" s="3413">
        <v>2006</v>
      </c>
      <c r="H61" s="1144">
        <v>1</v>
      </c>
      <c r="I61" s="1144">
        <v>2.29</v>
      </c>
      <c r="J61" s="1144">
        <v>3.72</v>
      </c>
      <c r="K61" s="1144">
        <v>0.75</v>
      </c>
      <c r="L61" s="1174">
        <v>0.04</v>
      </c>
      <c r="N61" s="1197">
        <f t="shared" si="133"/>
        <v>4.3778675988638799E-2</v>
      </c>
      <c r="O61" s="1198">
        <f t="shared" si="133"/>
        <v>3.9114251466784399E-2</v>
      </c>
      <c r="P61" s="1198">
        <f t="shared" si="134"/>
        <v>2.1433929911049199E-2</v>
      </c>
      <c r="Q61" s="1198">
        <f t="shared" si="134"/>
        <v>3.7526972511492602E-4</v>
      </c>
      <c r="R61" s="1208"/>
      <c r="S61" s="1182">
        <f>B61/B62-1</f>
        <v>4.3778675988638702E-2</v>
      </c>
      <c r="T61" s="1183">
        <f>C61/C62-1</f>
        <v>3.91142514667846E-2</v>
      </c>
      <c r="U61" s="1183">
        <f>E61/E62-1</f>
        <v>2.1433929911049299E-2</v>
      </c>
      <c r="V61" s="1183">
        <f>F61/F62-1</f>
        <v>3.7526972511492401E-4</v>
      </c>
      <c r="X61" s="1221"/>
      <c r="Y61" s="1221"/>
      <c r="Z61" s="1221"/>
    </row>
    <row r="62" spans="1:26">
      <c r="A62" s="1142" t="s">
        <v>2142</v>
      </c>
      <c r="B62" s="1155">
        <v>138</v>
      </c>
      <c r="C62" s="1155">
        <v>131</v>
      </c>
      <c r="D62" s="1155">
        <f t="shared" si="109"/>
        <v>131</v>
      </c>
      <c r="E62" s="1155">
        <v>155</v>
      </c>
      <c r="F62" s="1156">
        <v>114</v>
      </c>
      <c r="G62" s="3414">
        <v>2005</v>
      </c>
      <c r="H62" s="1153">
        <v>4</v>
      </c>
      <c r="I62" s="1153">
        <v>3.29</v>
      </c>
      <c r="J62" s="1153">
        <v>1.44</v>
      </c>
      <c r="K62" s="1153">
        <v>0.66</v>
      </c>
      <c r="L62" s="1184">
        <v>7.78</v>
      </c>
      <c r="N62" s="1195">
        <f t="shared" ref="N62:O65" si="137">I62/SUM(I$62:I$65)*(B$62/B$66-1)</f>
        <v>9.9404603216919907E-2</v>
      </c>
      <c r="O62" s="1196">
        <f t="shared" si="137"/>
        <v>4.7636550760861603E-2</v>
      </c>
      <c r="P62" s="1196">
        <f t="shared" ref="P62:Q65" si="138">K62/SUM(K$62:K$65)*(E$62/E$66-1)</f>
        <v>8.3756345177665004E-2</v>
      </c>
      <c r="Q62" s="1196">
        <f t="shared" si="138"/>
        <v>5.2148766661559598E-2</v>
      </c>
      <c r="R62" s="1208"/>
      <c r="S62" s="1209"/>
      <c r="T62" s="1210"/>
      <c r="U62" s="1210"/>
      <c r="V62" s="1210"/>
      <c r="X62" s="1221"/>
      <c r="Y62" s="1221"/>
      <c r="Z62" s="1221"/>
    </row>
    <row r="63" spans="1:26">
      <c r="A63" s="1142" t="s">
        <v>2143</v>
      </c>
      <c r="B63" s="1143">
        <f t="shared" ref="B63:C65" si="139">B64+(B$62-B$66)*I63/SUM(I$62:I$65)</f>
        <v>125.972043010753</v>
      </c>
      <c r="C63" s="1143">
        <f t="shared" si="139"/>
        <v>125.188340807175</v>
      </c>
      <c r="D63" s="1143">
        <f t="shared" si="109"/>
        <v>125.188340807175</v>
      </c>
      <c r="E63" s="1143">
        <f t="shared" ref="E63:F65" si="140">E64+(E$62-E$66)*K63/SUM(K$62:K$65)</f>
        <v>144.61421319797</v>
      </c>
      <c r="F63" s="1143">
        <f t="shared" si="140"/>
        <v>108.42008196721299</v>
      </c>
      <c r="G63" s="3410">
        <v>2005</v>
      </c>
      <c r="H63" s="1154">
        <v>3</v>
      </c>
      <c r="I63" s="1154">
        <v>0.46</v>
      </c>
      <c r="J63" s="1154">
        <v>0.32</v>
      </c>
      <c r="K63" s="1154">
        <v>0.42</v>
      </c>
      <c r="L63" s="1185">
        <v>0.64</v>
      </c>
      <c r="N63" s="1195">
        <f t="shared" si="137"/>
        <v>1.38985159513019E-2</v>
      </c>
      <c r="O63" s="1196">
        <f t="shared" si="137"/>
        <v>1.0585900169080301E-2</v>
      </c>
      <c r="P63" s="1196">
        <f t="shared" si="138"/>
        <v>5.3299492385786802E-2</v>
      </c>
      <c r="Q63" s="1196">
        <f t="shared" si="138"/>
        <v>4.2898728359123603E-3</v>
      </c>
      <c r="R63" s="1208"/>
      <c r="S63" s="1175"/>
      <c r="T63" s="1176"/>
      <c r="U63" s="1176"/>
      <c r="V63" s="1176"/>
      <c r="X63" s="1221"/>
      <c r="Y63" s="1221"/>
      <c r="Z63" s="1221"/>
    </row>
    <row r="64" spans="1:26">
      <c r="A64" s="1142" t="s">
        <v>2144</v>
      </c>
      <c r="B64" s="1143">
        <f t="shared" si="139"/>
        <v>124.290322580645</v>
      </c>
      <c r="C64" s="1143">
        <f t="shared" si="139"/>
        <v>123.896860986547</v>
      </c>
      <c r="D64" s="1143">
        <f t="shared" si="109"/>
        <v>123.896860986547</v>
      </c>
      <c r="E64" s="1143">
        <f t="shared" si="140"/>
        <v>138.005076142132</v>
      </c>
      <c r="F64" s="1143">
        <f t="shared" si="140"/>
        <v>107.96106557377</v>
      </c>
      <c r="G64" s="3410">
        <v>2005</v>
      </c>
      <c r="H64" s="1148">
        <v>2</v>
      </c>
      <c r="I64" s="1148">
        <v>0.47</v>
      </c>
      <c r="J64" s="1148">
        <v>0.1</v>
      </c>
      <c r="K64" s="1148">
        <v>0.52</v>
      </c>
      <c r="L64" s="1178">
        <v>0.79</v>
      </c>
      <c r="N64" s="1195">
        <f t="shared" si="137"/>
        <v>1.4200657602417101E-2</v>
      </c>
      <c r="O64" s="1196">
        <f t="shared" si="137"/>
        <v>3.30809380283761E-3</v>
      </c>
      <c r="P64" s="1196">
        <f t="shared" si="138"/>
        <v>6.5989847715736002E-2</v>
      </c>
      <c r="Q64" s="1196">
        <f t="shared" si="138"/>
        <v>5.2953117818293196E-3</v>
      </c>
      <c r="R64" s="1208"/>
      <c r="S64" s="1175"/>
      <c r="T64" s="1176"/>
      <c r="U64" s="1176"/>
      <c r="V64" s="1176"/>
      <c r="X64" s="1221"/>
      <c r="Y64" s="1221"/>
      <c r="Z64" s="1221"/>
    </row>
    <row r="65" spans="1:26">
      <c r="A65" s="1142" t="s">
        <v>2145</v>
      </c>
      <c r="B65" s="1143">
        <f t="shared" si="139"/>
        <v>122.57204301075301</v>
      </c>
      <c r="C65" s="1143">
        <f t="shared" si="139"/>
        <v>123.493273542601</v>
      </c>
      <c r="D65" s="1143">
        <f t="shared" si="109"/>
        <v>123.493273542601</v>
      </c>
      <c r="E65" s="1143">
        <f t="shared" si="140"/>
        <v>129.82233502538099</v>
      </c>
      <c r="F65" s="1143">
        <f t="shared" si="140"/>
        <v>107.39446721311501</v>
      </c>
      <c r="G65" s="3413">
        <v>2005</v>
      </c>
      <c r="H65" s="1144">
        <v>1</v>
      </c>
      <c r="I65" s="1144">
        <v>0.43</v>
      </c>
      <c r="J65" s="1144">
        <v>0.37</v>
      </c>
      <c r="K65" s="1144">
        <v>0.37</v>
      </c>
      <c r="L65" s="1174">
        <v>0.55000000000000004</v>
      </c>
      <c r="N65" s="1197">
        <f t="shared" si="137"/>
        <v>1.2992090997956099E-2</v>
      </c>
      <c r="O65" s="1198">
        <f t="shared" si="137"/>
        <v>1.22399470704992E-2</v>
      </c>
      <c r="P65" s="1198">
        <f t="shared" si="138"/>
        <v>4.6954314720812199E-2</v>
      </c>
      <c r="Q65" s="1198">
        <f t="shared" si="138"/>
        <v>3.6866094683621802E-3</v>
      </c>
      <c r="R65" s="1208"/>
      <c r="S65" s="1182">
        <f>B65/B66-1</f>
        <v>1.29920909979562E-2</v>
      </c>
      <c r="T65" s="1183">
        <f>C65/C66-1</f>
        <v>1.22399470704992E-2</v>
      </c>
      <c r="U65" s="1183">
        <f>E65/E66-1</f>
        <v>4.6954314720812199E-2</v>
      </c>
      <c r="V65" s="1183">
        <f>F65/F66-1</f>
        <v>3.68660946836208E-3</v>
      </c>
      <c r="X65" s="1221"/>
      <c r="Y65" s="1221"/>
      <c r="Z65" s="1221"/>
    </row>
    <row r="66" spans="1:26">
      <c r="A66" s="1142" t="s">
        <v>2146</v>
      </c>
      <c r="B66" s="1162">
        <v>121</v>
      </c>
      <c r="C66" s="1162">
        <v>122</v>
      </c>
      <c r="D66" s="1162">
        <f t="shared" si="109"/>
        <v>122</v>
      </c>
      <c r="E66" s="1162">
        <v>124</v>
      </c>
      <c r="F66" s="1163">
        <v>107</v>
      </c>
      <c r="G66" s="3414">
        <v>2004</v>
      </c>
      <c r="H66" s="1153">
        <v>4</v>
      </c>
      <c r="I66" s="1153">
        <v>0.33</v>
      </c>
      <c r="J66" s="1153">
        <v>0.5</v>
      </c>
      <c r="K66" s="1153">
        <v>0.5</v>
      </c>
      <c r="L66" s="1184">
        <v>0</v>
      </c>
      <c r="N66" s="1195">
        <f t="shared" ref="N66:O69" si="141">I66/SUM(I$66:I$69)*(B$66/B$70-1)</f>
        <v>1.33917701485269E-2</v>
      </c>
      <c r="O66" s="1196">
        <f t="shared" si="141"/>
        <v>1.0632642211589599E-2</v>
      </c>
      <c r="P66" s="1196">
        <f t="shared" ref="P66:Q69" si="142">K66/SUM(K$66:K$69)*(E$66/E$70-1)</f>
        <v>2.2244466688911099E-2</v>
      </c>
      <c r="Q66" s="1196">
        <f t="shared" si="142"/>
        <v>0</v>
      </c>
      <c r="R66" s="1208"/>
      <c r="S66" s="1209"/>
      <c r="T66" s="1210"/>
      <c r="U66" s="1210"/>
      <c r="V66" s="1210"/>
      <c r="X66" s="1221"/>
      <c r="Y66" s="1221"/>
      <c r="Z66" s="1221"/>
    </row>
    <row r="67" spans="1:26">
      <c r="A67" s="1142" t="s">
        <v>2147</v>
      </c>
      <c r="B67" s="1143">
        <f t="shared" ref="B67:C69" si="143">B68+(B$66-B$70)*I67/SUM(I$66:I$69)</f>
        <v>119.513513513514</v>
      </c>
      <c r="C67" s="1143">
        <f t="shared" si="143"/>
        <v>120.787878787879</v>
      </c>
      <c r="D67" s="1143">
        <f t="shared" si="109"/>
        <v>120.787878787879</v>
      </c>
      <c r="E67" s="1143">
        <f t="shared" ref="E67:F69" si="144">E68+(E$66-E$70)*K67/SUM(K$66:K$69)</f>
        <v>121.597597597598</v>
      </c>
      <c r="F67" s="1143">
        <f t="shared" si="144"/>
        <v>107</v>
      </c>
      <c r="G67" s="3410">
        <v>2004</v>
      </c>
      <c r="H67" s="1154">
        <v>3</v>
      </c>
      <c r="I67" s="1154">
        <v>0.56000000000000005</v>
      </c>
      <c r="J67" s="1154">
        <v>0.8</v>
      </c>
      <c r="K67" s="1154">
        <v>0.83</v>
      </c>
      <c r="L67" s="1185">
        <v>0.06</v>
      </c>
      <c r="N67" s="1195">
        <f t="shared" si="141"/>
        <v>2.2725428130833499E-2</v>
      </c>
      <c r="O67" s="1196">
        <f t="shared" si="141"/>
        <v>1.7012227538543302E-2</v>
      </c>
      <c r="P67" s="1196">
        <f t="shared" si="142"/>
        <v>3.6925814703592498E-2</v>
      </c>
      <c r="Q67" s="1196">
        <f t="shared" si="142"/>
        <v>2.8846153846153699E-2</v>
      </c>
      <c r="R67" s="1208"/>
      <c r="S67" s="1175"/>
      <c r="T67" s="1176"/>
      <c r="U67" s="1176"/>
      <c r="V67" s="1176"/>
      <c r="X67" s="1221"/>
      <c r="Y67" s="1221"/>
      <c r="Z67" s="1221"/>
    </row>
    <row r="68" spans="1:26">
      <c r="A68" s="1142" t="s">
        <v>2148</v>
      </c>
      <c r="B68" s="1143">
        <f t="shared" si="143"/>
        <v>116.99099099099099</v>
      </c>
      <c r="C68" s="1143">
        <f t="shared" si="143"/>
        <v>118.848484848485</v>
      </c>
      <c r="D68" s="1143">
        <f t="shared" si="109"/>
        <v>118.848484848485</v>
      </c>
      <c r="E68" s="1143">
        <f t="shared" si="144"/>
        <v>117.60960960961</v>
      </c>
      <c r="F68" s="1143">
        <f t="shared" si="144"/>
        <v>104</v>
      </c>
      <c r="G68" s="3410">
        <v>2004</v>
      </c>
      <c r="H68" s="1148">
        <v>2</v>
      </c>
      <c r="I68" s="1148">
        <v>1</v>
      </c>
      <c r="J68" s="1148">
        <v>1.5</v>
      </c>
      <c r="K68" s="1148">
        <v>1.5</v>
      </c>
      <c r="L68" s="1178">
        <v>0</v>
      </c>
      <c r="N68" s="1195">
        <f t="shared" si="141"/>
        <v>4.05811216622027E-2</v>
      </c>
      <c r="O68" s="1196">
        <f t="shared" si="141"/>
        <v>3.1897926634768703E-2</v>
      </c>
      <c r="P68" s="1196">
        <f t="shared" si="142"/>
        <v>6.6733400066733395E-2</v>
      </c>
      <c r="Q68" s="1196">
        <f t="shared" si="142"/>
        <v>0</v>
      </c>
      <c r="R68" s="1208"/>
      <c r="S68" s="1175"/>
      <c r="T68" s="1176"/>
      <c r="U68" s="1176"/>
      <c r="V68" s="1176"/>
      <c r="X68" s="1221"/>
      <c r="Y68" s="1221"/>
      <c r="Z68" s="1221"/>
    </row>
    <row r="69" spans="1:26" s="1121" customFormat="1">
      <c r="A69" s="1142" t="s">
        <v>2149</v>
      </c>
      <c r="B69" s="1165">
        <f t="shared" si="143"/>
        <v>112.486486486486</v>
      </c>
      <c r="C69" s="1165">
        <f t="shared" si="143"/>
        <v>115.212121212121</v>
      </c>
      <c r="D69" s="1165">
        <f t="shared" si="109"/>
        <v>115.212121212121</v>
      </c>
      <c r="E69" s="1165">
        <f t="shared" si="144"/>
        <v>110.402402402402</v>
      </c>
      <c r="F69" s="1165">
        <f t="shared" si="144"/>
        <v>104</v>
      </c>
      <c r="G69" s="3413">
        <v>2004</v>
      </c>
      <c r="H69" s="1166">
        <v>1</v>
      </c>
      <c r="I69" s="1166">
        <v>0.33</v>
      </c>
      <c r="J69" s="1166">
        <v>0.5</v>
      </c>
      <c r="K69" s="1166">
        <v>0.5</v>
      </c>
      <c r="L69" s="1191">
        <v>0</v>
      </c>
      <c r="N69" s="1239">
        <f t="shared" si="141"/>
        <v>1.33917701485269E-2</v>
      </c>
      <c r="O69" s="1240">
        <f t="shared" si="141"/>
        <v>1.0632642211589599E-2</v>
      </c>
      <c r="P69" s="1240">
        <f t="shared" si="142"/>
        <v>2.2244466688911099E-2</v>
      </c>
      <c r="Q69" s="1240">
        <f t="shared" si="142"/>
        <v>0</v>
      </c>
      <c r="R69" s="1219"/>
      <c r="S69" s="1192">
        <f>B69/B70-1</f>
        <v>1.33917701485269E-2</v>
      </c>
      <c r="T69" s="1193">
        <f>C69/C70-1</f>
        <v>1.06326422115897E-2</v>
      </c>
      <c r="U69" s="1193">
        <f>E69/E70-1</f>
        <v>2.22444666889112E-2</v>
      </c>
      <c r="V69" s="1193">
        <f>F69/F70-1</f>
        <v>0</v>
      </c>
      <c r="X69" s="1247"/>
      <c r="Y69" s="1247"/>
      <c r="Z69" s="1247"/>
    </row>
    <row r="70" spans="1:26">
      <c r="A70" s="1142" t="s">
        <v>2150</v>
      </c>
      <c r="B70" s="1226">
        <v>111</v>
      </c>
      <c r="C70" s="1226">
        <v>114</v>
      </c>
      <c r="D70" s="1226">
        <f t="shared" si="109"/>
        <v>114</v>
      </c>
      <c r="E70" s="1226">
        <v>108</v>
      </c>
      <c r="F70" s="1227">
        <v>104</v>
      </c>
      <c r="G70" s="3414">
        <v>2003</v>
      </c>
      <c r="H70" s="1167">
        <v>4</v>
      </c>
      <c r="I70" s="1241"/>
      <c r="J70" s="1241"/>
      <c r="K70" s="1241"/>
      <c r="L70" s="1241"/>
      <c r="N70" s="1242"/>
      <c r="O70" s="1241"/>
      <c r="P70" s="1241"/>
      <c r="Q70" s="1241"/>
      <c r="S70" s="1242"/>
      <c r="T70" s="1241"/>
      <c r="U70" s="1241"/>
      <c r="V70" s="1241"/>
      <c r="X70" s="1221"/>
      <c r="Y70" s="1221"/>
      <c r="Z70" s="1221"/>
    </row>
    <row r="71" spans="1:26">
      <c r="A71" s="1142" t="s">
        <v>2151</v>
      </c>
      <c r="B71" s="1228">
        <f t="shared" ref="B71:C73" si="145">B72+(B$70-B$74)/4</f>
        <v>109.75</v>
      </c>
      <c r="C71" s="1228">
        <f t="shared" si="145"/>
        <v>112.25</v>
      </c>
      <c r="D71" s="1228">
        <f t="shared" si="109"/>
        <v>112.25</v>
      </c>
      <c r="E71" s="1228">
        <f t="shared" ref="E71:F73" si="146">E72+(E$70-E$74)/4</f>
        <v>107.25</v>
      </c>
      <c r="F71" s="1228">
        <f t="shared" si="146"/>
        <v>103.5</v>
      </c>
      <c r="G71" s="3410">
        <v>2003</v>
      </c>
      <c r="H71" s="1154">
        <v>3</v>
      </c>
      <c r="I71" s="1241"/>
      <c r="J71" s="1241"/>
      <c r="K71" s="1241"/>
      <c r="L71" s="1241"/>
      <c r="X71" s="1221"/>
      <c r="Y71" s="1221"/>
      <c r="Z71" s="1221"/>
    </row>
    <row r="72" spans="1:26">
      <c r="A72" s="1142" t="s">
        <v>2152</v>
      </c>
      <c r="B72" s="1228">
        <f t="shared" si="145"/>
        <v>108.5</v>
      </c>
      <c r="C72" s="1228">
        <f t="shared" si="145"/>
        <v>110.5</v>
      </c>
      <c r="D72" s="1228">
        <f t="shared" si="109"/>
        <v>110.5</v>
      </c>
      <c r="E72" s="1228">
        <f t="shared" si="146"/>
        <v>106.5</v>
      </c>
      <c r="F72" s="1228">
        <f t="shared" si="146"/>
        <v>103</v>
      </c>
      <c r="G72" s="3410">
        <v>2003</v>
      </c>
      <c r="H72" s="1148">
        <v>2</v>
      </c>
      <c r="I72" s="1241"/>
      <c r="J72" s="1241"/>
      <c r="K72" s="1241"/>
      <c r="L72" s="1241"/>
      <c r="X72" s="1221"/>
      <c r="Y72" s="1221"/>
      <c r="Z72" s="1221"/>
    </row>
    <row r="73" spans="1:26">
      <c r="A73" s="1142" t="s">
        <v>2153</v>
      </c>
      <c r="B73" s="1228">
        <f t="shared" si="145"/>
        <v>107.25</v>
      </c>
      <c r="C73" s="1228">
        <f t="shared" si="145"/>
        <v>108.75</v>
      </c>
      <c r="D73" s="1228">
        <f t="shared" si="109"/>
        <v>108.75</v>
      </c>
      <c r="E73" s="1228">
        <f t="shared" si="146"/>
        <v>105.75</v>
      </c>
      <c r="F73" s="1228">
        <f t="shared" si="146"/>
        <v>102.5</v>
      </c>
      <c r="G73" s="3413">
        <v>2003</v>
      </c>
      <c r="H73" s="1229">
        <v>1</v>
      </c>
      <c r="I73" s="1241"/>
      <c r="J73" s="1241"/>
      <c r="K73" s="1241"/>
      <c r="L73" s="1241"/>
      <c r="S73" s="1175"/>
      <c r="T73" s="1176"/>
      <c r="U73" s="1176"/>
      <c r="X73" s="1221"/>
      <c r="Y73" s="1221"/>
      <c r="Z73" s="1221"/>
    </row>
    <row r="74" spans="1:26">
      <c r="A74" s="1142" t="s">
        <v>2154</v>
      </c>
      <c r="B74" s="1230">
        <v>106</v>
      </c>
      <c r="C74" s="1230">
        <v>107</v>
      </c>
      <c r="D74" s="1230">
        <f t="shared" si="109"/>
        <v>107</v>
      </c>
      <c r="E74" s="1230">
        <v>105</v>
      </c>
      <c r="F74" s="1231">
        <v>102</v>
      </c>
      <c r="G74" s="3414">
        <v>2002</v>
      </c>
      <c r="H74" s="1153">
        <v>4</v>
      </c>
      <c r="I74" s="1241"/>
      <c r="J74" s="1241"/>
      <c r="K74" s="1241"/>
      <c r="L74" s="1241"/>
      <c r="N74" s="1242"/>
      <c r="O74" s="1241"/>
      <c r="P74" s="1241"/>
      <c r="Q74" s="1241"/>
      <c r="S74" s="1242"/>
      <c r="T74" s="1241"/>
      <c r="U74" s="1241"/>
      <c r="V74" s="1241"/>
      <c r="X74" s="1221"/>
      <c r="Y74" s="1221"/>
      <c r="Z74" s="1221"/>
    </row>
    <row r="75" spans="1:26">
      <c r="A75" s="1142" t="s">
        <v>2155</v>
      </c>
      <c r="B75" s="1228">
        <f t="shared" ref="B75:C77" si="147">B76+(B$74-B$78)/4</f>
        <v>105</v>
      </c>
      <c r="C75" s="1228">
        <f t="shared" si="147"/>
        <v>106</v>
      </c>
      <c r="D75" s="1228">
        <f t="shared" si="109"/>
        <v>106</v>
      </c>
      <c r="E75" s="1228">
        <f t="shared" ref="E75:F77" si="148">E76+(E$74-E$78)/4</f>
        <v>104.5</v>
      </c>
      <c r="F75" s="1228">
        <f t="shared" si="148"/>
        <v>101.5</v>
      </c>
      <c r="G75" s="3410">
        <v>2002</v>
      </c>
      <c r="H75" s="1154">
        <v>3</v>
      </c>
      <c r="I75" s="1241"/>
      <c r="J75" s="1241"/>
      <c r="K75" s="1241"/>
      <c r="L75" s="1241"/>
      <c r="X75" s="1221"/>
      <c r="Y75" s="1221"/>
      <c r="Z75" s="1221"/>
    </row>
    <row r="76" spans="1:26">
      <c r="A76" s="1142" t="s">
        <v>2156</v>
      </c>
      <c r="B76" s="1228">
        <f t="shared" si="147"/>
        <v>104</v>
      </c>
      <c r="C76" s="1228">
        <f t="shared" si="147"/>
        <v>105</v>
      </c>
      <c r="D76" s="1228">
        <f t="shared" si="109"/>
        <v>105</v>
      </c>
      <c r="E76" s="1228">
        <f t="shared" si="148"/>
        <v>104</v>
      </c>
      <c r="F76" s="1228">
        <f t="shared" si="148"/>
        <v>101</v>
      </c>
      <c r="G76" s="3410">
        <v>2002</v>
      </c>
      <c r="H76" s="1148">
        <v>2</v>
      </c>
      <c r="I76" s="1241"/>
      <c r="J76" s="1241"/>
      <c r="K76" s="1241"/>
      <c r="L76" s="1241"/>
      <c r="X76" s="1221"/>
      <c r="Y76" s="1221"/>
      <c r="Z76" s="1221"/>
    </row>
    <row r="77" spans="1:26" s="1120" customFormat="1">
      <c r="A77" s="1158" t="s">
        <v>2157</v>
      </c>
      <c r="B77" s="1232">
        <f t="shared" si="147"/>
        <v>103</v>
      </c>
      <c r="C77" s="1232">
        <f t="shared" si="147"/>
        <v>104</v>
      </c>
      <c r="D77" s="1232">
        <f t="shared" si="109"/>
        <v>104</v>
      </c>
      <c r="E77" s="1232">
        <f t="shared" si="148"/>
        <v>103.5</v>
      </c>
      <c r="F77" s="1232">
        <f t="shared" si="148"/>
        <v>100.5</v>
      </c>
      <c r="G77" s="3413">
        <v>2002</v>
      </c>
      <c r="H77" s="1233">
        <v>1</v>
      </c>
      <c r="I77" s="1243"/>
      <c r="J77" s="1243"/>
      <c r="K77" s="1243"/>
      <c r="L77" s="1243"/>
      <c r="N77" s="1244"/>
      <c r="S77" s="1244"/>
      <c r="X77" s="1248"/>
      <c r="Y77" s="1248"/>
      <c r="Z77" s="1248"/>
    </row>
    <row r="78" spans="1:26">
      <c r="B78" s="1234">
        <v>102</v>
      </c>
      <c r="C78" s="1235">
        <v>103</v>
      </c>
      <c r="D78" s="1235">
        <f t="shared" si="109"/>
        <v>103</v>
      </c>
      <c r="E78" s="1235">
        <v>103</v>
      </c>
      <c r="F78" s="1236">
        <v>100</v>
      </c>
      <c r="I78" s="1241"/>
      <c r="J78" s="1241"/>
      <c r="K78" s="1241"/>
      <c r="L78" s="1241"/>
      <c r="N78" s="1242"/>
      <c r="O78" s="1241"/>
      <c r="P78" s="1241"/>
      <c r="Q78" s="1241"/>
      <c r="S78" s="1242"/>
      <c r="T78" s="1241"/>
      <c r="U78" s="1241"/>
      <c r="V78" s="1241"/>
      <c r="X78" s="1210"/>
      <c r="Y78" s="1210"/>
      <c r="Z78" s="1210"/>
    </row>
    <row r="80" spans="1:26" s="1122" customFormat="1">
      <c r="A80" s="1237" t="s">
        <v>2158</v>
      </c>
      <c r="G80" s="1238"/>
      <c r="N80" s="1238"/>
      <c r="S80" s="1238"/>
    </row>
    <row r="81" spans="1:22" s="1122" customFormat="1">
      <c r="A81" s="1122" t="s">
        <v>2159</v>
      </c>
      <c r="G81" s="1238"/>
      <c r="N81" s="1238"/>
      <c r="S81" s="1238"/>
    </row>
    <row r="82" spans="1:22" s="1122" customFormat="1">
      <c r="A82" s="1122" t="s">
        <v>2160</v>
      </c>
      <c r="G82" s="1238"/>
      <c r="I82" s="1245"/>
      <c r="J82" s="1245"/>
      <c r="K82" s="1245"/>
      <c r="L82" s="1245"/>
      <c r="N82" s="1246"/>
      <c r="O82" s="1245"/>
      <c r="P82" s="1245"/>
      <c r="Q82" s="1245"/>
      <c r="S82" s="1246"/>
      <c r="T82" s="1245"/>
      <c r="U82" s="1245"/>
      <c r="V82" s="1245"/>
    </row>
    <row r="83" spans="1:22" s="1122" customFormat="1">
      <c r="A83" s="1122" t="s">
        <v>2161</v>
      </c>
      <c r="G83" s="1238"/>
      <c r="N83" s="1238"/>
      <c r="S83" s="1238"/>
    </row>
    <row r="91" spans="1:22">
      <c r="G91" s="1123"/>
      <c r="S91" s="1249" t="s">
        <v>2162</v>
      </c>
      <c r="T91" s="1250" t="s">
        <v>2163</v>
      </c>
      <c r="U91" s="1250" t="s">
        <v>2164</v>
      </c>
      <c r="V91" s="1250" t="s">
        <v>2165</v>
      </c>
    </row>
    <row r="92" spans="1:22">
      <c r="G92" s="1123"/>
      <c r="N92" s="1209"/>
      <c r="O92" s="1210"/>
      <c r="P92" s="1210"/>
      <c r="Q92" s="1210"/>
      <c r="S92" s="1251">
        <v>2006</v>
      </c>
      <c r="T92" s="1252">
        <v>15.1</v>
      </c>
      <c r="U92" s="1252">
        <v>7.43</v>
      </c>
      <c r="V92" s="1252">
        <v>26.26</v>
      </c>
    </row>
    <row r="93" spans="1:22">
      <c r="G93" s="1123"/>
      <c r="N93" s="1209"/>
      <c r="O93" s="1210"/>
      <c r="P93" s="1210"/>
      <c r="Q93" s="1210"/>
      <c r="S93" s="1253">
        <v>2005</v>
      </c>
      <c r="T93" s="1254">
        <v>13.9</v>
      </c>
      <c r="U93" s="1254">
        <v>7.49</v>
      </c>
      <c r="V93" s="1254">
        <v>24.92</v>
      </c>
    </row>
    <row r="94" spans="1:22">
      <c r="G94" s="1123"/>
      <c r="N94" s="1209"/>
      <c r="O94" s="1210"/>
      <c r="P94" s="1210"/>
      <c r="Q94" s="1210"/>
      <c r="S94" s="1251">
        <v>2004</v>
      </c>
      <c r="T94" s="1252">
        <v>9.48</v>
      </c>
      <c r="U94" s="1252">
        <v>7.2</v>
      </c>
      <c r="V94" s="1252">
        <v>14.68</v>
      </c>
    </row>
    <row r="95" spans="1:22">
      <c r="G95" s="1123"/>
      <c r="N95" s="1209"/>
      <c r="O95" s="1210"/>
      <c r="P95" s="1210"/>
      <c r="Q95" s="1210"/>
      <c r="S95" s="1253">
        <v>2003</v>
      </c>
      <c r="T95" s="1254">
        <v>4.5</v>
      </c>
      <c r="U95" s="1254">
        <v>6.12</v>
      </c>
      <c r="V95" s="1254">
        <v>2.34</v>
      </c>
    </row>
    <row r="96" spans="1:22">
      <c r="G96" s="1123"/>
      <c r="N96" s="1209"/>
      <c r="O96" s="1210"/>
      <c r="P96" s="1210"/>
      <c r="Q96" s="1210"/>
      <c r="S96" s="1255">
        <v>2002</v>
      </c>
      <c r="T96" s="1256">
        <v>3.59</v>
      </c>
      <c r="U96" s="1256">
        <v>4.54</v>
      </c>
      <c r="V96" s="1256">
        <v>2.5499999999999998</v>
      </c>
    </row>
    <row r="97" spans="7:19">
      <c r="G97" s="1123"/>
      <c r="N97" s="1209"/>
      <c r="O97" s="1210"/>
      <c r="P97" s="1210"/>
      <c r="Q97" s="1210"/>
    </row>
    <row r="98" spans="7:19">
      <c r="G98" s="1123"/>
      <c r="N98" s="1209"/>
      <c r="O98" s="1210"/>
      <c r="P98" s="1210"/>
      <c r="Q98" s="1210"/>
    </row>
    <row r="99" spans="7:19">
      <c r="G99" s="1123"/>
      <c r="N99" s="1209"/>
      <c r="O99" s="1210"/>
      <c r="P99" s="1210"/>
      <c r="Q99" s="1210"/>
    </row>
    <row r="100" spans="7:19">
      <c r="G100" s="1123"/>
      <c r="N100" s="1209"/>
      <c r="O100" s="1210"/>
      <c r="P100" s="1210"/>
      <c r="Q100" s="1210"/>
    </row>
    <row r="101" spans="7:19">
      <c r="G101" s="1123"/>
      <c r="N101" s="1209"/>
      <c r="O101" s="1210"/>
      <c r="P101" s="1210"/>
      <c r="Q101" s="1210"/>
    </row>
    <row r="102" spans="7:19">
      <c r="G102" s="1123"/>
      <c r="N102" s="1209"/>
      <c r="O102" s="1210"/>
      <c r="P102" s="1210"/>
      <c r="Q102" s="1210"/>
    </row>
    <row r="103" spans="7:19">
      <c r="G103" s="1123"/>
      <c r="N103" s="1209"/>
      <c r="O103" s="1210"/>
      <c r="P103" s="1210"/>
      <c r="Q103" s="1210"/>
    </row>
    <row r="104" spans="7:19">
      <c r="G104" s="1123"/>
      <c r="N104" s="1209"/>
      <c r="O104" s="1210"/>
      <c r="P104" s="1210"/>
      <c r="Q104" s="1210"/>
    </row>
    <row r="105" spans="7:19">
      <c r="G105" s="1123"/>
      <c r="N105" s="1209"/>
      <c r="O105" s="1210"/>
      <c r="P105" s="1210"/>
      <c r="Q105" s="1210"/>
    </row>
    <row r="106" spans="7:19">
      <c r="G106" s="1123"/>
      <c r="N106" s="1209"/>
      <c r="O106" s="1210"/>
      <c r="P106" s="1210"/>
      <c r="Q106" s="1210"/>
    </row>
    <row r="107" spans="7:19">
      <c r="G107" s="1123"/>
      <c r="N107" s="1209"/>
      <c r="O107" s="1210"/>
      <c r="P107" s="1210"/>
      <c r="Q107" s="1210"/>
      <c r="S107" s="1123"/>
    </row>
    <row r="108" spans="7:19">
      <c r="G108" s="1123"/>
      <c r="N108" s="1209"/>
      <c r="O108" s="1210"/>
      <c r="P108" s="1210"/>
      <c r="Q108" s="1210"/>
      <c r="S108" s="1123"/>
    </row>
    <row r="109" spans="7:19">
      <c r="G109" s="1123"/>
      <c r="N109" s="1209"/>
      <c r="O109" s="1210"/>
      <c r="P109" s="1210"/>
      <c r="Q109" s="1210"/>
      <c r="S109" s="1123"/>
    </row>
    <row r="110" spans="7:19">
      <c r="G110" s="1123"/>
      <c r="N110" s="1209"/>
      <c r="O110" s="1210"/>
      <c r="P110" s="1210"/>
      <c r="Q110" s="1210"/>
      <c r="S110" s="1123"/>
    </row>
    <row r="111" spans="7:19">
      <c r="G111" s="1123"/>
      <c r="N111" s="1209"/>
      <c r="O111" s="1210"/>
      <c r="P111" s="1210"/>
      <c r="Q111" s="1210"/>
      <c r="S111" s="1123"/>
    </row>
    <row r="112" spans="7:19">
      <c r="G112" s="1123"/>
      <c r="N112" s="1209"/>
      <c r="O112" s="1210"/>
      <c r="P112" s="1210"/>
      <c r="Q112" s="1210"/>
      <c r="S112" s="1123"/>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66881平方米。根据《建设工程规划许可证》[]、《出让合同》[]，估价对象规划建筑面积为128526.97平方米。</v>
      </c>
    </row>
    <row r="7" spans="1:4" ht="56.25">
      <c r="A7" s="3129" t="s">
        <v>84</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2020年3月10日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根据《国有土地使用证》[]，估价对象（分摊）出让国有建设用地使用权面积为66881平方米。根据《建设工程规划许可证》[]、《出让合同》[]，估价对象规划建筑面积为128526.97平方米。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6月13日地下车库2063年6月13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3" t="s">
        <v>324</v>
      </c>
      <c r="B1" s="1104"/>
      <c r="C1" s="1104"/>
      <c r="D1" s="1104"/>
      <c r="E1" s="1104"/>
      <c r="F1" s="1104"/>
    </row>
    <row r="2" spans="1:6" ht="14.25">
      <c r="A2" s="1105" t="s">
        <v>1378</v>
      </c>
      <c r="B2" s="1106" t="e">
        <f ca="1">SUMIF(B7:B14,"&lt;&gt;#ref!",B7:B14)</f>
        <v>#DIV/0!</v>
      </c>
      <c r="C2" s="1105" t="s">
        <v>1307</v>
      </c>
      <c r="D2" s="1104"/>
      <c r="E2" s="1104"/>
      <c r="F2" s="1104"/>
    </row>
    <row r="3" spans="1:6" ht="14.25">
      <c r="A3" s="1105" t="s">
        <v>917</v>
      </c>
      <c r="B3" s="1106" t="e">
        <f ca="1">ROUND(B2*10000/E3,0)</f>
        <v>#DIV/0!</v>
      </c>
      <c r="C3" s="1105" t="s">
        <v>1380</v>
      </c>
      <c r="D3" s="1105" t="s">
        <v>2166</v>
      </c>
      <c r="E3" s="1106">
        <f ca="1">SUMIF(E7:E14,"&lt;&gt;#ref!",E7:E14)</f>
        <v>0</v>
      </c>
      <c r="F3" s="1104"/>
    </row>
    <row r="4" spans="1:6" ht="14.25">
      <c r="A4" s="1105" t="s">
        <v>1385</v>
      </c>
      <c r="B4" s="1106" t="e">
        <f ca="1">ROUND(B2*10000/E4,0)</f>
        <v>#DIV/0!</v>
      </c>
      <c r="C4" s="1105" t="s">
        <v>1380</v>
      </c>
      <c r="D4" s="1105" t="s">
        <v>2167</v>
      </c>
      <c r="E4" s="1106">
        <f ca="1">SUMIF(F7:F14,"&lt;&gt;#ref!",F7:F14)</f>
        <v>0</v>
      </c>
      <c r="F4" s="1104"/>
    </row>
    <row r="5" spans="1:6" ht="14.25">
      <c r="A5" s="1107"/>
      <c r="B5" s="1108"/>
      <c r="C5" s="1108"/>
      <c r="D5" s="1108"/>
      <c r="E5" s="1108"/>
      <c r="F5" s="1104"/>
    </row>
    <row r="6" spans="1:6" ht="28.5">
      <c r="A6" s="1109" t="s">
        <v>2168</v>
      </c>
      <c r="B6" s="1105" t="s">
        <v>2169</v>
      </c>
      <c r="C6" s="1106"/>
      <c r="D6" s="1108"/>
      <c r="E6" s="1105" t="s">
        <v>382</v>
      </c>
      <c r="F6" s="1105" t="s">
        <v>385</v>
      </c>
    </row>
    <row r="7" spans="1:6" ht="14.25">
      <c r="A7" s="1110" t="s">
        <v>173</v>
      </c>
      <c r="B7" s="1111" t="e">
        <f ca="1">SUMIF(INDIRECT("'"&amp;A7&amp;"'"&amp;"!A:A"),"总价",INDIRECT("'"&amp;A7&amp;"'"&amp;"!B:B"))</f>
        <v>#DIV/0!</v>
      </c>
      <c r="C7" s="1105" t="s">
        <v>1307</v>
      </c>
      <c r="D7" s="1108"/>
      <c r="E7" s="1112">
        <f ca="1">SUMIF(INDIRECT("'"&amp;A7&amp;"'"&amp;"!C:C"),"建筑面积",INDIRECT("'"&amp;A7&amp;"'"&amp;"!D:D"))</f>
        <v>0</v>
      </c>
      <c r="F7" s="1112">
        <f ca="1">SUMIF(INDIRECT("'"&amp;A7&amp;"'"&amp;"!E:E"),"土地面积",INDIRECT("'"&amp;A7&amp;"'"&amp;"!F:F"))</f>
        <v>0</v>
      </c>
    </row>
    <row r="8" spans="1:6" ht="14.25">
      <c r="A8" s="1110"/>
      <c r="B8" s="1111" t="e">
        <f t="shared" ref="B8:B14" ca="1" si="0">SUMIF(INDIRECT("'"&amp;A8&amp;"'"&amp;"!A:A"),"总价",INDIRECT("'"&amp;A8&amp;"'"&amp;"!B:B"))</f>
        <v>#REF!</v>
      </c>
      <c r="C8" s="1105" t="s">
        <v>1307</v>
      </c>
      <c r="D8" s="1108"/>
      <c r="E8" s="1112" t="e">
        <f t="shared" ref="E8:E14" ca="1" si="1">SUMIF(INDIRECT("'"&amp;A8&amp;"'"&amp;"!C:C"),"建筑面积",INDIRECT("'"&amp;A8&amp;"'"&amp;"!D:D"))</f>
        <v>#REF!</v>
      </c>
      <c r="F8" s="1112" t="e">
        <f t="shared" ref="F8:F14" ca="1" si="2">SUMIF(INDIRECT("'"&amp;A8&amp;"'"&amp;"!E:E"),"土地面积",INDIRECT("'"&amp;A8&amp;"'"&amp;"!F:F"))</f>
        <v>#REF!</v>
      </c>
    </row>
    <row r="9" spans="1:6" ht="14.25">
      <c r="A9" s="1110"/>
      <c r="B9" s="1111" t="e">
        <f t="shared" ca="1" si="0"/>
        <v>#REF!</v>
      </c>
      <c r="C9" s="1105" t="s">
        <v>1307</v>
      </c>
      <c r="D9" s="1108"/>
      <c r="E9" s="1112" t="e">
        <f t="shared" ca="1" si="1"/>
        <v>#REF!</v>
      </c>
      <c r="F9" s="1112" t="e">
        <f t="shared" ca="1" si="2"/>
        <v>#REF!</v>
      </c>
    </row>
    <row r="10" spans="1:6" ht="14.25">
      <c r="A10" s="1110"/>
      <c r="B10" s="1111" t="e">
        <f t="shared" ca="1" si="0"/>
        <v>#REF!</v>
      </c>
      <c r="C10" s="1105" t="s">
        <v>1307</v>
      </c>
      <c r="D10" s="1108"/>
      <c r="E10" s="1112" t="e">
        <f t="shared" ca="1" si="1"/>
        <v>#REF!</v>
      </c>
      <c r="F10" s="1112" t="e">
        <f t="shared" ca="1" si="2"/>
        <v>#REF!</v>
      </c>
    </row>
    <row r="11" spans="1:6" ht="14.25">
      <c r="A11" s="1110"/>
      <c r="B11" s="1111" t="e">
        <f t="shared" ca="1" si="0"/>
        <v>#REF!</v>
      </c>
      <c r="C11" s="1105" t="s">
        <v>1307</v>
      </c>
      <c r="D11" s="1108"/>
      <c r="E11" s="1112" t="e">
        <f t="shared" ca="1" si="1"/>
        <v>#REF!</v>
      </c>
      <c r="F11" s="1112" t="e">
        <f t="shared" ca="1" si="2"/>
        <v>#REF!</v>
      </c>
    </row>
    <row r="12" spans="1:6" ht="14.25">
      <c r="A12" s="1110"/>
      <c r="B12" s="1111" t="e">
        <f t="shared" ca="1" si="0"/>
        <v>#REF!</v>
      </c>
      <c r="C12" s="1105" t="s">
        <v>1307</v>
      </c>
      <c r="D12" s="1108"/>
      <c r="E12" s="1112" t="e">
        <f t="shared" ca="1" si="1"/>
        <v>#REF!</v>
      </c>
      <c r="F12" s="1112" t="e">
        <f t="shared" ca="1" si="2"/>
        <v>#REF!</v>
      </c>
    </row>
    <row r="13" spans="1:6" ht="14.25">
      <c r="A13" s="1110"/>
      <c r="B13" s="1111" t="e">
        <f t="shared" ca="1" si="0"/>
        <v>#REF!</v>
      </c>
      <c r="C13" s="1105" t="s">
        <v>1307</v>
      </c>
      <c r="D13" s="1108"/>
      <c r="E13" s="1112" t="e">
        <f t="shared" ca="1" si="1"/>
        <v>#REF!</v>
      </c>
      <c r="F13" s="1112" t="e">
        <f t="shared" ca="1" si="2"/>
        <v>#REF!</v>
      </c>
    </row>
    <row r="14" spans="1:6" ht="14.25">
      <c r="A14" s="1113"/>
      <c r="B14" s="1111" t="e">
        <f t="shared" ca="1" si="0"/>
        <v>#REF!</v>
      </c>
      <c r="C14" s="1105" t="s">
        <v>1307</v>
      </c>
      <c r="D14" s="1108"/>
      <c r="E14" s="1112" t="e">
        <f t="shared" ca="1" si="1"/>
        <v>#REF!</v>
      </c>
      <c r="F14" s="111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46"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047" t="s">
        <v>2170</v>
      </c>
      <c r="B1" s="794"/>
      <c r="C1" s="795"/>
      <c r="D1" s="800"/>
      <c r="E1" s="797" t="s">
        <v>588</v>
      </c>
      <c r="F1" s="798">
        <f ca="1">J54</f>
        <v>-2</v>
      </c>
      <c r="G1" s="799">
        <f>MATCH(C1,'数据-取费表'!A6:A16,0)+5</f>
        <v>9</v>
      </c>
      <c r="H1" s="1048"/>
      <c r="I1" s="938"/>
      <c r="J1" s="938"/>
      <c r="K1" s="939"/>
      <c r="L1" s="938"/>
      <c r="M1" s="938"/>
      <c r="N1" s="940"/>
      <c r="O1" s="940"/>
      <c r="P1" s="940"/>
      <c r="Q1" s="940"/>
      <c r="R1" s="940"/>
      <c r="S1" s="940"/>
      <c r="T1" s="940"/>
      <c r="U1" s="940"/>
      <c r="V1" s="940"/>
      <c r="W1" s="940"/>
      <c r="X1" s="940"/>
      <c r="Y1" s="940"/>
    </row>
    <row r="2" spans="1:25" ht="18" customHeight="1">
      <c r="A2" s="1049" t="s">
        <v>916</v>
      </c>
      <c r="B2" s="119">
        <f ca="1">IF(ISERROR(C45+J31),0,C45+J31)</f>
        <v>0</v>
      </c>
      <c r="C2" s="1050"/>
      <c r="D2" s="802"/>
      <c r="E2" s="803"/>
      <c r="F2" s="803"/>
      <c r="G2" s="804"/>
      <c r="H2" s="942"/>
      <c r="I2" s="801"/>
      <c r="J2" s="801"/>
      <c r="K2" s="941"/>
      <c r="L2" s="801"/>
      <c r="M2" s="801"/>
    </row>
    <row r="3" spans="1:25" ht="18" customHeight="1">
      <c r="A3" s="1051" t="s">
        <v>917</v>
      </c>
      <c r="B3" s="1052">
        <f ca="1">ROUND(B2*10000/'数据-汇总表'!E3,0)</f>
        <v>0</v>
      </c>
      <c r="C3" s="1050"/>
      <c r="D3" s="802"/>
      <c r="E3" s="803"/>
      <c r="F3" s="803"/>
      <c r="G3" s="804"/>
      <c r="H3" s="807" t="s">
        <v>2171</v>
      </c>
      <c r="I3" s="801"/>
      <c r="J3" s="801"/>
      <c r="K3" s="941"/>
      <c r="L3" s="801"/>
      <c r="M3" s="801"/>
    </row>
    <row r="4" spans="1:25" ht="18" customHeight="1">
      <c r="A4" s="1053" t="s">
        <v>1274</v>
      </c>
      <c r="B4" s="1054">
        <f ca="1">ROUND(B2*10000/'数据-汇总表'!D3,0)</f>
        <v>0</v>
      </c>
      <c r="C4" s="462"/>
      <c r="D4" s="802"/>
      <c r="E4" s="803"/>
      <c r="F4" s="803"/>
      <c r="G4" s="804"/>
      <c r="H4" s="807"/>
      <c r="I4" s="801"/>
      <c r="J4" s="801"/>
      <c r="K4" s="941"/>
      <c r="L4" s="801"/>
      <c r="M4" s="801"/>
    </row>
    <row r="5" spans="1:25" ht="18" customHeight="1">
      <c r="A5" s="1055"/>
      <c r="B5" s="712">
        <f ca="1">ROUND(B2/('数据-汇总表'!D3/666.67),0)</f>
        <v>0</v>
      </c>
      <c r="C5" s="713" t="s">
        <v>919</v>
      </c>
      <c r="D5" s="802"/>
      <c r="E5" s="803"/>
      <c r="F5" s="803"/>
      <c r="G5" s="804"/>
      <c r="H5" s="807"/>
      <c r="I5" s="801"/>
      <c r="J5" s="801"/>
      <c r="K5" s="941"/>
      <c r="L5" s="801"/>
      <c r="M5" s="801"/>
    </row>
    <row r="6" spans="1:25" ht="18" customHeight="1">
      <c r="A6" s="1056" t="s">
        <v>2172</v>
      </c>
      <c r="B6" s="1057" t="s">
        <v>2173</v>
      </c>
      <c r="C6" s="1057" t="s">
        <v>2174</v>
      </c>
      <c r="D6" s="1057" t="s">
        <v>2175</v>
      </c>
      <c r="E6" s="810" t="s">
        <v>2176</v>
      </c>
      <c r="F6" s="811"/>
      <c r="G6" s="812"/>
      <c r="H6" s="1056" t="s">
        <v>2172</v>
      </c>
      <c r="I6" s="1057" t="s">
        <v>2173</v>
      </c>
      <c r="J6" s="1057" t="s">
        <v>2174</v>
      </c>
      <c r="K6" s="1057" t="s">
        <v>2175</v>
      </c>
      <c r="L6" s="810" t="s">
        <v>2176</v>
      </c>
      <c r="M6" s="811"/>
    </row>
    <row r="7" spans="1:25" ht="18" customHeight="1">
      <c r="A7" s="813">
        <v>1</v>
      </c>
      <c r="B7" s="814" t="s">
        <v>2177</v>
      </c>
      <c r="C7" s="121">
        <f ca="1">C8+C12+C14</f>
        <v>0</v>
      </c>
      <c r="D7" s="816" t="s">
        <v>2178</v>
      </c>
      <c r="E7" s="817"/>
      <c r="F7" s="818"/>
      <c r="G7" s="812"/>
      <c r="H7" s="813">
        <v>1</v>
      </c>
      <c r="I7" s="814" t="s">
        <v>2177</v>
      </c>
      <c r="J7" s="121">
        <f ca="1">J8+J12+J14</f>
        <v>0</v>
      </c>
      <c r="K7" s="816" t="s">
        <v>2178</v>
      </c>
      <c r="L7" s="817"/>
      <c r="M7" s="818"/>
    </row>
    <row r="8" spans="1:25" ht="18" customHeight="1">
      <c r="A8" s="819" t="s">
        <v>852</v>
      </c>
      <c r="B8" s="3420" t="s">
        <v>2179</v>
      </c>
      <c r="C8" s="1058">
        <f ca="1">ROUND(F8*F10*F9*(1-F11)/10000,0)</f>
        <v>0</v>
      </c>
      <c r="D8" s="1059" t="s">
        <v>2180</v>
      </c>
      <c r="E8" s="1060" t="s">
        <v>2181</v>
      </c>
      <c r="F8" s="823">
        <f ca="1">INDIRECT("'数据-取费表'!u"&amp;$G$1)</f>
        <v>0</v>
      </c>
      <c r="G8" s="812"/>
      <c r="H8" s="824" t="s">
        <v>852</v>
      </c>
      <c r="I8" s="3420" t="s">
        <v>2179</v>
      </c>
      <c r="J8" s="820">
        <f ca="1">ROUND(M8*M10*M9*(1-M11)/10000,0)</f>
        <v>0</v>
      </c>
      <c r="K8" s="893" t="s">
        <v>2180</v>
      </c>
      <c r="L8" s="822" t="s">
        <v>2181</v>
      </c>
      <c r="M8" s="823">
        <f ca="1">INDIRECT("'数据-取费表'!z"&amp;$G$1)</f>
        <v>0</v>
      </c>
    </row>
    <row r="9" spans="1:25" ht="18" customHeight="1">
      <c r="A9" s="825"/>
      <c r="B9" s="3421"/>
      <c r="C9" s="1061"/>
      <c r="D9" s="1062"/>
      <c r="E9" s="1060" t="s">
        <v>2182</v>
      </c>
      <c r="F9" s="823">
        <f ca="1">IF(INDIRECT("'数据-取费表'!ah"&amp;$G$1)="",INDIRECT("'数据-取费表'!k"&amp;$G$1),INDIRECT("'数据-取费表'!ah"&amp;$G$1))</f>
        <v>0</v>
      </c>
      <c r="G9" s="812"/>
      <c r="H9" s="828"/>
      <c r="I9" s="3421"/>
      <c r="J9" s="826"/>
      <c r="K9" s="827"/>
      <c r="L9" s="822" t="s">
        <v>2182</v>
      </c>
      <c r="M9" s="823">
        <f ca="1">F9</f>
        <v>0</v>
      </c>
    </row>
    <row r="10" spans="1:25" ht="18" customHeight="1">
      <c r="A10" s="829"/>
      <c r="B10" s="3422"/>
      <c r="C10" s="1061"/>
      <c r="D10" s="1062"/>
      <c r="E10" s="1060" t="s">
        <v>2183</v>
      </c>
      <c r="F10" s="823">
        <f ca="1">INDIRECT("'数据-取费表'!ai"&amp;$G$1)</f>
        <v>0</v>
      </c>
      <c r="G10" s="812"/>
      <c r="H10" s="828"/>
      <c r="I10" s="3422"/>
      <c r="J10" s="826"/>
      <c r="K10" s="827"/>
      <c r="L10" s="822" t="s">
        <v>2183</v>
      </c>
      <c r="M10" s="823">
        <f ca="1">INDIRECT("'数据-取费表'!ai"&amp;$G$1)</f>
        <v>0</v>
      </c>
    </row>
    <row r="11" spans="1:25" ht="18" customHeight="1">
      <c r="A11" s="830"/>
      <c r="B11" s="3423"/>
      <c r="C11" s="1061"/>
      <c r="D11" s="1062"/>
      <c r="E11" s="1060" t="s">
        <v>2184</v>
      </c>
      <c r="F11" s="831">
        <f ca="1">INDIRECT("'数据-取费表'!w"&amp;$G$1)</f>
        <v>0</v>
      </c>
      <c r="G11" s="812"/>
      <c r="H11" s="832"/>
      <c r="I11" s="3422"/>
      <c r="J11" s="826"/>
      <c r="K11" s="827"/>
      <c r="L11" s="875" t="s">
        <v>2184</v>
      </c>
      <c r="M11" s="841">
        <f ca="1">INDIRECT("'数据-取费表'!ab"&amp;$G$1)</f>
        <v>0</v>
      </c>
    </row>
    <row r="12" spans="1:25" ht="18" customHeight="1">
      <c r="A12" s="819" t="s">
        <v>854</v>
      </c>
      <c r="B12" s="833" t="s">
        <v>2185</v>
      </c>
      <c r="C12" s="120">
        <f ca="1">ROUND(IF(F12="押一",C8/12*F13,IF(F12="押二",C8/12*2*F13,IF(F12="押三",C8/12*3*F13,C13*F13))),0)</f>
        <v>0</v>
      </c>
      <c r="D12" s="834" t="s">
        <v>2186</v>
      </c>
      <c r="E12" s="835" t="s">
        <v>2187</v>
      </c>
      <c r="F12" s="836"/>
      <c r="G12" s="812"/>
      <c r="H12" s="837" t="s">
        <v>854</v>
      </c>
      <c r="I12" s="944" t="s">
        <v>2185</v>
      </c>
      <c r="J12" s="820">
        <f ca="1">ROUND(IF(M12="押一",J8/12*M13,IF(M12="押二",J8/12*2*M13,IF(M12="押三",J8/12*3*M13,J13*M13))),0)</f>
        <v>0</v>
      </c>
      <c r="K12" s="834" t="s">
        <v>2186</v>
      </c>
      <c r="L12" s="835" t="s">
        <v>2187</v>
      </c>
      <c r="M12" s="836"/>
    </row>
    <row r="13" spans="1:25" ht="18" customHeight="1">
      <c r="A13" s="838"/>
      <c r="B13" s="839" t="s">
        <v>2188</v>
      </c>
      <c r="C13" s="840"/>
      <c r="D13" s="827"/>
      <c r="E13" s="835" t="s">
        <v>634</v>
      </c>
      <c r="F13" s="841">
        <f ca="1">'数据-取费表'!B39</f>
        <v>1.4999999999999999E-2</v>
      </c>
      <c r="G13" s="812"/>
      <c r="H13" s="842"/>
      <c r="I13" s="839" t="s">
        <v>2188</v>
      </c>
      <c r="J13" s="840"/>
      <c r="K13" s="945"/>
      <c r="L13" s="835" t="s">
        <v>634</v>
      </c>
      <c r="M13" s="946">
        <f ca="1">'数据-取费表'!B39</f>
        <v>1.4999999999999999E-2</v>
      </c>
    </row>
    <row r="14" spans="1:25" ht="18" customHeight="1">
      <c r="A14" s="843" t="s">
        <v>1280</v>
      </c>
      <c r="B14" s="844" t="s">
        <v>2189</v>
      </c>
      <c r="C14" s="845"/>
      <c r="D14" s="846"/>
      <c r="E14" s="847"/>
      <c r="F14" s="848"/>
      <c r="G14" s="812"/>
      <c r="H14" s="849" t="s">
        <v>1280</v>
      </c>
      <c r="I14" s="947" t="s">
        <v>2189</v>
      </c>
      <c r="J14" s="948"/>
      <c r="K14" s="846"/>
      <c r="L14" s="847"/>
      <c r="M14" s="949"/>
    </row>
    <row r="15" spans="1:25" ht="18" customHeight="1">
      <c r="A15" s="850" t="s">
        <v>858</v>
      </c>
      <c r="B15" s="851" t="s">
        <v>2190</v>
      </c>
      <c r="C15" s="852">
        <f ca="1">ROUND(C31*F15,0)</f>
        <v>0</v>
      </c>
      <c r="D15" s="853" t="s">
        <v>2191</v>
      </c>
      <c r="E15" s="875" t="s">
        <v>2192</v>
      </c>
      <c r="F15" s="933">
        <f ca="1">INDIRECT("'数据-取费表'!y"&amp;$G$1)</f>
        <v>0</v>
      </c>
      <c r="G15" s="812"/>
      <c r="H15" s="850" t="s">
        <v>858</v>
      </c>
      <c r="I15" s="851" t="s">
        <v>2193</v>
      </c>
      <c r="J15" s="950">
        <f ca="1">ROUND(J16*J17,0)</f>
        <v>0</v>
      </c>
      <c r="K15" s="884" t="s">
        <v>2191</v>
      </c>
      <c r="L15" s="953"/>
      <c r="M15" s="954"/>
    </row>
    <row r="16" spans="1:25" ht="18" customHeight="1">
      <c r="A16" s="1063" t="s">
        <v>876</v>
      </c>
      <c r="B16" s="822" t="s">
        <v>1287</v>
      </c>
      <c r="C16" s="856">
        <f ca="1">INDIRECT("'数据-取费表'!m"&amp;$G$1)+INDIRECT("'数据-取费表'!t"&amp;$G$1)</f>
        <v>0</v>
      </c>
      <c r="D16" s="857" t="s">
        <v>2194</v>
      </c>
      <c r="E16" s="858"/>
      <c r="F16" s="859"/>
      <c r="G16" s="812"/>
      <c r="H16" s="1063" t="s">
        <v>852</v>
      </c>
      <c r="I16" s="936" t="s">
        <v>2195</v>
      </c>
      <c r="J16" s="121">
        <f ca="1">C31</f>
        <v>0</v>
      </c>
      <c r="K16" s="937"/>
      <c r="L16" s="953"/>
      <c r="M16" s="954"/>
    </row>
    <row r="17" spans="1:25" s="788" customFormat="1" ht="18" customHeight="1">
      <c r="A17" s="1063" t="s">
        <v>1288</v>
      </c>
      <c r="B17" s="822" t="s">
        <v>1289</v>
      </c>
      <c r="C17" s="121">
        <f ca="1">ROUND(C16*F17,0)</f>
        <v>0</v>
      </c>
      <c r="D17" s="861" t="s">
        <v>2196</v>
      </c>
      <c r="E17" s="861" t="s">
        <v>2197</v>
      </c>
      <c r="F17" s="862">
        <f>'数据-取费表'!B33</f>
        <v>0.05</v>
      </c>
      <c r="G17" s="863"/>
      <c r="H17" s="1063" t="s">
        <v>854</v>
      </c>
      <c r="I17" s="822" t="s">
        <v>2192</v>
      </c>
      <c r="J17" s="1096">
        <f ca="1">INDIRECT("'数据-取费表'!ad"&amp;$G$1)</f>
        <v>0</v>
      </c>
      <c r="K17" s="937"/>
      <c r="L17" s="953"/>
      <c r="M17" s="954"/>
      <c r="N17" s="959"/>
      <c r="O17" s="959"/>
      <c r="P17" s="959"/>
      <c r="Q17" s="959"/>
      <c r="R17" s="959"/>
      <c r="S17" s="959"/>
      <c r="T17" s="959"/>
      <c r="U17" s="959"/>
      <c r="V17" s="959"/>
      <c r="W17" s="959"/>
      <c r="X17" s="959"/>
      <c r="Y17" s="959"/>
    </row>
    <row r="18" spans="1:25" ht="18" customHeight="1">
      <c r="A18" s="1063" t="s">
        <v>1291</v>
      </c>
      <c r="B18" s="822" t="s">
        <v>1292</v>
      </c>
      <c r="C18" s="121">
        <f ca="1">ROUND(INDIRECT("'数据-取费表'!m"&amp;$G$1)*F18,0)</f>
        <v>0</v>
      </c>
      <c r="D18" s="822" t="s">
        <v>2196</v>
      </c>
      <c r="E18" s="822" t="s">
        <v>2197</v>
      </c>
      <c r="F18" s="864">
        <f ca="1">IF(INDIRECT("'数据-取费表'!c"&amp;$G$1)="住宅",'数据-取费表'!B34,0)</f>
        <v>0</v>
      </c>
      <c r="G18" s="812"/>
      <c r="H18" s="934" t="s">
        <v>863</v>
      </c>
      <c r="I18" s="935" t="s">
        <v>2198</v>
      </c>
      <c r="J18" s="120">
        <f ca="1">ROUND(J19+J24+J25+J26,0)</f>
        <v>0</v>
      </c>
      <c r="K18" s="937" t="s">
        <v>2199</v>
      </c>
      <c r="L18" s="123"/>
      <c r="M18" s="865"/>
    </row>
    <row r="19" spans="1:25" s="788" customFormat="1" ht="18" customHeight="1">
      <c r="A19" s="1063" t="s">
        <v>1294</v>
      </c>
      <c r="B19" s="822" t="s">
        <v>2200</v>
      </c>
      <c r="C19" s="121">
        <f ca="1">ROUND(F19*(INDIRECT("'数据-取费表'!k"&amp;$G$1)+INDIRECT("'数据-取费表'!S"&amp;$G$1))/10000,0)</f>
        <v>0</v>
      </c>
      <c r="D19" s="822" t="s">
        <v>2201</v>
      </c>
      <c r="E19" s="822" t="s">
        <v>2202</v>
      </c>
      <c r="F19" s="865">
        <f>'数据-取费表'!B35</f>
        <v>200</v>
      </c>
      <c r="G19" s="863"/>
      <c r="H19" s="1063" t="s">
        <v>852</v>
      </c>
      <c r="I19" s="822" t="s">
        <v>2203</v>
      </c>
      <c r="J19" s="121">
        <f ca="1">ROUND(IF(项目基本情况!B11="自然人",J8*M19/(1+'数据-取费表'!C42),J20+J21+J22),0)</f>
        <v>0</v>
      </c>
      <c r="K19" s="857" t="s">
        <v>2204</v>
      </c>
      <c r="L19" s="888" t="s">
        <v>2205</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063" t="s">
        <v>1296</v>
      </c>
      <c r="B20" s="822" t="s">
        <v>1297</v>
      </c>
      <c r="C20" s="121">
        <f ca="1">ROUND(C16*F20,0)</f>
        <v>0</v>
      </c>
      <c r="D20" s="822" t="s">
        <v>2196</v>
      </c>
      <c r="E20" s="822" t="s">
        <v>2197</v>
      </c>
      <c r="F20" s="864">
        <f>'数据-取费表'!B36</f>
        <v>1.4999999999999999E-2</v>
      </c>
      <c r="G20" s="863"/>
      <c r="H20" s="1063" t="s">
        <v>876</v>
      </c>
      <c r="I20" s="822" t="s">
        <v>2206</v>
      </c>
      <c r="J20" s="121">
        <f ca="1">ROUND(J8*M20/(1+'数据-取费表'!C42),1)</f>
        <v>0</v>
      </c>
      <c r="K20" s="888" t="s">
        <v>2207</v>
      </c>
      <c r="L20" s="822" t="s">
        <v>2197</v>
      </c>
      <c r="M20" s="864">
        <f>'数据-取费表'!B41</f>
        <v>5.6000000000000001E-2</v>
      </c>
      <c r="N20" s="959"/>
      <c r="O20" s="959"/>
      <c r="P20" s="959"/>
      <c r="Q20" s="959"/>
      <c r="R20" s="959"/>
      <c r="S20" s="959"/>
      <c r="T20" s="959"/>
      <c r="U20" s="959"/>
      <c r="V20" s="959"/>
      <c r="W20" s="959"/>
      <c r="X20" s="959"/>
      <c r="Y20" s="959"/>
    </row>
    <row r="21" spans="1:25" ht="18" customHeight="1">
      <c r="A21" s="1063" t="s">
        <v>852</v>
      </c>
      <c r="B21" s="822" t="s">
        <v>2208</v>
      </c>
      <c r="C21" s="121">
        <f ca="1">SUM(C16:C20)</f>
        <v>0</v>
      </c>
      <c r="D21" s="866" t="s">
        <v>2209</v>
      </c>
      <c r="E21" s="123"/>
      <c r="F21" s="865"/>
      <c r="G21" s="812"/>
      <c r="H21" s="819" t="s">
        <v>1288</v>
      </c>
      <c r="I21" s="822" t="s">
        <v>2210</v>
      </c>
      <c r="J21" s="121">
        <f ca="1">IF(K21="按租金收入计税",ROUND(J8*M21/(1+'数据-取费表'!C42),1),ROUND(C31*F35*0.7,1))</f>
        <v>0</v>
      </c>
      <c r="K21" s="891" t="s">
        <v>2211</v>
      </c>
      <c r="L21" s="822" t="s">
        <v>2197</v>
      </c>
      <c r="M21" s="864">
        <f>IF(K21="按租金收入计税",'数据-取费表'!B51,'数据-取费表'!B50)</f>
        <v>1.2E-2</v>
      </c>
    </row>
    <row r="22" spans="1:25" s="788" customFormat="1" ht="18" customHeight="1">
      <c r="A22" s="1063" t="s">
        <v>2212</v>
      </c>
      <c r="B22" s="822" t="s">
        <v>2213</v>
      </c>
      <c r="C22" s="121">
        <f ca="1">ROUND(C21*F22,0)</f>
        <v>0</v>
      </c>
      <c r="D22" s="867" t="s">
        <v>2214</v>
      </c>
      <c r="E22" s="822" t="s">
        <v>2197</v>
      </c>
      <c r="F22" s="864">
        <f>'数据-取费表'!B37</f>
        <v>0.01</v>
      </c>
      <c r="G22" s="863"/>
      <c r="H22" s="1064" t="s">
        <v>1291</v>
      </c>
      <c r="I22" s="1059" t="s">
        <v>2215</v>
      </c>
      <c r="J22" s="894">
        <f ca="1">ROUND(M22*M23/10000,0)</f>
        <v>0</v>
      </c>
      <c r="K22" s="895" t="s">
        <v>2216</v>
      </c>
      <c r="L22" s="822" t="s">
        <v>2217</v>
      </c>
      <c r="M22" s="872">
        <f>'数据-取费表'!B52</f>
        <v>14</v>
      </c>
      <c r="N22" s="959"/>
      <c r="O22" s="959"/>
      <c r="P22" s="959"/>
      <c r="Q22" s="959"/>
      <c r="R22" s="959"/>
      <c r="S22" s="959"/>
      <c r="T22" s="959"/>
      <c r="U22" s="959"/>
      <c r="V22" s="959"/>
      <c r="W22" s="959"/>
      <c r="X22" s="959"/>
      <c r="Y22" s="959"/>
    </row>
    <row r="23" spans="1:25" s="788" customFormat="1" ht="18" customHeight="1">
      <c r="A23" s="1063" t="s">
        <v>2218</v>
      </c>
      <c r="B23" s="822" t="s">
        <v>2219</v>
      </c>
      <c r="C23" s="121" t="s">
        <v>138</v>
      </c>
      <c r="D23" s="867" t="s">
        <v>2220</v>
      </c>
      <c r="E23" s="822" t="s">
        <v>2221</v>
      </c>
      <c r="F23" s="864">
        <f>'数据-取费表'!B38</f>
        <v>0.01</v>
      </c>
      <c r="G23" s="863"/>
      <c r="H23" s="1065"/>
      <c r="I23" s="1097"/>
      <c r="J23" s="898"/>
      <c r="K23" s="899"/>
      <c r="L23" s="822" t="s">
        <v>2222</v>
      </c>
      <c r="M23" s="823">
        <f ca="1">INDIRECT("'数据-取费表'!r"&amp;$G$1)</f>
        <v>0</v>
      </c>
      <c r="N23" s="959"/>
      <c r="O23" s="959"/>
      <c r="P23" s="959"/>
      <c r="Q23" s="959"/>
      <c r="R23" s="959"/>
      <c r="S23" s="959"/>
      <c r="T23" s="959"/>
      <c r="U23" s="959"/>
      <c r="V23" s="959"/>
      <c r="W23" s="959"/>
      <c r="X23" s="959"/>
      <c r="Y23" s="959"/>
    </row>
    <row r="24" spans="1:25" ht="18" customHeight="1">
      <c r="A24" s="1063" t="s">
        <v>2223</v>
      </c>
      <c r="B24" s="822" t="s">
        <v>2224</v>
      </c>
      <c r="C24" s="121"/>
      <c r="D24" s="870" t="str">
        <f>IF(F25&lt;=1,"单利计息。","复利计息。")&amp;"建造成本、管理费用、销售费用产生的利息。"</f>
        <v>复利计息。建造成本、管理费用、销售费用产生的利息。</v>
      </c>
      <c r="E24" s="123"/>
      <c r="F24" s="865"/>
      <c r="G24" s="812"/>
      <c r="H24" s="1066" t="s">
        <v>854</v>
      </c>
      <c r="I24" s="822" t="s">
        <v>2225</v>
      </c>
      <c r="J24" s="121">
        <f ca="1">ROUND(J16*M24,0)</f>
        <v>0</v>
      </c>
      <c r="K24" s="888" t="s">
        <v>2226</v>
      </c>
      <c r="L24" s="822" t="s">
        <v>2197</v>
      </c>
      <c r="M24" s="900">
        <f ca="1">INDIRECT("'数据-取费表'!Ak"&amp;$G$1)</f>
        <v>0</v>
      </c>
    </row>
    <row r="25" spans="1:25" s="788" customFormat="1" ht="18" customHeight="1">
      <c r="A25" s="1063" t="s">
        <v>876</v>
      </c>
      <c r="B25" s="822" t="s">
        <v>2227</v>
      </c>
      <c r="C25" s="121">
        <f ca="1">ROUND(IF('数据-取费表'!B22&lt;=1,(C21+C22)*F26*F25/2,(C21+C22)*(POWER((1+F26),F25/2)-1)),0)</f>
        <v>0</v>
      </c>
      <c r="D25" s="871" t="str">
        <f>IF(F25&lt;=1,"(建造成本+管理费用)×利率×(建设周期÷2)","(建造成本+管理费用)×((1+利率)^(建设周期÷2)-1)")</f>
        <v>(建造成本+管理费用)×((1+利率)^(建设周期÷2)-1)</v>
      </c>
      <c r="E25" s="822" t="s">
        <v>2228</v>
      </c>
      <c r="F25" s="872">
        <f>'数据-取费表'!B20</f>
        <v>2</v>
      </c>
      <c r="G25" s="863"/>
      <c r="H25" s="1063" t="s">
        <v>2218</v>
      </c>
      <c r="I25" s="822" t="s">
        <v>2229</v>
      </c>
      <c r="J25" s="121">
        <f ca="1">ROUND(J15*M25,0)</f>
        <v>0</v>
      </c>
      <c r="K25" s="888" t="s">
        <v>2230</v>
      </c>
      <c r="L25" s="822" t="s">
        <v>2197</v>
      </c>
      <c r="M25" s="901">
        <f ca="1">INDIRECT("'数据-取费表'!Al"&amp;$G$1)</f>
        <v>0</v>
      </c>
      <c r="N25" s="959"/>
      <c r="O25" s="959"/>
      <c r="P25" s="959"/>
      <c r="Q25" s="959"/>
      <c r="R25" s="959"/>
      <c r="S25" s="959"/>
      <c r="T25" s="959"/>
      <c r="U25" s="959"/>
      <c r="V25" s="959"/>
      <c r="W25" s="959"/>
      <c r="X25" s="959"/>
      <c r="Y25" s="959"/>
    </row>
    <row r="26" spans="1:25" s="788" customFormat="1" ht="18" customHeight="1">
      <c r="A26" s="1063" t="s">
        <v>1288</v>
      </c>
      <c r="B26" s="822" t="s">
        <v>2231</v>
      </c>
      <c r="C26" s="121">
        <f ca="1">ROUND(IF('数据-取费表'!B22&lt;=1,F23*F26*F25/2,F23*(POWER((1+F26),F25/2)-1)),4)</f>
        <v>5.0000000000000001E-4</v>
      </c>
      <c r="D26" s="871" t="str">
        <f>IF(F25&lt;=1,"销售费用×利率×(建设周期÷2)","销售费用×((1+利率)^(建设周期÷2)-1)")</f>
        <v>销售费用×((1+利率)^(建设周期÷2)-1)</v>
      </c>
      <c r="E26" s="822" t="s">
        <v>2232</v>
      </c>
      <c r="F26" s="873">
        <f ca="1">'数据-取费表'!B40</f>
        <v>4.7500000000000001E-2</v>
      </c>
      <c r="G26" s="863"/>
      <c r="H26" s="1063" t="s">
        <v>2223</v>
      </c>
      <c r="I26" s="822" t="s">
        <v>2213</v>
      </c>
      <c r="J26" s="121">
        <f ca="1">ROUND(J7*M26,0)</f>
        <v>0</v>
      </c>
      <c r="K26" s="888" t="s">
        <v>2233</v>
      </c>
      <c r="L26" s="822" t="s">
        <v>2197</v>
      </c>
      <c r="M26" s="831">
        <f ca="1">INDIRECT("'数据-取费表'!Am"&amp;$G$1)</f>
        <v>0</v>
      </c>
      <c r="N26" s="959"/>
      <c r="O26" s="959"/>
      <c r="P26" s="959"/>
      <c r="Q26" s="959"/>
      <c r="R26" s="959"/>
      <c r="S26" s="959"/>
      <c r="T26" s="959"/>
      <c r="U26" s="959"/>
      <c r="V26" s="959"/>
      <c r="W26" s="959"/>
      <c r="X26" s="959"/>
      <c r="Y26" s="959"/>
    </row>
    <row r="27" spans="1:25" ht="18" customHeight="1">
      <c r="A27" s="1063" t="s">
        <v>2234</v>
      </c>
      <c r="B27" s="822" t="s">
        <v>2235</v>
      </c>
      <c r="C27" s="121"/>
      <c r="D27" s="866" t="s">
        <v>2236</v>
      </c>
      <c r="E27" s="123"/>
      <c r="F27" s="865"/>
      <c r="G27" s="812"/>
      <c r="H27" s="934" t="s">
        <v>866</v>
      </c>
      <c r="I27" s="1040" t="s">
        <v>2237</v>
      </c>
      <c r="J27" s="120">
        <f ca="1">J7-J18</f>
        <v>0</v>
      </c>
      <c r="K27" s="857" t="s">
        <v>2238</v>
      </c>
      <c r="L27" s="1041"/>
      <c r="M27" s="1042"/>
    </row>
    <row r="28" spans="1:25" ht="18" customHeight="1">
      <c r="A28" s="1063" t="s">
        <v>876</v>
      </c>
      <c r="B28" s="822" t="s">
        <v>2239</v>
      </c>
      <c r="C28" s="121">
        <f ca="1">ROUND((C21+C22)*F28,0)</f>
        <v>0</v>
      </c>
      <c r="D28" s="867" t="s">
        <v>2240</v>
      </c>
      <c r="E28" s="875" t="s">
        <v>2241</v>
      </c>
      <c r="F28" s="831">
        <f ca="1">INDIRECT("'数据-取费表'!q"&amp;$G$1)</f>
        <v>0</v>
      </c>
      <c r="G28" s="812"/>
      <c r="H28" s="813" t="s">
        <v>892</v>
      </c>
      <c r="I28" s="814" t="s">
        <v>2242</v>
      </c>
      <c r="J28" s="820">
        <f ca="1">IF(J7&lt;&gt;0,ROUND(J27*(1-((1+M30)/(1+M28))^M29)/(M28-M30),0),0)</f>
        <v>0</v>
      </c>
      <c r="K28" s="895" t="s">
        <v>2243</v>
      </c>
      <c r="L28" s="822" t="s">
        <v>2244</v>
      </c>
      <c r="M28" s="831">
        <f ca="1">INDIRECT("'数据-取费表'!I"&amp;$G$1)</f>
        <v>0</v>
      </c>
    </row>
    <row r="29" spans="1:25" ht="18" customHeight="1">
      <c r="A29" s="1063" t="s">
        <v>1288</v>
      </c>
      <c r="B29" s="822" t="s">
        <v>2245</v>
      </c>
      <c r="C29" s="121">
        <f ca="1">ROUND(F23*F28,4)</f>
        <v>0</v>
      </c>
      <c r="D29" s="867" t="s">
        <v>2246</v>
      </c>
      <c r="E29" s="861"/>
      <c r="F29" s="862"/>
      <c r="G29" s="812"/>
      <c r="H29" s="830"/>
      <c r="I29" s="907"/>
      <c r="J29" s="826"/>
      <c r="K29" s="908" t="s">
        <v>2247</v>
      </c>
      <c r="L29" s="822" t="s">
        <v>2248</v>
      </c>
      <c r="M29" s="909">
        <f ca="1">INDIRECT("'数据-取费表'!ag"&amp;$G$1)</f>
        <v>0</v>
      </c>
    </row>
    <row r="30" spans="1:25" s="788" customFormat="1" ht="18" customHeight="1">
      <c r="A30" s="1063" t="s">
        <v>2249</v>
      </c>
      <c r="B30" s="822" t="s">
        <v>2250</v>
      </c>
      <c r="C30" s="121">
        <f>ROUND(F30/(1+'数据-取费表'!C42),4)</f>
        <v>5.33E-2</v>
      </c>
      <c r="D30" s="867" t="s">
        <v>2251</v>
      </c>
      <c r="E30" s="822" t="s">
        <v>2197</v>
      </c>
      <c r="F30" s="864">
        <f>'数据-取费表'!B41</f>
        <v>5.6000000000000001E-2</v>
      </c>
      <c r="G30" s="863"/>
      <c r="H30" s="838"/>
      <c r="I30" s="911"/>
      <c r="J30" s="852"/>
      <c r="K30" s="899"/>
      <c r="L30" s="822" t="s">
        <v>2252</v>
      </c>
      <c r="M30" s="831">
        <f ca="1">INDIRECT("'数据-取费表'!aa"&amp;$G$1)</f>
        <v>0</v>
      </c>
      <c r="N30" s="959"/>
      <c r="O30" s="959"/>
      <c r="P30" s="959"/>
      <c r="Q30" s="959"/>
      <c r="R30" s="959"/>
      <c r="S30" s="959"/>
      <c r="T30" s="959"/>
      <c r="U30" s="959"/>
      <c r="V30" s="959"/>
      <c r="W30" s="959"/>
      <c r="X30" s="959"/>
      <c r="Y30" s="959"/>
    </row>
    <row r="31" spans="1:25" s="788" customFormat="1" ht="18" customHeight="1">
      <c r="A31" s="1067" t="s">
        <v>2253</v>
      </c>
      <c r="B31" s="847" t="s">
        <v>2254</v>
      </c>
      <c r="C31" s="879">
        <f ca="1">ROUND((C21+C22+C25+C28)/(1-F23-C26-C29-C30),0)</f>
        <v>0</v>
      </c>
      <c r="D31" s="880"/>
      <c r="E31" s="881"/>
      <c r="F31" s="882"/>
      <c r="G31" s="863"/>
      <c r="H31" s="883" t="s">
        <v>1466</v>
      </c>
      <c r="I31" s="1098" t="s">
        <v>2255</v>
      </c>
      <c r="J31" s="913">
        <f ca="1">ROUND(J28/(1+F45)^F46,0)</f>
        <v>0</v>
      </c>
      <c r="K31" s="914" t="s">
        <v>2256</v>
      </c>
      <c r="L31" s="915"/>
      <c r="M31" s="916">
        <f ca="1">INDIRECT("'数据-取费表'!k"&amp;$G$1)</f>
        <v>0</v>
      </c>
      <c r="N31" s="959"/>
      <c r="O31" s="959"/>
      <c r="P31" s="959"/>
      <c r="Q31" s="959"/>
      <c r="R31" s="959"/>
      <c r="S31" s="959"/>
      <c r="T31" s="959"/>
      <c r="U31" s="959"/>
      <c r="V31" s="959"/>
      <c r="W31" s="959"/>
      <c r="X31" s="959"/>
      <c r="Y31" s="959"/>
    </row>
    <row r="32" spans="1:25" ht="18" customHeight="1">
      <c r="A32" s="850" t="s">
        <v>2257</v>
      </c>
      <c r="B32" s="851" t="s">
        <v>2258</v>
      </c>
      <c r="C32" s="852">
        <f ca="1">ROUND(C33+C38+C39+C40,0)</f>
        <v>0</v>
      </c>
      <c r="D32" s="884" t="s">
        <v>2199</v>
      </c>
      <c r="E32" s="885"/>
      <c r="F32" s="818"/>
      <c r="G32" s="886"/>
      <c r="H32" s="887"/>
      <c r="I32" s="960"/>
      <c r="J32" s="961"/>
      <c r="K32" s="962"/>
      <c r="L32" s="963"/>
      <c r="M32" s="964"/>
    </row>
    <row r="33" spans="1:18" ht="18" customHeight="1">
      <c r="A33" s="1063" t="s">
        <v>852</v>
      </c>
      <c r="B33" s="822" t="s">
        <v>2203</v>
      </c>
      <c r="C33" s="121">
        <f ca="1">ROUND(IF(项目基本情况!B11="自然人",C8*F33/(1+'数据-取费表'!C42),C34+C35+C36),1)</f>
        <v>0</v>
      </c>
      <c r="D33" s="857" t="s">
        <v>2204</v>
      </c>
      <c r="E33" s="888" t="s">
        <v>2205</v>
      </c>
      <c r="F33" s="889" t="str">
        <f ca="1">IF(项目基本情况!B11="企业","",IF(INDIRECT("'数据-取费表'!c"&amp;$G$1)="住宅",5%,IF(F8*F9*F10/12/(1+'数据-取费表'!C42)&gt;20000,12%,7%)))</f>
        <v/>
      </c>
      <c r="G33" s="886"/>
      <c r="H33" s="887"/>
      <c r="I33" s="960"/>
      <c r="J33" s="961"/>
      <c r="K33" s="962"/>
      <c r="L33" s="963"/>
      <c r="M33" s="964"/>
    </row>
    <row r="34" spans="1:18" ht="18" customHeight="1">
      <c r="A34" s="1063" t="s">
        <v>876</v>
      </c>
      <c r="B34" s="822" t="s">
        <v>2206</v>
      </c>
      <c r="C34" s="121">
        <f ca="1">ROUND(C8*F34/(1+'数据-取费表'!C42),1)</f>
        <v>0</v>
      </c>
      <c r="D34" s="888" t="s">
        <v>2207</v>
      </c>
      <c r="E34" s="822" t="s">
        <v>2197</v>
      </c>
      <c r="F34" s="864">
        <f>'数据-取费表'!B41</f>
        <v>5.6000000000000001E-2</v>
      </c>
      <c r="G34" s="886"/>
      <c r="H34" s="890"/>
      <c r="I34" s="965"/>
      <c r="J34" s="966"/>
      <c r="K34" s="967"/>
      <c r="L34" s="968"/>
      <c r="M34" s="969"/>
    </row>
    <row r="35" spans="1:18" ht="18" customHeight="1">
      <c r="A35" s="1063" t="s">
        <v>1288</v>
      </c>
      <c r="B35" s="822" t="s">
        <v>2210</v>
      </c>
      <c r="C35" s="121">
        <f ca="1">IF(D35="按租金收入计税",ROUND(C8*F35/(1+'数据-取费表'!C42),1),IF(D35="按房产原值计税",ROUND(C31*F35*0.7,1),INDIRECT("'数据-取费表'!Aj"&amp;$G$1)))</f>
        <v>0</v>
      </c>
      <c r="D35" s="891" t="s">
        <v>2259</v>
      </c>
      <c r="E35" s="822" t="s">
        <v>2197</v>
      </c>
      <c r="F35" s="864">
        <f>IF(D35="按租金收入计税",'数据-取费表'!B51,'数据-取费表'!B50)</f>
        <v>1.2E-2</v>
      </c>
      <c r="G35" s="886"/>
      <c r="H35" s="892"/>
      <c r="I35" s="892"/>
      <c r="J35" s="892"/>
      <c r="K35" s="970"/>
      <c r="L35" s="892"/>
      <c r="M35" s="892"/>
    </row>
    <row r="36" spans="1:18" ht="18" customHeight="1">
      <c r="A36" s="1068" t="s">
        <v>884</v>
      </c>
      <c r="B36" s="893" t="s">
        <v>2215</v>
      </c>
      <c r="C36" s="894">
        <f ca="1">ROUND(F36*F37/10000,1)</f>
        <v>0</v>
      </c>
      <c r="D36" s="895" t="s">
        <v>2216</v>
      </c>
      <c r="E36" s="822" t="s">
        <v>2217</v>
      </c>
      <c r="F36" s="872">
        <f>'数据-取费表'!B52</f>
        <v>14</v>
      </c>
      <c r="G36" s="886"/>
      <c r="H36" s="887"/>
      <c r="I36" s="3424"/>
      <c r="J36" s="974"/>
      <c r="K36" s="973"/>
      <c r="L36" s="974"/>
      <c r="M36" s="974"/>
    </row>
    <row r="37" spans="1:18" ht="18" customHeight="1">
      <c r="A37" s="896"/>
      <c r="B37" s="897"/>
      <c r="C37" s="898"/>
      <c r="D37" s="899"/>
      <c r="E37" s="822" t="s">
        <v>2222</v>
      </c>
      <c r="F37" s="823">
        <f ca="1">INDIRECT("'数据-取费表'!r"&amp;$G$1)</f>
        <v>0</v>
      </c>
      <c r="G37" s="886"/>
      <c r="H37" s="887"/>
      <c r="I37" s="3424"/>
      <c r="J37" s="892"/>
      <c r="K37" s="970"/>
      <c r="L37" s="892"/>
      <c r="M37" s="892"/>
    </row>
    <row r="38" spans="1:18" ht="18" customHeight="1">
      <c r="A38" s="1063" t="s">
        <v>2212</v>
      </c>
      <c r="B38" s="822" t="s">
        <v>2225</v>
      </c>
      <c r="C38" s="121">
        <f ca="1">ROUND(C31*F38,1)</f>
        <v>0</v>
      </c>
      <c r="D38" s="888" t="s">
        <v>2260</v>
      </c>
      <c r="E38" s="822" t="s">
        <v>2197</v>
      </c>
      <c r="F38" s="900">
        <f ca="1">INDIRECT("'数据-取费表'!Ak"&amp;$G$1)</f>
        <v>0</v>
      </c>
      <c r="G38" s="886"/>
      <c r="H38" s="892"/>
      <c r="I38" s="1099"/>
      <c r="J38" s="910"/>
      <c r="K38" s="979"/>
      <c r="L38" s="892"/>
      <c r="M38" s="892"/>
    </row>
    <row r="39" spans="1:18" ht="18" customHeight="1">
      <c r="A39" s="1063" t="s">
        <v>2218</v>
      </c>
      <c r="B39" s="822" t="s">
        <v>2229</v>
      </c>
      <c r="C39" s="121">
        <f ca="1">ROUND(C15*F39,1)</f>
        <v>0</v>
      </c>
      <c r="D39" s="888" t="s">
        <v>2230</v>
      </c>
      <c r="E39" s="822" t="s">
        <v>2197</v>
      </c>
      <c r="F39" s="901">
        <f ca="1">INDIRECT("'数据-取费表'!Al"&amp;$G$1)</f>
        <v>0</v>
      </c>
      <c r="G39" s="886"/>
      <c r="H39" s="892"/>
      <c r="I39" s="1099"/>
      <c r="J39" s="910"/>
      <c r="K39" s="979"/>
      <c r="L39" s="892"/>
      <c r="M39" s="892"/>
    </row>
    <row r="40" spans="1:18" ht="18" customHeight="1">
      <c r="A40" s="1067" t="s">
        <v>2223</v>
      </c>
      <c r="B40" s="881" t="s">
        <v>2213</v>
      </c>
      <c r="C40" s="879">
        <f ca="1">ROUND(C7*F40,1)</f>
        <v>0</v>
      </c>
      <c r="D40" s="880" t="s">
        <v>2233</v>
      </c>
      <c r="E40" s="881" t="s">
        <v>2197</v>
      </c>
      <c r="F40" s="848">
        <f ca="1">INDIRECT("'数据-取费表'!Am"&amp;$G$1)</f>
        <v>0</v>
      </c>
      <c r="G40" s="886"/>
      <c r="H40" s="892"/>
      <c r="I40" s="1099"/>
      <c r="J40" s="910"/>
      <c r="K40" s="984"/>
      <c r="L40" s="892"/>
      <c r="M40" s="892"/>
    </row>
    <row r="41" spans="1:18" ht="18" customHeight="1">
      <c r="A41" s="850">
        <v>4</v>
      </c>
      <c r="B41" s="851" t="s">
        <v>2261</v>
      </c>
      <c r="C41" s="1069"/>
      <c r="D41" s="1070"/>
      <c r="E41" s="1070"/>
      <c r="F41" s="1071"/>
      <c r="G41" s="886"/>
      <c r="H41" s="886"/>
      <c r="I41" s="886"/>
      <c r="J41" s="886"/>
      <c r="K41" s="984"/>
      <c r="L41" s="886"/>
      <c r="M41" s="886"/>
    </row>
    <row r="42" spans="1:18" ht="18" customHeight="1">
      <c r="A42" s="1063" t="s">
        <v>852</v>
      </c>
      <c r="B42" s="971" t="s">
        <v>2262</v>
      </c>
      <c r="C42" s="1072">
        <f ca="1">C7-C32</f>
        <v>0</v>
      </c>
      <c r="D42" s="857" t="s">
        <v>2263</v>
      </c>
      <c r="E42" s="1041"/>
      <c r="F42" s="1042"/>
      <c r="G42" s="886"/>
      <c r="H42" s="886"/>
      <c r="I42" s="886"/>
      <c r="J42" s="886"/>
      <c r="K42" s="984"/>
      <c r="L42" s="886"/>
      <c r="M42" s="886"/>
    </row>
    <row r="43" spans="1:18" ht="18" customHeight="1">
      <c r="A43" s="1063" t="s">
        <v>2212</v>
      </c>
      <c r="B43" s="971" t="s">
        <v>2264</v>
      </c>
      <c r="C43" s="972">
        <f ca="1">ROUND(C15*F43,0)</f>
        <v>0</v>
      </c>
      <c r="D43" s="1073" t="s">
        <v>2265</v>
      </c>
      <c r="E43" s="1074" t="s">
        <v>2266</v>
      </c>
      <c r="F43" s="1075">
        <f ca="1">INDIRECT("'数据-取费表'!j"&amp;$G$1)</f>
        <v>0</v>
      </c>
      <c r="G43" s="886"/>
      <c r="H43" s="886"/>
      <c r="I43" s="886"/>
      <c r="J43" s="886"/>
      <c r="K43" s="984"/>
      <c r="L43" s="886"/>
      <c r="M43" s="886"/>
    </row>
    <row r="44" spans="1:18" ht="18" customHeight="1">
      <c r="A44" s="1063" t="s">
        <v>2218</v>
      </c>
      <c r="B44" s="971" t="s">
        <v>2267</v>
      </c>
      <c r="C44" s="1076">
        <f ca="1">C42-C43</f>
        <v>0</v>
      </c>
      <c r="D44" s="1077" t="s">
        <v>2268</v>
      </c>
      <c r="E44" s="1078"/>
      <c r="F44" s="1079"/>
      <c r="G44" s="886"/>
      <c r="H44" s="886"/>
      <c r="I44" s="886"/>
      <c r="J44" s="886"/>
      <c r="K44" s="984"/>
      <c r="L44" s="886"/>
      <c r="M44" s="886"/>
    </row>
    <row r="45" spans="1:18" ht="18" customHeight="1">
      <c r="A45" s="1063" t="s">
        <v>2223</v>
      </c>
      <c r="B45" s="1073" t="s">
        <v>2269</v>
      </c>
      <c r="C45" s="1080">
        <f ca="1">ROUND(-PV(F45,F46,C44,0),0)</f>
        <v>0</v>
      </c>
      <c r="D45" s="1081" t="s">
        <v>2270</v>
      </c>
      <c r="E45" s="861" t="s">
        <v>2271</v>
      </c>
      <c r="F45" s="1082">
        <f ca="1">INDIRECT("'数据-取费表'!h"&amp;$G$1)</f>
        <v>0</v>
      </c>
      <c r="G45" s="886"/>
      <c r="H45" s="886"/>
      <c r="I45" s="886"/>
      <c r="J45" s="886"/>
      <c r="K45" s="984"/>
      <c r="L45" s="886"/>
      <c r="M45" s="886"/>
    </row>
    <row r="46" spans="1:18" ht="18" customHeight="1">
      <c r="A46" s="1083"/>
      <c r="B46" s="1084"/>
      <c r="C46" s="1085"/>
      <c r="D46" s="1086"/>
      <c r="E46" s="1087" t="s">
        <v>2272</v>
      </c>
      <c r="F46" s="916">
        <f ca="1">IF(INDIRECT("'数据-取费表'!af"&amp;$G$1)=0,INDIRECT("'数据-取费表'!ae"&amp;$G$1),INDIRECT("'数据-取费表'!af"&amp;$G$1))</f>
        <v>0</v>
      </c>
      <c r="G46" s="886"/>
      <c r="H46" s="886"/>
      <c r="I46" s="886"/>
      <c r="J46" s="886"/>
      <c r="K46" s="984"/>
      <c r="L46" s="886"/>
      <c r="M46" s="886"/>
    </row>
    <row r="47" spans="1:18" s="696" customFormat="1" ht="18" customHeight="1">
      <c r="A47" s="1088"/>
      <c r="D47" s="917"/>
      <c r="E47" s="917"/>
      <c r="F47" s="917"/>
      <c r="I47" s="989" t="s">
        <v>2273</v>
      </c>
      <c r="J47" s="990"/>
      <c r="K47" s="991"/>
      <c r="L47" s="992" t="str">
        <f ca="1">IF(M48="住宅",0,IF(L49&gt;J52,L61,J61))</f>
        <v>0</v>
      </c>
      <c r="O47" s="993" t="s">
        <v>2274</v>
      </c>
      <c r="P47" s="812"/>
      <c r="Q47" s="641"/>
      <c r="R47" s="812"/>
    </row>
    <row r="48" spans="1:18" s="696" customFormat="1" ht="18" customHeight="1">
      <c r="A48" s="1088"/>
      <c r="C48" s="1089"/>
      <c r="D48" s="1090"/>
      <c r="E48" s="1090"/>
      <c r="F48" s="1091"/>
      <c r="G48" s="929"/>
      <c r="I48" s="994" t="s">
        <v>2275</v>
      </c>
      <c r="J48" s="995"/>
      <c r="K48" s="996" t="s">
        <v>2276</v>
      </c>
      <c r="L48" s="997">
        <f ca="1">INDIRECT("'数据-取费表'!d"&amp;$G$1)</f>
        <v>0</v>
      </c>
      <c r="M48" s="1100" t="str">
        <f>IF(ISNUMBER(FIND("住宅",C1)),"住宅","非住宅")</f>
        <v>非住宅</v>
      </c>
      <c r="O48" s="998" t="s">
        <v>1586</v>
      </c>
      <c r="P48" s="999" t="s">
        <v>2277</v>
      </c>
      <c r="Q48" s="1036" t="s">
        <v>2278</v>
      </c>
      <c r="R48" s="999" t="s">
        <v>2279</v>
      </c>
    </row>
    <row r="49" spans="1:18" s="696" customFormat="1" ht="18" customHeight="1">
      <c r="A49" s="1088"/>
      <c r="D49" s="1092"/>
      <c r="E49" s="1093"/>
      <c r="F49" s="1091"/>
      <c r="G49" s="929"/>
      <c r="H49" s="930"/>
      <c r="I49" s="1000" t="s">
        <v>2280</v>
      </c>
      <c r="J49" s="1001"/>
      <c r="K49" s="1002" t="s">
        <v>2281</v>
      </c>
      <c r="L49" s="690">
        <f ca="1">INDIRECT("'数据-取费表'!f"&amp;$G$1)</f>
        <v>0</v>
      </c>
      <c r="O49" s="1003" t="s">
        <v>2282</v>
      </c>
      <c r="P49" s="1004" t="s">
        <v>2283</v>
      </c>
      <c r="Q49" s="1037">
        <f ca="1">C41+J31</f>
        <v>0</v>
      </c>
      <c r="R49" s="1004" t="s">
        <v>2284</v>
      </c>
    </row>
    <row r="50" spans="1:18" s="696" customFormat="1" ht="18" customHeight="1">
      <c r="A50" s="1088"/>
      <c r="D50" s="1094"/>
      <c r="E50" s="1094"/>
      <c r="F50" s="1090"/>
      <c r="G50" s="931"/>
      <c r="H50" s="930"/>
      <c r="I50" s="1000" t="s">
        <v>2285</v>
      </c>
      <c r="J50" s="1005"/>
      <c r="K50" s="1006" t="s">
        <v>2286</v>
      </c>
      <c r="L50" s="1007"/>
      <c r="O50" s="1003" t="s">
        <v>2287</v>
      </c>
      <c r="P50" s="1004" t="s">
        <v>2288</v>
      </c>
      <c r="Q50" s="1037" t="str">
        <f ca="1">J61</f>
        <v>0</v>
      </c>
      <c r="R50" s="1004" t="s">
        <v>2289</v>
      </c>
    </row>
    <row r="51" spans="1:18" s="696" customFormat="1" ht="18" customHeight="1">
      <c r="A51" s="1095"/>
      <c r="D51" s="1094"/>
      <c r="E51" s="1094"/>
      <c r="F51" s="917"/>
      <c r="H51" s="930"/>
      <c r="I51" s="1000" t="s">
        <v>2290</v>
      </c>
      <c r="J51" s="1008">
        <f>SUMPRODUCT((I64:I66=J48)*(J63:L63=J49)*(J64:L66))</f>
        <v>0</v>
      </c>
      <c r="K51" s="1006" t="s">
        <v>2291</v>
      </c>
      <c r="L51" s="1007"/>
      <c r="O51" s="1009" t="s">
        <v>2292</v>
      </c>
      <c r="P51" s="1004" t="s">
        <v>2293</v>
      </c>
      <c r="Q51" s="1037">
        <f ca="1">C31</f>
        <v>0</v>
      </c>
      <c r="R51" s="1004" t="s">
        <v>2284</v>
      </c>
    </row>
    <row r="52" spans="1:18" s="696" customFormat="1" ht="18" customHeight="1">
      <c r="A52" s="1095"/>
      <c r="F52" s="917"/>
      <c r="I52" s="1010" t="s">
        <v>2294</v>
      </c>
      <c r="J52" s="1011">
        <f>IF(J50="",J51,J50+J51-YEAR('数据-取费表'!B3))</f>
        <v>0</v>
      </c>
      <c r="K52" s="1000" t="s">
        <v>2295</v>
      </c>
      <c r="L52" s="1012">
        <f ca="1">ROUND(-PV(INDIRECT("'数据-取费表'!h"&amp;$G$1),L49,(C40-C14*J36),0),0)</f>
        <v>0</v>
      </c>
      <c r="O52" s="1009" t="s">
        <v>2296</v>
      </c>
      <c r="P52" s="1004" t="s">
        <v>2297</v>
      </c>
      <c r="Q52" s="1038" t="e">
        <f ca="1">J59</f>
        <v>#VALUE!</v>
      </c>
      <c r="R52" s="1039"/>
    </row>
    <row r="53" spans="1:18" s="696" customFormat="1" ht="18" customHeight="1">
      <c r="A53" s="1095"/>
      <c r="F53" s="917"/>
      <c r="I53" s="1013" t="s">
        <v>2298</v>
      </c>
      <c r="J53" s="1014"/>
      <c r="K53" s="1013" t="s">
        <v>1455</v>
      </c>
      <c r="L53" s="1014"/>
      <c r="O53" s="1009" t="s">
        <v>2299</v>
      </c>
      <c r="P53" s="1004" t="s">
        <v>2300</v>
      </c>
      <c r="Q53" s="1038">
        <f>J53</f>
        <v>0</v>
      </c>
      <c r="R53" s="1039"/>
    </row>
    <row r="54" spans="1:18" s="696" customFormat="1" ht="28.5">
      <c r="A54" s="1095"/>
      <c r="I54" s="1015" t="s">
        <v>2301</v>
      </c>
      <c r="J54" s="1016">
        <f ca="1">IF(M48="住宅",MAX(J52,L49-'数据-取费表'!B20),MIN(J52,L49-'数据-取费表'!B20))</f>
        <v>-2</v>
      </c>
      <c r="K54" s="3418"/>
      <c r="L54" s="3419"/>
      <c r="O54" s="1009" t="s">
        <v>2302</v>
      </c>
      <c r="P54" s="1004" t="s">
        <v>2303</v>
      </c>
      <c r="Q54" s="1037">
        <f ca="1">J54</f>
        <v>-2</v>
      </c>
      <c r="R54" s="1004" t="s">
        <v>2304</v>
      </c>
    </row>
    <row r="55" spans="1:18" s="696" customFormat="1" ht="18" customHeight="1">
      <c r="A55" s="1095"/>
      <c r="I55" s="1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1"/>
      <c r="K55" s="1102"/>
      <c r="O55" s="1003" t="s">
        <v>2305</v>
      </c>
      <c r="P55" s="1004" t="s">
        <v>2306</v>
      </c>
      <c r="Q55" s="1037">
        <f ca="1">Q49+Q50</f>
        <v>0</v>
      </c>
      <c r="R55" s="1039" t="s">
        <v>2307</v>
      </c>
    </row>
    <row r="56" spans="1:18" s="696" customFormat="1" ht="15.75">
      <c r="A56" s="1095"/>
      <c r="B56" s="792"/>
      <c r="C56" s="792"/>
      <c r="I56" s="1017" t="s">
        <v>2308</v>
      </c>
      <c r="J56" s="1018" t="e">
        <f ca="1">ROUND(IF(J48="钢混",J58/J51,1-(1-2%)*(J51-J58)/J51),3)</f>
        <v>#VALUE!</v>
      </c>
      <c r="K56" s="1019" t="s">
        <v>2309</v>
      </c>
      <c r="L56" s="1020"/>
      <c r="O56" s="1021" t="s">
        <v>2310</v>
      </c>
      <c r="P56" s="812"/>
      <c r="Q56" s="641"/>
      <c r="R56" s="812"/>
    </row>
    <row r="57" spans="1:18" s="696" customFormat="1" ht="42.75">
      <c r="A57" s="1095"/>
      <c r="B57" s="792"/>
      <c r="C57" s="792"/>
      <c r="I57" s="1022" t="s">
        <v>2311</v>
      </c>
      <c r="J57" s="1023" t="s">
        <v>484</v>
      </c>
      <c r="K57" s="1000" t="s">
        <v>2312</v>
      </c>
      <c r="L57" s="690">
        <f ca="1">IF(L49&lt;J52,"——",L49-J52)</f>
        <v>0</v>
      </c>
      <c r="O57" s="998" t="s">
        <v>1586</v>
      </c>
      <c r="P57" s="999" t="s">
        <v>2277</v>
      </c>
      <c r="Q57" s="1036" t="s">
        <v>2278</v>
      </c>
      <c r="R57" s="999" t="s">
        <v>2279</v>
      </c>
    </row>
    <row r="58" spans="1:18" s="696" customFormat="1" ht="28.5">
      <c r="A58" s="1095"/>
      <c r="B58" s="792"/>
      <c r="C58" s="792"/>
      <c r="I58" s="1024" t="s">
        <v>2313</v>
      </c>
      <c r="J58" s="1025" t="str">
        <f ca="1">IF(OR(M48="住宅",J52&lt;L49,J57="是"),"——",J52-L49)</f>
        <v>——</v>
      </c>
      <c r="K58" s="1000" t="s">
        <v>2314</v>
      </c>
      <c r="L58" s="690">
        <f ca="1">IF(L49&lt;J52,"——",IF(L56="比较法",L50,IF(L56="基准地价",L51,L52)))</f>
        <v>0</v>
      </c>
      <c r="O58" s="1003" t="s">
        <v>2282</v>
      </c>
      <c r="P58" s="1004" t="s">
        <v>2283</v>
      </c>
      <c r="Q58" s="1037">
        <f ca="1">C41+J31</f>
        <v>0</v>
      </c>
      <c r="R58" s="1004" t="s">
        <v>2284</v>
      </c>
    </row>
    <row r="59" spans="1:18" s="696" customFormat="1" ht="28.5">
      <c r="A59" s="1095"/>
      <c r="B59" s="792"/>
      <c r="C59" s="792"/>
      <c r="I59" s="1024" t="s">
        <v>2315</v>
      </c>
      <c r="J59" s="1026" t="e">
        <f ca="1">IF(J56&lt;0.4,0.4,J56)</f>
        <v>#VALUE!</v>
      </c>
      <c r="K59" s="1000" t="s">
        <v>2316</v>
      </c>
      <c r="L59" s="690">
        <f ca="1">IF(ISERROR(POWER(1+L53,L48-L49)*(POWER(1+L53,L49)-1)/(POWER(1+L53,L48)-1)),0,POWER(1+L53,L48-L49)*(POWER(1+L53,L49)-1)/(POWER(1+L53,L48)-1))</f>
        <v>0</v>
      </c>
      <c r="O59" s="1003" t="s">
        <v>2287</v>
      </c>
      <c r="P59" s="1004" t="s">
        <v>2317</v>
      </c>
      <c r="Q59" s="1037" t="e">
        <f ca="1">L61</f>
        <v>#DIV/0!</v>
      </c>
      <c r="R59" s="1039" t="s">
        <v>2318</v>
      </c>
    </row>
    <row r="60" spans="1:18" s="696" customFormat="1" ht="28.5">
      <c r="A60" s="1095"/>
      <c r="B60" s="792"/>
      <c r="C60" s="792"/>
      <c r="I60" s="1024" t="s">
        <v>2319</v>
      </c>
      <c r="J60" s="1025" t="str">
        <f ca="1">IF(OR(M48="住宅",J52&lt;L49,J57="是"),"——",ROUND(C30*J59,0))</f>
        <v>——</v>
      </c>
      <c r="K60" s="1000" t="s">
        <v>2320</v>
      </c>
      <c r="L60" s="690">
        <f ca="1">IF(ISERROR(POWER(1+L53,L48-J52)*(POWER(1+L53,J52)-1)/(POWER(1+L53,L48)-1)),0,POWER(1+L53,L48-J52)*(POWER(1+L53,J52)-1)/(POWER(1+L53,L48)-1))</f>
        <v>0</v>
      </c>
      <c r="O60" s="1009" t="s">
        <v>2292</v>
      </c>
      <c r="P60" s="1004" t="s">
        <v>2321</v>
      </c>
      <c r="Q60" s="1037">
        <f>IF(L56="比较法",L50,IF(L56="基准地价",L51,0))</f>
        <v>0</v>
      </c>
      <c r="R60" s="1004" t="s">
        <v>2284</v>
      </c>
    </row>
    <row r="61" spans="1:18" s="696" customFormat="1">
      <c r="A61" s="1095"/>
      <c r="B61" s="792"/>
      <c r="C61" s="792"/>
      <c r="I61" s="1027" t="s">
        <v>2322</v>
      </c>
      <c r="J61" s="1028" t="str">
        <f ca="1">IF(OR(M48="住宅",J52&lt;L49,J57="是"),"0",ROUND(J60/(1+J53)^J54,0))</f>
        <v>0</v>
      </c>
      <c r="K61" s="1029" t="s">
        <v>2323</v>
      </c>
      <c r="L61" s="1028" t="e">
        <f ca="1">IF(OR(M48="住宅",L49&lt;J52),0,ROUND(L58*(L59/L60-1),0))</f>
        <v>#DIV/0!</v>
      </c>
      <c r="O61" s="1009" t="s">
        <v>2296</v>
      </c>
      <c r="P61" s="1004" t="s">
        <v>2324</v>
      </c>
      <c r="Q61" s="1038">
        <f>L53</f>
        <v>0</v>
      </c>
      <c r="R61" s="1039"/>
    </row>
    <row r="62" spans="1:18" s="696" customFormat="1" ht="19.5">
      <c r="A62" s="1095"/>
      <c r="B62" s="792"/>
      <c r="C62" s="792"/>
      <c r="K62" s="988"/>
      <c r="O62" s="1009" t="s">
        <v>2299</v>
      </c>
      <c r="P62" s="1004" t="s">
        <v>2325</v>
      </c>
      <c r="Q62" s="1037">
        <f ca="1">L59</f>
        <v>0</v>
      </c>
      <c r="R62" s="1039" t="s">
        <v>2326</v>
      </c>
    </row>
    <row r="63" spans="1:18" s="696" customFormat="1" ht="19.5">
      <c r="A63" s="1095"/>
      <c r="B63" s="792"/>
      <c r="C63" s="792"/>
      <c r="I63" s="1030" t="s">
        <v>2327</v>
      </c>
      <c r="J63" s="1031" t="s">
        <v>2328</v>
      </c>
      <c r="K63" s="1031" t="s">
        <v>2329</v>
      </c>
      <c r="L63" s="1031" t="s">
        <v>2330</v>
      </c>
      <c r="M63" s="1032" t="s">
        <v>2331</v>
      </c>
      <c r="O63" s="1009" t="s">
        <v>2302</v>
      </c>
      <c r="P63" s="1004" t="s">
        <v>2332</v>
      </c>
      <c r="Q63" s="1037">
        <f ca="1">L60</f>
        <v>0</v>
      </c>
      <c r="R63" s="1039" t="s">
        <v>2333</v>
      </c>
    </row>
    <row r="64" spans="1:18" s="696" customFormat="1">
      <c r="A64" s="1095"/>
      <c r="B64" s="792"/>
      <c r="C64" s="792"/>
      <c r="I64" s="1030" t="s">
        <v>2334</v>
      </c>
      <c r="J64" s="1031">
        <v>70</v>
      </c>
      <c r="K64" s="1031">
        <v>50</v>
      </c>
      <c r="L64" s="1031">
        <v>80</v>
      </c>
      <c r="M64" s="1033">
        <v>0.02</v>
      </c>
      <c r="O64" s="1003" t="s">
        <v>2305</v>
      </c>
      <c r="P64" s="1004" t="s">
        <v>2306</v>
      </c>
      <c r="Q64" s="1037" t="e">
        <f ca="1">Q58+Q59</f>
        <v>#DIV/0!</v>
      </c>
      <c r="R64" s="1039" t="s">
        <v>2307</v>
      </c>
    </row>
    <row r="65" spans="1:18" s="696" customFormat="1" ht="15.75">
      <c r="A65" s="1095"/>
      <c r="B65" s="792"/>
      <c r="C65" s="792"/>
      <c r="I65" s="1030" t="s">
        <v>2335</v>
      </c>
      <c r="J65" s="1031">
        <v>50</v>
      </c>
      <c r="K65" s="1031">
        <v>35</v>
      </c>
      <c r="L65" s="1031">
        <v>60</v>
      </c>
      <c r="M65" s="689">
        <v>0</v>
      </c>
      <c r="O65" s="1021" t="s">
        <v>2336</v>
      </c>
      <c r="P65" s="812"/>
      <c r="Q65" s="641"/>
      <c r="R65" s="812"/>
    </row>
    <row r="66" spans="1:18" s="696" customFormat="1">
      <c r="A66" s="1095"/>
      <c r="B66" s="792"/>
      <c r="C66" s="792"/>
      <c r="I66" s="1030" t="s">
        <v>2337</v>
      </c>
      <c r="J66" s="1031">
        <v>40</v>
      </c>
      <c r="K66" s="1031">
        <v>30</v>
      </c>
      <c r="L66" s="1031">
        <v>50</v>
      </c>
      <c r="M66" s="1033">
        <v>0.02</v>
      </c>
      <c r="O66" s="998" t="s">
        <v>1586</v>
      </c>
      <c r="P66" s="999" t="s">
        <v>2277</v>
      </c>
      <c r="Q66" s="1036" t="s">
        <v>2278</v>
      </c>
      <c r="R66" s="999" t="s">
        <v>2279</v>
      </c>
    </row>
    <row r="67" spans="1:18" s="696" customFormat="1">
      <c r="A67" s="1095"/>
      <c r="B67" s="792"/>
      <c r="C67" s="792"/>
      <c r="K67" s="988"/>
      <c r="O67" s="1003" t="s">
        <v>2282</v>
      </c>
      <c r="P67" s="1004" t="s">
        <v>2283</v>
      </c>
      <c r="Q67" s="1037">
        <f ca="1">C41+J31</f>
        <v>0</v>
      </c>
      <c r="R67" s="1004" t="s">
        <v>2284</v>
      </c>
    </row>
    <row r="68" spans="1:18" s="696" customFormat="1" ht="19.5">
      <c r="A68" s="1095"/>
      <c r="B68" s="792"/>
      <c r="C68" s="792"/>
      <c r="K68" s="988"/>
      <c r="O68" s="1003" t="s">
        <v>2287</v>
      </c>
      <c r="P68" s="1004" t="s">
        <v>2317</v>
      </c>
      <c r="Q68" s="1037" t="e">
        <f ca="1">L61</f>
        <v>#DIV/0!</v>
      </c>
      <c r="R68" s="1039" t="s">
        <v>2318</v>
      </c>
    </row>
    <row r="69" spans="1:18" s="696" customFormat="1" ht="21">
      <c r="A69" s="1095"/>
      <c r="B69" s="792"/>
      <c r="C69" s="792"/>
      <c r="K69" s="988"/>
      <c r="O69" s="1009" t="s">
        <v>2292</v>
      </c>
      <c r="P69" s="1004" t="s">
        <v>2321</v>
      </c>
      <c r="Q69" s="1044">
        <f ca="1">L52</f>
        <v>0</v>
      </c>
      <c r="R69" s="1045" t="s">
        <v>2338</v>
      </c>
    </row>
    <row r="70" spans="1:18" s="696" customFormat="1" ht="19.5">
      <c r="A70" s="1095"/>
      <c r="B70" s="792"/>
      <c r="C70" s="792"/>
      <c r="K70" s="988"/>
      <c r="O70" s="1009" t="s">
        <v>2296</v>
      </c>
      <c r="P70" s="1043" t="s">
        <v>2339</v>
      </c>
      <c r="Q70" s="1037">
        <f ca="1">ROUND(Q71-Q72*Q73,0)</f>
        <v>0</v>
      </c>
      <c r="R70" s="1039"/>
    </row>
    <row r="71" spans="1:18" s="696" customFormat="1">
      <c r="A71" s="1095"/>
      <c r="B71" s="792"/>
      <c r="C71" s="792"/>
      <c r="K71" s="988"/>
      <c r="O71" s="1009" t="s">
        <v>2340</v>
      </c>
      <c r="P71" s="1043" t="s">
        <v>2341</v>
      </c>
      <c r="Q71" s="1037">
        <f ca="1">C42</f>
        <v>0</v>
      </c>
      <c r="R71" s="1004" t="s">
        <v>2284</v>
      </c>
    </row>
    <row r="72" spans="1:18" s="696" customFormat="1">
      <c r="A72" s="1095"/>
      <c r="B72" s="792"/>
      <c r="C72" s="792"/>
      <c r="K72" s="988"/>
      <c r="O72" s="1009" t="s">
        <v>2342</v>
      </c>
      <c r="P72" s="1043" t="s">
        <v>2343</v>
      </c>
      <c r="Q72" s="1037">
        <f ca="1">C15</f>
        <v>0</v>
      </c>
      <c r="R72" s="1004" t="s">
        <v>2284</v>
      </c>
    </row>
    <row r="73" spans="1:18" s="696" customFormat="1">
      <c r="A73" s="1095"/>
      <c r="B73" s="792"/>
      <c r="C73" s="792"/>
      <c r="K73" s="988"/>
      <c r="O73" s="1009" t="s">
        <v>2344</v>
      </c>
      <c r="P73" s="1043" t="s">
        <v>2345</v>
      </c>
      <c r="Q73" s="1038">
        <f ca="1">F43</f>
        <v>0</v>
      </c>
      <c r="R73" s="1039"/>
    </row>
    <row r="74" spans="1:18" s="696" customFormat="1">
      <c r="A74" s="1095"/>
      <c r="B74" s="792"/>
      <c r="C74" s="792"/>
      <c r="K74" s="988"/>
      <c r="O74" s="1009" t="s">
        <v>2299</v>
      </c>
      <c r="P74" s="1004" t="s">
        <v>2324</v>
      </c>
      <c r="Q74" s="1038">
        <f>L53</f>
        <v>0</v>
      </c>
      <c r="R74" s="1039"/>
    </row>
    <row r="75" spans="1:18" s="696" customFormat="1" ht="19.5">
      <c r="A75" s="1095"/>
      <c r="B75" s="792"/>
      <c r="C75" s="792"/>
      <c r="K75" s="988"/>
      <c r="O75" s="1009" t="s">
        <v>2302</v>
      </c>
      <c r="P75" s="1004" t="s">
        <v>2325</v>
      </c>
      <c r="Q75" s="1037">
        <f ca="1">L59</f>
        <v>0</v>
      </c>
      <c r="R75" s="1039" t="s">
        <v>2326</v>
      </c>
    </row>
    <row r="76" spans="1:18" s="696" customFormat="1" ht="19.5">
      <c r="A76" s="1095"/>
      <c r="B76" s="792"/>
      <c r="C76" s="792"/>
      <c r="K76" s="988"/>
      <c r="O76" s="1009" t="s">
        <v>2346</v>
      </c>
      <c r="P76" s="1004" t="s">
        <v>2332</v>
      </c>
      <c r="Q76" s="1037">
        <f ca="1">L60</f>
        <v>0</v>
      </c>
      <c r="R76" s="1039" t="s">
        <v>2333</v>
      </c>
    </row>
    <row r="77" spans="1:18" s="696" customFormat="1">
      <c r="A77" s="1095"/>
      <c r="B77" s="792"/>
      <c r="C77" s="792"/>
      <c r="K77" s="988"/>
      <c r="O77" s="1003" t="s">
        <v>2305</v>
      </c>
      <c r="P77" s="1004" t="s">
        <v>2306</v>
      </c>
      <c r="Q77" s="1037" t="e">
        <f ca="1">Q67+Q68</f>
        <v>#DIV/0!</v>
      </c>
      <c r="R77" s="1039" t="s">
        <v>2307</v>
      </c>
    </row>
    <row r="78" spans="1:18" s="696" customFormat="1">
      <c r="A78" s="1095"/>
      <c r="B78" s="792"/>
      <c r="C78" s="792"/>
      <c r="K78" s="988"/>
    </row>
    <row r="79" spans="1:18" s="696" customFormat="1">
      <c r="A79" s="1095"/>
      <c r="B79" s="792"/>
      <c r="C79" s="792"/>
      <c r="K79" s="988"/>
    </row>
    <row r="80" spans="1:18" s="696" customFormat="1">
      <c r="A80" s="1095"/>
      <c r="B80" s="792"/>
      <c r="C80" s="792"/>
      <c r="K80" s="988"/>
    </row>
    <row r="81" spans="1:11" s="696" customFormat="1">
      <c r="A81" s="1095"/>
      <c r="B81" s="792"/>
      <c r="C81" s="792"/>
      <c r="K81" s="988"/>
    </row>
    <row r="82" spans="1:11" s="696" customFormat="1">
      <c r="A82" s="1095"/>
      <c r="B82" s="792"/>
      <c r="C82" s="792"/>
      <c r="K82" s="988"/>
    </row>
    <row r="83" spans="1:11" s="696" customFormat="1">
      <c r="A83" s="1095"/>
      <c r="B83" s="792"/>
      <c r="C83" s="792"/>
      <c r="K83" s="988"/>
    </row>
    <row r="84" spans="1:11" s="696" customFormat="1">
      <c r="A84" s="1095"/>
      <c r="B84" s="792"/>
      <c r="C84" s="792"/>
      <c r="K84" s="988"/>
    </row>
    <row r="85" spans="1:11" s="696" customFormat="1">
      <c r="A85" s="1095"/>
      <c r="B85" s="792"/>
      <c r="C85" s="792"/>
      <c r="K85" s="988"/>
    </row>
    <row r="86" spans="1:11" s="696" customFormat="1">
      <c r="A86" s="1095"/>
      <c r="B86" s="792"/>
      <c r="C86" s="792"/>
      <c r="K86" s="988"/>
    </row>
    <row r="87" spans="1:11" s="696" customFormat="1">
      <c r="A87" s="1095"/>
      <c r="B87" s="792"/>
      <c r="C87" s="792"/>
      <c r="K87" s="988"/>
    </row>
    <row r="88" spans="1:11" s="696" customFormat="1">
      <c r="A88" s="1095"/>
      <c r="B88" s="792"/>
      <c r="C88" s="792"/>
      <c r="K88" s="988"/>
    </row>
    <row r="89" spans="1:11" s="696" customFormat="1">
      <c r="A89" s="1095"/>
      <c r="B89" s="792"/>
      <c r="C89" s="792"/>
      <c r="K89" s="988"/>
    </row>
    <row r="90" spans="1:11" s="696" customFormat="1">
      <c r="A90" s="1095"/>
      <c r="B90" s="792"/>
      <c r="C90" s="792"/>
      <c r="K90" s="988"/>
    </row>
    <row r="91" spans="1:11" s="696" customFormat="1">
      <c r="A91" s="1095"/>
      <c r="B91" s="792"/>
      <c r="C91" s="792"/>
      <c r="K91" s="988"/>
    </row>
    <row r="92" spans="1:11" s="696" customFormat="1">
      <c r="A92" s="1095"/>
      <c r="B92" s="792"/>
      <c r="C92" s="792"/>
      <c r="K92" s="988"/>
    </row>
    <row r="93" spans="1:11" s="696" customFormat="1">
      <c r="A93" s="1095"/>
      <c r="B93" s="792"/>
      <c r="C93" s="792"/>
      <c r="K93" s="988"/>
    </row>
    <row r="94" spans="1:11" s="696" customFormat="1">
      <c r="A94" s="1095"/>
      <c r="B94" s="792"/>
      <c r="C94" s="792"/>
      <c r="K94" s="988"/>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2" sqref="D42"/>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2347</v>
      </c>
      <c r="B1" s="794"/>
      <c r="C1" s="795" t="s">
        <v>372</v>
      </c>
      <c r="D1" s="796" t="s">
        <v>2348</v>
      </c>
      <c r="E1" s="797" t="s">
        <v>588</v>
      </c>
      <c r="F1" s="798">
        <f ca="1">J53</f>
        <v>41.28</v>
      </c>
      <c r="G1" s="799">
        <f>MATCH(C1,'数据-取费表'!A6:A16,0)+5</f>
        <v>8</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916</v>
      </c>
      <c r="B2" s="119">
        <f ca="1">C40+J29+L46</f>
        <v>2846</v>
      </c>
      <c r="C2" s="801"/>
      <c r="D2" s="802"/>
      <c r="E2" s="803"/>
      <c r="F2" s="803"/>
      <c r="G2" s="804"/>
      <c r="H2" s="801"/>
      <c r="I2" s="801"/>
      <c r="J2" s="801"/>
      <c r="K2" s="941"/>
      <c r="L2" s="801"/>
      <c r="M2" s="801"/>
    </row>
    <row r="3" spans="1:33" ht="18" customHeight="1">
      <c r="A3" s="805" t="s">
        <v>2349</v>
      </c>
      <c r="B3" s="806">
        <f ca="1">IF(ISERROR(B2*10000/F43),0,ROUND(B2*10000/F43,0))</f>
        <v>556</v>
      </c>
      <c r="C3" s="801"/>
      <c r="D3" s="802"/>
      <c r="E3" s="803"/>
      <c r="F3" s="803"/>
      <c r="G3" s="804"/>
      <c r="H3" s="807" t="s">
        <v>2171</v>
      </c>
      <c r="I3" s="942"/>
      <c r="J3" s="942"/>
      <c r="K3" s="943"/>
      <c r="L3" s="942"/>
      <c r="M3" s="942"/>
    </row>
    <row r="4" spans="1:33" ht="18" customHeight="1">
      <c r="A4" s="808" t="s">
        <v>2172</v>
      </c>
      <c r="B4" s="809" t="s">
        <v>2173</v>
      </c>
      <c r="C4" s="809" t="s">
        <v>2174</v>
      </c>
      <c r="D4" s="809" t="s">
        <v>2175</v>
      </c>
      <c r="E4" s="810" t="s">
        <v>2176</v>
      </c>
      <c r="F4" s="811"/>
      <c r="G4" s="812"/>
      <c r="H4" s="808" t="s">
        <v>2172</v>
      </c>
      <c r="I4" s="809" t="s">
        <v>2173</v>
      </c>
      <c r="J4" s="809" t="s">
        <v>2174</v>
      </c>
      <c r="K4" s="809" t="s">
        <v>2175</v>
      </c>
      <c r="L4" s="810" t="s">
        <v>2176</v>
      </c>
      <c r="M4" s="811"/>
    </row>
    <row r="5" spans="1:33" ht="18" customHeight="1">
      <c r="A5" s="813">
        <v>1</v>
      </c>
      <c r="B5" s="814" t="s">
        <v>2177</v>
      </c>
      <c r="C5" s="815">
        <f ca="1">C6+C10+C12</f>
        <v>374</v>
      </c>
      <c r="D5" s="816" t="s">
        <v>2178</v>
      </c>
      <c r="E5" s="817"/>
      <c r="F5" s="818"/>
      <c r="G5" s="812"/>
      <c r="H5" s="813">
        <v>1</v>
      </c>
      <c r="I5" s="814" t="s">
        <v>2177</v>
      </c>
      <c r="J5" s="815">
        <f ca="1">J6+J10+J12</f>
        <v>0</v>
      </c>
      <c r="K5" s="816" t="s">
        <v>2178</v>
      </c>
      <c r="L5" s="817"/>
      <c r="M5" s="818"/>
    </row>
    <row r="6" spans="1:33" ht="18" customHeight="1">
      <c r="A6" s="819" t="s">
        <v>852</v>
      </c>
      <c r="B6" s="3420" t="s">
        <v>2179</v>
      </c>
      <c r="C6" s="820">
        <f ca="1">ROUND(F6*F8*F7*(1-F9)/10000,0)</f>
        <v>374</v>
      </c>
      <c r="D6" s="821" t="s">
        <v>2350</v>
      </c>
      <c r="E6" s="822" t="s">
        <v>2181</v>
      </c>
      <c r="F6" s="823">
        <f ca="1">INDIRECT("'数据-取费表'!u"&amp;$G$1)</f>
        <v>450</v>
      </c>
      <c r="G6" s="812"/>
      <c r="H6" s="824" t="s">
        <v>852</v>
      </c>
      <c r="I6" s="3420" t="s">
        <v>2179</v>
      </c>
      <c r="J6" s="820">
        <f ca="1">ROUND(M6*M8*M7*(1-M9)/10000,0)</f>
        <v>0</v>
      </c>
      <c r="K6" s="893" t="s">
        <v>2351</v>
      </c>
      <c r="L6" s="822" t="s">
        <v>2181</v>
      </c>
      <c r="M6" s="823">
        <f ca="1">INDIRECT("'数据-取费表'!z"&amp;$G$1)</f>
        <v>0</v>
      </c>
    </row>
    <row r="7" spans="1:33" ht="18" customHeight="1">
      <c r="A7" s="825"/>
      <c r="B7" s="3421"/>
      <c r="C7" s="826"/>
      <c r="D7" s="827"/>
      <c r="E7" s="822" t="s">
        <v>2182</v>
      </c>
      <c r="F7" s="823">
        <f ca="1">IF(INDIRECT("'数据-取费表'!ah"&amp;$G$1)="",INDIRECT("'数据-取费表'!k"&amp;$G$1),INDIRECT("'数据-取费表'!ah"&amp;$G$1))</f>
        <v>769</v>
      </c>
      <c r="G7" s="812"/>
      <c r="H7" s="828"/>
      <c r="I7" s="3421"/>
      <c r="J7" s="826"/>
      <c r="K7" s="827"/>
      <c r="L7" s="822" t="s">
        <v>2182</v>
      </c>
      <c r="M7" s="823">
        <f ca="1">F7</f>
        <v>769</v>
      </c>
    </row>
    <row r="8" spans="1:33" ht="18" customHeight="1">
      <c r="A8" s="829"/>
      <c r="B8" s="3422"/>
      <c r="C8" s="826"/>
      <c r="D8" s="827"/>
      <c r="E8" s="822" t="s">
        <v>2183</v>
      </c>
      <c r="F8" s="823">
        <f ca="1">INDIRECT("'数据-取费表'!ai"&amp;$G$1)</f>
        <v>12</v>
      </c>
      <c r="G8" s="812"/>
      <c r="H8" s="828"/>
      <c r="I8" s="3422"/>
      <c r="J8" s="826"/>
      <c r="K8" s="827"/>
      <c r="L8" s="822" t="s">
        <v>2183</v>
      </c>
      <c r="M8" s="823">
        <f ca="1">INDIRECT("'数据-取费表'!ai"&amp;$G$1)</f>
        <v>12</v>
      </c>
    </row>
    <row r="9" spans="1:33" ht="18" customHeight="1">
      <c r="A9" s="830"/>
      <c r="B9" s="3423"/>
      <c r="C9" s="826"/>
      <c r="D9" s="827"/>
      <c r="E9" s="822" t="s">
        <v>2184</v>
      </c>
      <c r="F9" s="831">
        <f ca="1">INDIRECT("'数据-取费表'!w"&amp;$G$1)</f>
        <v>0.1</v>
      </c>
      <c r="G9" s="812"/>
      <c r="H9" s="832"/>
      <c r="I9" s="3422"/>
      <c r="J9" s="826"/>
      <c r="K9" s="827"/>
      <c r="L9" s="875" t="s">
        <v>2184</v>
      </c>
      <c r="M9" s="841">
        <f ca="1">INDIRECT("'数据-取费表'!ab"&amp;$G$1)</f>
        <v>0</v>
      </c>
    </row>
    <row r="10" spans="1:33" ht="18" customHeight="1">
      <c r="A10" s="819" t="s">
        <v>854</v>
      </c>
      <c r="B10" s="833" t="s">
        <v>2185</v>
      </c>
      <c r="C10" s="120">
        <f ca="1">ROUND(IF(F10="押一",C6/12*F11,IF(F10="押二",C6/12*2*F11,IF(F10="押三",C6/12*3*F11,C11*F11))),0)</f>
        <v>0</v>
      </c>
      <c r="D10" s="834" t="s">
        <v>2186</v>
      </c>
      <c r="E10" s="835" t="s">
        <v>2187</v>
      </c>
      <c r="F10" s="836" t="s">
        <v>2352</v>
      </c>
      <c r="G10" s="812"/>
      <c r="H10" s="837" t="s">
        <v>854</v>
      </c>
      <c r="I10" s="944" t="s">
        <v>2185</v>
      </c>
      <c r="J10" s="820">
        <f ca="1">ROUND(IF(M10="押一",J6/12*M11,IF(M10="押二",J6/12*2*M11,IF(M10="押三",J6/12*3*M11,J11*M11))),0)</f>
        <v>0</v>
      </c>
      <c r="K10" s="834" t="s">
        <v>2186</v>
      </c>
      <c r="L10" s="835" t="s">
        <v>2187</v>
      </c>
      <c r="M10" s="836"/>
    </row>
    <row r="11" spans="1:33" ht="18" customHeight="1">
      <c r="A11" s="838"/>
      <c r="B11" s="839" t="s">
        <v>2188</v>
      </c>
      <c r="C11" s="840"/>
      <c r="D11" s="827"/>
      <c r="E11" s="835" t="s">
        <v>634</v>
      </c>
      <c r="F11" s="841">
        <f ca="1">'数据-取费表'!B39</f>
        <v>1.4999999999999999E-2</v>
      </c>
      <c r="G11" s="812"/>
      <c r="H11" s="842"/>
      <c r="I11" s="839" t="s">
        <v>2188</v>
      </c>
      <c r="J11" s="840"/>
      <c r="K11" s="945"/>
      <c r="L11" s="835" t="s">
        <v>634</v>
      </c>
      <c r="M11" s="946">
        <f ca="1">'数据-取费表'!B39</f>
        <v>1.4999999999999999E-2</v>
      </c>
    </row>
    <row r="12" spans="1:33" ht="18" customHeight="1">
      <c r="A12" s="843" t="s">
        <v>1280</v>
      </c>
      <c r="B12" s="844" t="s">
        <v>2189</v>
      </c>
      <c r="C12" s="845"/>
      <c r="D12" s="846"/>
      <c r="E12" s="847"/>
      <c r="F12" s="848"/>
      <c r="G12" s="812"/>
      <c r="H12" s="849" t="s">
        <v>1280</v>
      </c>
      <c r="I12" s="947" t="s">
        <v>2189</v>
      </c>
      <c r="J12" s="948"/>
      <c r="K12" s="846"/>
      <c r="L12" s="847"/>
      <c r="M12" s="949"/>
    </row>
    <row r="13" spans="1:33" ht="18" customHeight="1">
      <c r="A13" s="850">
        <v>2</v>
      </c>
      <c r="B13" s="851" t="s">
        <v>2193</v>
      </c>
      <c r="C13" s="852">
        <f ca="1">ROUND(C29*F13,0)</f>
        <v>15200</v>
      </c>
      <c r="D13" s="853" t="s">
        <v>2353</v>
      </c>
      <c r="E13" s="853" t="s">
        <v>2192</v>
      </c>
      <c r="F13" s="854">
        <f ca="1">INDIRECT("'数据-取费表'!y"&amp;$G$1)</f>
        <v>1</v>
      </c>
      <c r="G13" s="812"/>
      <c r="H13" s="850">
        <v>2</v>
      </c>
      <c r="I13" s="851" t="s">
        <v>2193</v>
      </c>
      <c r="J13" s="950">
        <f ca="1">ROUND(J14*J15,0)</f>
        <v>0</v>
      </c>
      <c r="K13" s="884" t="s">
        <v>2191</v>
      </c>
      <c r="L13" s="951"/>
      <c r="M13" s="952"/>
    </row>
    <row r="14" spans="1:33" ht="18" customHeight="1">
      <c r="A14" s="855" t="s">
        <v>876</v>
      </c>
      <c r="B14" s="822" t="s">
        <v>1287</v>
      </c>
      <c r="C14" s="856">
        <f ca="1">INDIRECT("'数据-取费表'!m"&amp;$G$1)+INDIRECT("'数据-取费表'!t"&amp;$G$1)</f>
        <v>11309</v>
      </c>
      <c r="D14" s="857" t="s">
        <v>2194</v>
      </c>
      <c r="E14" s="858"/>
      <c r="F14" s="859"/>
      <c r="G14" s="812"/>
      <c r="H14" s="860" t="s">
        <v>852</v>
      </c>
      <c r="I14" s="936" t="s">
        <v>2195</v>
      </c>
      <c r="J14" s="121">
        <f ca="1">C29</f>
        <v>15200</v>
      </c>
      <c r="K14" s="937"/>
      <c r="L14" s="953"/>
      <c r="M14" s="954"/>
    </row>
    <row r="15" spans="1:33" s="788" customFormat="1" ht="18" customHeight="1">
      <c r="A15" s="855" t="s">
        <v>881</v>
      </c>
      <c r="B15" s="822" t="s">
        <v>1289</v>
      </c>
      <c r="C15" s="121">
        <f ca="1">ROUND(C14*F15,0)</f>
        <v>565</v>
      </c>
      <c r="D15" s="861" t="s">
        <v>2196</v>
      </c>
      <c r="E15" s="861" t="s">
        <v>2197</v>
      </c>
      <c r="F15" s="862">
        <f>'数据-取费表'!B33</f>
        <v>0.05</v>
      </c>
      <c r="G15" s="863"/>
      <c r="H15" s="849" t="s">
        <v>854</v>
      </c>
      <c r="I15" s="881" t="s">
        <v>2192</v>
      </c>
      <c r="J15" s="955">
        <f ca="1">INDIRECT("'数据-取费表'!ad"&amp;$G$1)</f>
        <v>0</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c r="A16" s="855" t="s">
        <v>884</v>
      </c>
      <c r="B16" s="822" t="s">
        <v>1292</v>
      </c>
      <c r="C16" s="121">
        <f ca="1">ROUND(INDIRECT("'数据-取费表'!m"&amp;$G$1)*F16,0)</f>
        <v>0</v>
      </c>
      <c r="D16" s="822" t="s">
        <v>2196</v>
      </c>
      <c r="E16" s="822" t="s">
        <v>2197</v>
      </c>
      <c r="F16" s="864">
        <f ca="1">IF(INDIRECT("'数据-取费表'!c"&amp;$G$1)="住宅",'数据-取费表'!B34,0)</f>
        <v>0</v>
      </c>
      <c r="G16" s="812"/>
      <c r="H16" s="850" t="s">
        <v>2257</v>
      </c>
      <c r="I16" s="851" t="s">
        <v>2198</v>
      </c>
      <c r="J16" s="852">
        <f ca="1">ROUND(J17+J22+J23+J24,0)</f>
        <v>1466</v>
      </c>
      <c r="K16" s="884" t="s">
        <v>2199</v>
      </c>
      <c r="L16" s="885"/>
      <c r="M16" s="818"/>
    </row>
    <row r="17" spans="1:33" s="788" customFormat="1" ht="18" customHeight="1">
      <c r="A17" s="855" t="s">
        <v>2354</v>
      </c>
      <c r="B17" s="822" t="s">
        <v>2200</v>
      </c>
      <c r="C17" s="121">
        <f ca="1">ROUND(F17*(F43+INDIRECT("'数据-取费表'!S"&amp;$G$1))/10000,0)</f>
        <v>1028</v>
      </c>
      <c r="D17" s="822" t="s">
        <v>2201</v>
      </c>
      <c r="E17" s="822" t="s">
        <v>2202</v>
      </c>
      <c r="F17" s="865">
        <f>'数据-取费表'!B35</f>
        <v>200</v>
      </c>
      <c r="G17" s="863"/>
      <c r="H17" s="860" t="s">
        <v>852</v>
      </c>
      <c r="I17" s="822" t="s">
        <v>2203</v>
      </c>
      <c r="J17" s="121">
        <f ca="1">ROUND(IF(项目基本情况!B11="自然人",J6*M17/(1+'数据-取费表'!C42),J18+J19+J20),0)</f>
        <v>1314</v>
      </c>
      <c r="K17" s="857" t="s">
        <v>2204</v>
      </c>
      <c r="L17" s="888" t="s">
        <v>2205</v>
      </c>
      <c r="M17" s="889" t="str">
        <f ca="1">IF(项目基本情况!B11="企业","",IF(INDIRECT("'数据-取费表'!c"&amp;$G$1)="住宅",5%,IF(M6*M7*M8/12/(1+'数据-取费表'!C42)&gt;20000,12%,7%)))</f>
        <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2355</v>
      </c>
      <c r="B18" s="822" t="s">
        <v>1297</v>
      </c>
      <c r="C18" s="121">
        <f ca="1">ROUND(C14*F18,0)</f>
        <v>170</v>
      </c>
      <c r="D18" s="822" t="s">
        <v>2196</v>
      </c>
      <c r="E18" s="822" t="s">
        <v>2197</v>
      </c>
      <c r="F18" s="864">
        <f>'数据-取费表'!B36</f>
        <v>1.4999999999999999E-2</v>
      </c>
      <c r="G18" s="863"/>
      <c r="H18" s="855" t="s">
        <v>876</v>
      </c>
      <c r="I18" s="822" t="s">
        <v>2206</v>
      </c>
      <c r="J18" s="121">
        <f ca="1">ROUND(J6*M18/(1+'数据-取费表'!C42),1)</f>
        <v>0</v>
      </c>
      <c r="K18" s="888" t="s">
        <v>2207</v>
      </c>
      <c r="L18" s="822" t="s">
        <v>2197</v>
      </c>
      <c r="M18" s="864">
        <f>'数据-取费表'!B41</f>
        <v>5.6000000000000001E-2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852</v>
      </c>
      <c r="B19" s="822" t="s">
        <v>2208</v>
      </c>
      <c r="C19" s="121">
        <f ca="1">SUM(C14:C18)</f>
        <v>13072</v>
      </c>
      <c r="D19" s="866" t="s">
        <v>2209</v>
      </c>
      <c r="E19" s="123"/>
      <c r="F19" s="865"/>
      <c r="G19" s="812"/>
      <c r="H19" s="855" t="s">
        <v>881</v>
      </c>
      <c r="I19" s="822" t="s">
        <v>2210</v>
      </c>
      <c r="J19" s="121">
        <f ca="1">IF(K19="按租金收入计税",ROUND(J6*M19/(1+'数据-取费表'!C42),1),ROUND(C29*F33*0.7,1))</f>
        <v>1276.8</v>
      </c>
      <c r="K19" s="891" t="s">
        <v>2211</v>
      </c>
      <c r="L19" s="822" t="s">
        <v>2197</v>
      </c>
      <c r="M19" s="864">
        <f>IF(K19="按租金收入计税",'数据-取费表'!B51,'数据-取费表'!B50)</f>
        <v>1.2E-2</v>
      </c>
    </row>
    <row r="20" spans="1:33" s="788" customFormat="1" ht="18" customHeight="1">
      <c r="A20" s="860" t="s">
        <v>854</v>
      </c>
      <c r="B20" s="822" t="s">
        <v>2213</v>
      </c>
      <c r="C20" s="121">
        <f ca="1">ROUND(C19*F20,0)</f>
        <v>131</v>
      </c>
      <c r="D20" s="867" t="s">
        <v>2214</v>
      </c>
      <c r="E20" s="822" t="s">
        <v>2197</v>
      </c>
      <c r="F20" s="864">
        <f>'数据-取费表'!B37</f>
        <v>0.01</v>
      </c>
      <c r="G20" s="863"/>
      <c r="H20" s="868" t="s">
        <v>884</v>
      </c>
      <c r="I20" s="893" t="s">
        <v>2215</v>
      </c>
      <c r="J20" s="894">
        <f ca="1">ROUND(M20*M21/10000,0)</f>
        <v>37</v>
      </c>
      <c r="K20" s="895" t="s">
        <v>2216</v>
      </c>
      <c r="L20" s="822" t="s">
        <v>2217</v>
      </c>
      <c r="M20" s="872">
        <f>'数据-取费表'!B52</f>
        <v>14</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1280</v>
      </c>
      <c r="B21" s="822" t="s">
        <v>2219</v>
      </c>
      <c r="C21" s="121" t="s">
        <v>138</v>
      </c>
      <c r="D21" s="867" t="s">
        <v>2356</v>
      </c>
      <c r="E21" s="822" t="s">
        <v>2221</v>
      </c>
      <c r="F21" s="864">
        <f>'数据-取费表'!B38</f>
        <v>0.01</v>
      </c>
      <c r="G21" s="863"/>
      <c r="H21" s="869"/>
      <c r="I21" s="897"/>
      <c r="J21" s="898"/>
      <c r="K21" s="899"/>
      <c r="L21" s="822" t="s">
        <v>2222</v>
      </c>
      <c r="M21" s="823">
        <f ca="1">INDIRECT("'数据-取费表'!r"&amp;$G$1)</f>
        <v>26748.850000000002</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2357</v>
      </c>
      <c r="B22" s="822" t="s">
        <v>2224</v>
      </c>
      <c r="C22" s="121"/>
      <c r="D22" s="870" t="str">
        <f>IF(F23&lt;=1,"单利计息。","复利计息。")&amp;"建造成本、管理费用、销售费用产生的利息。"</f>
        <v>复利计息。建造成本、管理费用、销售费用产生的利息。</v>
      </c>
      <c r="E22" s="123"/>
      <c r="F22" s="865"/>
      <c r="G22" s="812"/>
      <c r="H22" s="860" t="s">
        <v>854</v>
      </c>
      <c r="I22" s="822" t="s">
        <v>2225</v>
      </c>
      <c r="J22" s="121">
        <f ca="1">ROUND(J14*M22,0)</f>
        <v>152</v>
      </c>
      <c r="K22" s="888" t="s">
        <v>2226</v>
      </c>
      <c r="L22" s="822" t="s">
        <v>2197</v>
      </c>
      <c r="M22" s="900">
        <f ca="1">INDIRECT("'数据-取费表'!Ak"&amp;$G$1)</f>
        <v>0.01</v>
      </c>
    </row>
    <row r="23" spans="1:33" s="788" customFormat="1" ht="18" customHeight="1">
      <c r="A23" s="855" t="s">
        <v>876</v>
      </c>
      <c r="B23" s="822" t="s">
        <v>2227</v>
      </c>
      <c r="C23" s="121">
        <f ca="1">ROUND(IF('数据-取费表'!B22&lt;=1,(C19+C20)*F24*F23/2,(C19+C20)*(POWER((1+F24),F23/2)-1)),0)</f>
        <v>627</v>
      </c>
      <c r="D23" s="871" t="str">
        <f>IF(F23&lt;=1,"(建造成本+管理费用)×利率×(建设周期÷2)","(建造成本+管理费用)×((1+利率)^(建设周期÷2)-1)")</f>
        <v>(建造成本+管理费用)×((1+利率)^(建设周期÷2)-1)</v>
      </c>
      <c r="E23" s="822" t="s">
        <v>2228</v>
      </c>
      <c r="F23" s="872">
        <f>'数据-取费表'!B20</f>
        <v>2</v>
      </c>
      <c r="G23" s="863"/>
      <c r="H23" s="860" t="s">
        <v>1280</v>
      </c>
      <c r="I23" s="822" t="s">
        <v>2229</v>
      </c>
      <c r="J23" s="121">
        <f ca="1">ROUND(J13*M23,0)</f>
        <v>0</v>
      </c>
      <c r="K23" s="888" t="s">
        <v>2230</v>
      </c>
      <c r="L23" s="822" t="s">
        <v>2197</v>
      </c>
      <c r="M23" s="901">
        <f ca="1">INDIRECT("'数据-取费表'!Al"&amp;$G$1)</f>
        <v>1.5E-3</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c r="A24" s="855" t="s">
        <v>881</v>
      </c>
      <c r="B24" s="822" t="s">
        <v>2231</v>
      </c>
      <c r="C24" s="121">
        <f ca="1">ROUND(IF('数据-取费表'!B22&lt;=1,F21*F24*F23/2,F21*(POWER((1+F24),F23/2)-1)),4)</f>
        <v>5.0000000000000001E-4</v>
      </c>
      <c r="D24" s="871" t="str">
        <f>IF(F23&lt;=1,"销售费用×利率×(建设周期÷2)","销售费用×((1+利率)^(建设周期÷2)-1)")</f>
        <v>销售费用×((1+利率)^(建设周期÷2)-1)</v>
      </c>
      <c r="E24" s="822" t="s">
        <v>2232</v>
      </c>
      <c r="F24" s="873">
        <f ca="1">'数据-取费表'!B40</f>
        <v>4.7500000000000001E-2</v>
      </c>
      <c r="G24" s="863"/>
      <c r="H24" s="849" t="s">
        <v>2357</v>
      </c>
      <c r="I24" s="881" t="s">
        <v>2213</v>
      </c>
      <c r="J24" s="879">
        <f ca="1">ROUND(J5*M24,0)</f>
        <v>0</v>
      </c>
      <c r="K24" s="880" t="s">
        <v>2233</v>
      </c>
      <c r="L24" s="881" t="s">
        <v>2197</v>
      </c>
      <c r="M24" s="848">
        <f ca="1">INDIRECT("'数据-取费表'!Am"&amp;$G$1)</f>
        <v>0.01</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c r="A25" s="874" t="s">
        <v>909</v>
      </c>
      <c r="B25" s="822" t="s">
        <v>2235</v>
      </c>
      <c r="C25" s="121"/>
      <c r="D25" s="866" t="s">
        <v>2236</v>
      </c>
      <c r="E25" s="123"/>
      <c r="F25" s="865"/>
      <c r="G25" s="812"/>
      <c r="H25" s="850" t="s">
        <v>2358</v>
      </c>
      <c r="I25" s="902" t="s">
        <v>2237</v>
      </c>
      <c r="J25" s="852">
        <f ca="1">J5-J16</f>
        <v>-1466</v>
      </c>
      <c r="K25" s="903" t="s">
        <v>2238</v>
      </c>
      <c r="L25" s="904"/>
      <c r="M25" s="905"/>
    </row>
    <row r="26" spans="1:33" ht="18" customHeight="1">
      <c r="A26" s="855" t="s">
        <v>876</v>
      </c>
      <c r="B26" s="822" t="s">
        <v>2239</v>
      </c>
      <c r="C26" s="121">
        <f ca="1">ROUND((C19+C20)*F26,0)</f>
        <v>396</v>
      </c>
      <c r="D26" s="867" t="s">
        <v>2240</v>
      </c>
      <c r="E26" s="875" t="s">
        <v>2241</v>
      </c>
      <c r="F26" s="831">
        <f ca="1">INDIRECT("'数据-取费表'!q"&amp;$G$1)</f>
        <v>0.03</v>
      </c>
      <c r="G26" s="812"/>
      <c r="H26" s="876" t="s">
        <v>2359</v>
      </c>
      <c r="I26" s="906" t="s">
        <v>2360</v>
      </c>
      <c r="J26" s="820">
        <f ca="1">IF(J5&lt;&gt;0,ROUND(J25*(1-((1+M28)/(1+M26))^M27)/(M26-M28),0),0)</f>
        <v>0</v>
      </c>
      <c r="K26" s="895" t="s">
        <v>2243</v>
      </c>
      <c r="L26" s="822" t="s">
        <v>2361</v>
      </c>
      <c r="M26" s="831">
        <f ca="1">INDIRECT("'数据-取费表'!I"&amp;$G$1)</f>
        <v>4.4999999999999998E-2</v>
      </c>
    </row>
    <row r="27" spans="1:33" ht="18" customHeight="1">
      <c r="A27" s="855" t="s">
        <v>881</v>
      </c>
      <c r="B27" s="822" t="s">
        <v>2245</v>
      </c>
      <c r="C27" s="121">
        <f ca="1">ROUND(F21*F26,4)</f>
        <v>2.9999999999999997E-4</v>
      </c>
      <c r="D27" s="867" t="s">
        <v>2246</v>
      </c>
      <c r="E27" s="861"/>
      <c r="F27" s="862"/>
      <c r="G27" s="812"/>
      <c r="H27" s="877"/>
      <c r="I27" s="907"/>
      <c r="J27" s="826"/>
      <c r="K27" s="908" t="s">
        <v>2247</v>
      </c>
      <c r="L27" s="822" t="s">
        <v>2248</v>
      </c>
      <c r="M27" s="909">
        <f ca="1">INDIRECT("'数据-取费表'!ag"&amp;$G$1)</f>
        <v>0</v>
      </c>
    </row>
    <row r="28" spans="1:33" s="788" customFormat="1" ht="18" customHeight="1">
      <c r="A28" s="874" t="s">
        <v>910</v>
      </c>
      <c r="B28" s="822" t="s">
        <v>2250</v>
      </c>
      <c r="C28" s="121">
        <f>ROUND(F28/(1+'数据-取费表'!C42),4)</f>
        <v>5.33E-2</v>
      </c>
      <c r="D28" s="867" t="s">
        <v>2362</v>
      </c>
      <c r="E28" s="822" t="s">
        <v>2197</v>
      </c>
      <c r="F28" s="864">
        <f>'数据-取费表'!B41</f>
        <v>5.6000000000000001E-2</v>
      </c>
      <c r="G28" s="863"/>
      <c r="H28" s="850"/>
      <c r="I28" s="911"/>
      <c r="J28" s="852"/>
      <c r="K28" s="899"/>
      <c r="L28" s="822" t="s">
        <v>2252</v>
      </c>
      <c r="M28" s="831">
        <f ca="1">INDIRECT("'数据-取费表'!aa"&amp;$G$1)</f>
        <v>0</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c r="A29" s="878" t="s">
        <v>1355</v>
      </c>
      <c r="B29" s="847" t="s">
        <v>2254</v>
      </c>
      <c r="C29" s="879">
        <f ca="1">ROUND((C19+C20+C23+C26)/(1-F21-C24-C27-C28),0)</f>
        <v>15200</v>
      </c>
      <c r="D29" s="880"/>
      <c r="E29" s="881"/>
      <c r="F29" s="882"/>
      <c r="G29" s="863"/>
      <c r="H29" s="883" t="s">
        <v>2363</v>
      </c>
      <c r="I29" s="912" t="s">
        <v>2364</v>
      </c>
      <c r="J29" s="913">
        <f ca="1">ROUND(J26/(1+F40)^F41,0)</f>
        <v>0</v>
      </c>
      <c r="K29" s="914" t="s">
        <v>2256</v>
      </c>
      <c r="L29" s="915"/>
      <c r="M29" s="916">
        <f ca="1">INDIRECT("'数据-取费表'!k"&amp;$G$1)</f>
        <v>51186.6</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c r="A30" s="850" t="s">
        <v>2257</v>
      </c>
      <c r="B30" s="851" t="s">
        <v>2198</v>
      </c>
      <c r="C30" s="852">
        <f ca="1">ROUND(C31+C36+C37+C38,0)</f>
        <v>279</v>
      </c>
      <c r="D30" s="884" t="s">
        <v>2199</v>
      </c>
      <c r="E30" s="885"/>
      <c r="F30" s="818"/>
      <c r="G30" s="886"/>
      <c r="H30" s="887"/>
      <c r="I30" s="960"/>
      <c r="J30" s="961"/>
      <c r="K30" s="962"/>
      <c r="L30" s="963"/>
      <c r="M30" s="964"/>
    </row>
    <row r="31" spans="1:33" ht="18" customHeight="1">
      <c r="A31" s="860" t="s">
        <v>852</v>
      </c>
      <c r="B31" s="822" t="s">
        <v>2203</v>
      </c>
      <c r="C31" s="121">
        <f ca="1">ROUND(IF(项目基本情况!B11="自然人",C6*F31/(1+'数据-取费表'!C42),C32+C33+C34),1)</f>
        <v>100</v>
      </c>
      <c r="D31" s="857" t="s">
        <v>2204</v>
      </c>
      <c r="E31" s="888" t="s">
        <v>2205</v>
      </c>
      <c r="F31" s="889" t="str">
        <f ca="1">IF(项目基本情况!B11="企业","",IF(INDIRECT("'数据-取费表'!c"&amp;$G$1)="住宅",5%,IF(F6*F7*F8/12/(1+'数据-取费表'!C42)&gt;20000,12%,7%)))</f>
        <v/>
      </c>
      <c r="G31" s="886"/>
      <c r="H31" s="887"/>
      <c r="I31" s="960"/>
      <c r="J31" s="961"/>
      <c r="K31" s="962"/>
      <c r="L31" s="963"/>
      <c r="M31" s="964"/>
    </row>
    <row r="32" spans="1:33" ht="18" customHeight="1">
      <c r="A32" s="855" t="s">
        <v>876</v>
      </c>
      <c r="B32" s="822" t="s">
        <v>2206</v>
      </c>
      <c r="C32" s="121">
        <f ca="1">ROUND(C6*F32/(1+'数据-取费表'!C42),1)</f>
        <v>19.899999999999999</v>
      </c>
      <c r="D32" s="888" t="s">
        <v>2207</v>
      </c>
      <c r="E32" s="822" t="s">
        <v>2197</v>
      </c>
      <c r="F32" s="864">
        <f>'数据-取费表'!B41</f>
        <v>5.6000000000000001E-2</v>
      </c>
      <c r="G32" s="886"/>
      <c r="H32" s="890"/>
      <c r="I32" s="965"/>
      <c r="J32" s="966"/>
      <c r="K32" s="967"/>
      <c r="L32" s="968"/>
      <c r="M32" s="969"/>
    </row>
    <row r="33" spans="1:18" ht="18" customHeight="1">
      <c r="A33" s="855" t="s">
        <v>881</v>
      </c>
      <c r="B33" s="822" t="s">
        <v>2210</v>
      </c>
      <c r="C33" s="121">
        <f ca="1">IF(D33="按租金收入计税",ROUND(C6*F33/(1+'数据-取费表'!C42),1),IF(D33="按房产原值计税",ROUND(C29*F33*0.7,1),INDIRECT("'数据-取费表'!Aj"&amp;$G$1)))</f>
        <v>42.7</v>
      </c>
      <c r="D33" s="891" t="s">
        <v>2365</v>
      </c>
      <c r="E33" s="822" t="s">
        <v>2197</v>
      </c>
      <c r="F33" s="864">
        <f>IF(D33="按租金收入计税",'数据-取费表'!B51,'数据-取费表'!B50)</f>
        <v>0.12</v>
      </c>
      <c r="G33" s="886"/>
      <c r="H33" s="892"/>
      <c r="I33" s="892"/>
      <c r="J33" s="892"/>
      <c r="K33" s="970"/>
      <c r="L33" s="892"/>
      <c r="M33" s="892"/>
    </row>
    <row r="34" spans="1:18" ht="18" customHeight="1">
      <c r="A34" s="868" t="s">
        <v>884</v>
      </c>
      <c r="B34" s="893" t="s">
        <v>2215</v>
      </c>
      <c r="C34" s="894">
        <f ca="1">ROUND(F34*F35/10000,1)</f>
        <v>37.4</v>
      </c>
      <c r="D34" s="895" t="s">
        <v>2216</v>
      </c>
      <c r="E34" s="822" t="s">
        <v>2217</v>
      </c>
      <c r="F34" s="872">
        <f>'数据-取费表'!B52</f>
        <v>14</v>
      </c>
      <c r="G34" s="886"/>
      <c r="H34" s="887"/>
      <c r="I34" s="971" t="s">
        <v>2366</v>
      </c>
      <c r="J34" s="972"/>
      <c r="K34" s="973"/>
      <c r="L34" s="974"/>
      <c r="M34" s="974"/>
    </row>
    <row r="35" spans="1:18" ht="18" customHeight="1">
      <c r="A35" s="896"/>
      <c r="B35" s="897"/>
      <c r="C35" s="898"/>
      <c r="D35" s="899"/>
      <c r="E35" s="822" t="s">
        <v>2222</v>
      </c>
      <c r="F35" s="823">
        <f ca="1">INDIRECT("'数据-取费表'!r"&amp;$G$1)</f>
        <v>26748.850000000002</v>
      </c>
      <c r="G35" s="886"/>
      <c r="H35" s="887"/>
      <c r="I35" s="975" t="s">
        <v>2367</v>
      </c>
      <c r="J35" s="976">
        <f ca="1">ROUND(C13*J36,0)</f>
        <v>1292</v>
      </c>
      <c r="K35" s="970"/>
      <c r="L35" s="892"/>
      <c r="M35" s="892"/>
    </row>
    <row r="36" spans="1:18" ht="18" customHeight="1">
      <c r="A36" s="860" t="s">
        <v>854</v>
      </c>
      <c r="B36" s="822" t="s">
        <v>2225</v>
      </c>
      <c r="C36" s="121">
        <f ca="1">ROUND(C29*F36,1)</f>
        <v>152</v>
      </c>
      <c r="D36" s="888" t="s">
        <v>2260</v>
      </c>
      <c r="E36" s="822" t="s">
        <v>2197</v>
      </c>
      <c r="F36" s="900">
        <f ca="1">INDIRECT("'数据-取费表'!Ak"&amp;$G$1)</f>
        <v>0.01</v>
      </c>
      <c r="G36" s="886"/>
      <c r="H36" s="892"/>
      <c r="I36" s="977" t="s">
        <v>2368</v>
      </c>
      <c r="J36" s="978">
        <f ca="1">INDIRECT("'数据-取费表'!j"&amp;$G$1)</f>
        <v>8.5000000000000006E-2</v>
      </c>
      <c r="K36" s="979"/>
      <c r="L36" s="892"/>
      <c r="M36" s="892"/>
    </row>
    <row r="37" spans="1:18" ht="18" customHeight="1">
      <c r="A37" s="860" t="s">
        <v>1280</v>
      </c>
      <c r="B37" s="822" t="s">
        <v>2229</v>
      </c>
      <c r="C37" s="121">
        <f ca="1">ROUND(C13*F37,1)</f>
        <v>22.8</v>
      </c>
      <c r="D37" s="888" t="s">
        <v>2230</v>
      </c>
      <c r="E37" s="822" t="s">
        <v>2197</v>
      </c>
      <c r="F37" s="901">
        <f ca="1">INDIRECT("'数据-取费表'!Al"&amp;$G$1)</f>
        <v>1.5E-3</v>
      </c>
      <c r="G37" s="886"/>
      <c r="H37" s="892"/>
      <c r="I37" s="980" t="s">
        <v>2369</v>
      </c>
      <c r="J37" s="981"/>
      <c r="K37" s="979"/>
      <c r="L37" s="892"/>
      <c r="M37" s="892"/>
    </row>
    <row r="38" spans="1:18" ht="18" customHeight="1">
      <c r="A38" s="849" t="s">
        <v>2357</v>
      </c>
      <c r="B38" s="881" t="s">
        <v>2213</v>
      </c>
      <c r="C38" s="879">
        <f ca="1">ROUND(C5*F38,1)</f>
        <v>3.7</v>
      </c>
      <c r="D38" s="880" t="s">
        <v>2233</v>
      </c>
      <c r="E38" s="881" t="s">
        <v>2197</v>
      </c>
      <c r="F38" s="848">
        <f ca="1">INDIRECT("'数据-取费表'!Am"&amp;$G$1)</f>
        <v>0.01</v>
      </c>
      <c r="G38" s="886"/>
      <c r="H38" s="892"/>
      <c r="I38" s="982" t="s">
        <v>2370</v>
      </c>
      <c r="J38" s="983"/>
      <c r="K38" s="984"/>
      <c r="L38" s="892"/>
      <c r="M38" s="892"/>
    </row>
    <row r="39" spans="1:18" ht="24.6" customHeight="1">
      <c r="A39" s="850" t="s">
        <v>2358</v>
      </c>
      <c r="B39" s="902" t="s">
        <v>2237</v>
      </c>
      <c r="C39" s="852">
        <f ca="1">C5-C30</f>
        <v>95</v>
      </c>
      <c r="D39" s="903" t="s">
        <v>2238</v>
      </c>
      <c r="E39" s="904"/>
      <c r="F39" s="905"/>
      <c r="G39" s="886"/>
      <c r="H39" s="892"/>
      <c r="I39" s="975" t="s">
        <v>2371</v>
      </c>
      <c r="J39" s="985">
        <f ca="1">ROUND(J35/C39,3)</f>
        <v>13.6</v>
      </c>
      <c r="K39" s="984"/>
      <c r="L39" s="892"/>
      <c r="M39" s="892"/>
    </row>
    <row r="40" spans="1:18" ht="18" customHeight="1">
      <c r="A40" s="813" t="s">
        <v>2359</v>
      </c>
      <c r="B40" s="906" t="s">
        <v>2372</v>
      </c>
      <c r="C40" s="820">
        <f ca="1">ROUND(C39*(1-((1+F42)/(1+F40))^F41)/(F40-F42),0)</f>
        <v>2846</v>
      </c>
      <c r="D40" s="895" t="s">
        <v>2243</v>
      </c>
      <c r="E40" s="822" t="s">
        <v>2361</v>
      </c>
      <c r="F40" s="831">
        <f ca="1">INDIRECT("'数据-取费表'!I"&amp;$G$1)</f>
        <v>4.4999999999999998E-2</v>
      </c>
      <c r="G40" s="886"/>
      <c r="H40" s="886"/>
      <c r="I40" s="975" t="s">
        <v>2373</v>
      </c>
      <c r="J40" s="985">
        <f ca="1">1-J39</f>
        <v>-12.6</v>
      </c>
      <c r="K40" s="984"/>
      <c r="L40" s="886"/>
      <c r="M40" s="886"/>
    </row>
    <row r="41" spans="1:18" ht="18" customHeight="1">
      <c r="A41" s="830"/>
      <c r="B41" s="907"/>
      <c r="C41" s="826"/>
      <c r="D41" s="908" t="s">
        <v>2247</v>
      </c>
      <c r="E41" s="822" t="s">
        <v>2248</v>
      </c>
      <c r="F41" s="909">
        <f ca="1">IF(INDIRECT("'数据-取费表'!af"&amp;$G$1)=0,INDIRECT("'数据-取费表'!ae"&amp;$G$1),INDIRECT("'数据-取费表'!af"&amp;$G$1))</f>
        <v>41.28</v>
      </c>
      <c r="G41" s="886"/>
      <c r="H41" s="910"/>
      <c r="I41" s="982" t="s">
        <v>2374</v>
      </c>
      <c r="J41" s="689"/>
      <c r="K41" s="979"/>
      <c r="L41" s="910"/>
      <c r="M41" s="910"/>
    </row>
    <row r="42" spans="1:18" ht="18" customHeight="1">
      <c r="A42" s="838"/>
      <c r="B42" s="911"/>
      <c r="C42" s="852"/>
      <c r="D42" s="899"/>
      <c r="E42" s="822" t="s">
        <v>2252</v>
      </c>
      <c r="F42" s="831">
        <f ca="1">INDIRECT("'数据-取费表'!v"&amp;$G$1)</f>
        <v>0.03</v>
      </c>
      <c r="G42" s="886"/>
      <c r="H42" s="910"/>
      <c r="I42" s="986" t="s">
        <v>2375</v>
      </c>
      <c r="J42" s="985">
        <f ca="1">ROUND(C13/C40,3)</f>
        <v>5.3410000000000002</v>
      </c>
      <c r="K42" s="979"/>
      <c r="L42" s="910"/>
      <c r="M42" s="910"/>
    </row>
    <row r="43" spans="1:18" ht="18" customHeight="1">
      <c r="A43" s="883" t="s">
        <v>2363</v>
      </c>
      <c r="B43" s="912" t="s">
        <v>2376</v>
      </c>
      <c r="C43" s="913">
        <f ca="1">ROUND(C40*10000/F43,0)</f>
        <v>556</v>
      </c>
      <c r="D43" s="914" t="s">
        <v>2377</v>
      </c>
      <c r="E43" s="915" t="s">
        <v>2378</v>
      </c>
      <c r="F43" s="916">
        <f ca="1">INDIRECT("'数据-取费表'!k"&amp;$G$1)</f>
        <v>51186.6</v>
      </c>
      <c r="G43" s="886"/>
      <c r="H43" s="910"/>
      <c r="I43" s="986" t="s">
        <v>2379</v>
      </c>
      <c r="J43" s="987">
        <f ca="1">1-J42</f>
        <v>-4.3410000000000002</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2380</v>
      </c>
      <c r="B46" s="917"/>
      <c r="C46" s="920">
        <f ca="1">C67-C40</f>
        <v>-6792</v>
      </c>
      <c r="D46" s="917"/>
      <c r="E46" s="917"/>
      <c r="F46" s="917"/>
      <c r="I46" s="989" t="s">
        <v>2273</v>
      </c>
      <c r="J46" s="990"/>
      <c r="K46" s="991"/>
      <c r="L46" s="992">
        <f>IF(OR(M47="住宅",D1="土地（套用方法）"),0,IF(L48&gt;J51,L60,J60))</f>
        <v>0</v>
      </c>
      <c r="O46" s="993" t="s">
        <v>2274</v>
      </c>
      <c r="P46" s="812"/>
      <c r="Q46" s="641"/>
      <c r="R46" s="812"/>
    </row>
    <row r="47" spans="1:18" s="696" customFormat="1" ht="18" customHeight="1">
      <c r="A47" s="921">
        <v>1</v>
      </c>
      <c r="B47" s="922" t="s">
        <v>2381</v>
      </c>
      <c r="C47" s="920">
        <f ca="1">C48+C52+C54</f>
        <v>0</v>
      </c>
      <c r="D47" s="917"/>
      <c r="E47" s="917"/>
      <c r="F47" s="917"/>
      <c r="I47" s="994" t="s">
        <v>2275</v>
      </c>
      <c r="J47" s="995" t="s">
        <v>2335</v>
      </c>
      <c r="K47" s="996" t="s">
        <v>2276</v>
      </c>
      <c r="L47" s="997">
        <f ca="1">INDIRECT("'数据-取费表'!d"&amp;$G$1)</f>
        <v>50</v>
      </c>
      <c r="M47" s="641" t="str">
        <f>IF(ISNUMBER(FIND("住宅",C1)),"住宅","非住宅")</f>
        <v>非住宅</v>
      </c>
      <c r="O47" s="998" t="s">
        <v>1586</v>
      </c>
      <c r="P47" s="999" t="s">
        <v>2277</v>
      </c>
      <c r="Q47" s="1036" t="s">
        <v>2278</v>
      </c>
      <c r="R47" s="999" t="s">
        <v>2279</v>
      </c>
    </row>
    <row r="48" spans="1:18" s="696" customFormat="1" ht="18" customHeight="1">
      <c r="A48" s="923" t="s">
        <v>1390</v>
      </c>
      <c r="B48" s="924" t="s">
        <v>2382</v>
      </c>
      <c r="C48" s="925">
        <f ca="1">ROUND(F48*F50*F49*(1-F51)/10000,0)</f>
        <v>0</v>
      </c>
      <c r="D48" s="926" t="s">
        <v>2351</v>
      </c>
      <c r="E48" s="927" t="s">
        <v>2383</v>
      </c>
      <c r="F48" s="928"/>
      <c r="G48" s="929"/>
      <c r="I48" s="1000" t="s">
        <v>2280</v>
      </c>
      <c r="J48" s="1001" t="s">
        <v>2330</v>
      </c>
      <c r="K48" s="1002" t="s">
        <v>2281</v>
      </c>
      <c r="L48" s="690">
        <f ca="1">INDIRECT("'数据-取费表'!f"&amp;$G$1)</f>
        <v>43.28</v>
      </c>
      <c r="O48" s="1003" t="s">
        <v>2282</v>
      </c>
      <c r="P48" s="1004" t="s">
        <v>2283</v>
      </c>
      <c r="Q48" s="1037">
        <f ca="1">C40+J29</f>
        <v>2846</v>
      </c>
      <c r="R48" s="1004" t="s">
        <v>2284</v>
      </c>
    </row>
    <row r="49" spans="1:18" s="696" customFormat="1" ht="18" customHeight="1">
      <c r="A49" s="830"/>
      <c r="B49" s="907"/>
      <c r="C49" s="826"/>
      <c r="D49" s="827"/>
      <c r="E49" s="822" t="s">
        <v>2182</v>
      </c>
      <c r="F49" s="823">
        <f ca="1">F7</f>
        <v>769</v>
      </c>
      <c r="G49" s="929"/>
      <c r="H49" s="930"/>
      <c r="I49" s="1000" t="s">
        <v>2285</v>
      </c>
      <c r="J49" s="1005">
        <v>2022</v>
      </c>
      <c r="K49" s="1006" t="s">
        <v>2286</v>
      </c>
      <c r="L49" s="1007"/>
      <c r="O49" s="1003" t="s">
        <v>2287</v>
      </c>
      <c r="P49" s="1004" t="s">
        <v>2288</v>
      </c>
      <c r="Q49" s="1037">
        <f ca="1">J60</f>
        <v>173</v>
      </c>
      <c r="R49" s="1004" t="s">
        <v>2289</v>
      </c>
    </row>
    <row r="50" spans="1:18" s="696" customFormat="1" ht="18" customHeight="1">
      <c r="A50" s="830"/>
      <c r="B50" s="907"/>
      <c r="C50" s="826"/>
      <c r="D50" s="827"/>
      <c r="E50" s="822" t="s">
        <v>2183</v>
      </c>
      <c r="F50" s="823">
        <f ca="1">F8</f>
        <v>12</v>
      </c>
      <c r="G50" s="931"/>
      <c r="H50" s="930"/>
      <c r="I50" s="1000" t="s">
        <v>2290</v>
      </c>
      <c r="J50" s="1008">
        <f>SUMPRODUCT((I63:I65=J47)*(J62:L62=J48)*(J63:L65))</f>
        <v>60</v>
      </c>
      <c r="K50" s="1006" t="s">
        <v>2291</v>
      </c>
      <c r="L50" s="1007"/>
      <c r="O50" s="1009" t="s">
        <v>2292</v>
      </c>
      <c r="P50" s="1004" t="s">
        <v>2293</v>
      </c>
      <c r="Q50" s="1037">
        <f ca="1">C29</f>
        <v>15200</v>
      </c>
      <c r="R50" s="1004" t="s">
        <v>2284</v>
      </c>
    </row>
    <row r="51" spans="1:18" s="696" customFormat="1" ht="18" customHeight="1">
      <c r="A51" s="830"/>
      <c r="B51" s="907"/>
      <c r="C51" s="826"/>
      <c r="D51" s="827"/>
      <c r="E51" s="822" t="s">
        <v>2184</v>
      </c>
      <c r="F51" s="932"/>
      <c r="H51" s="930"/>
      <c r="I51" s="1010" t="s">
        <v>2294</v>
      </c>
      <c r="J51" s="1011">
        <f>IF(J49="",J50,J49+J50-YEAR('数据-取费表'!B2))</f>
        <v>62</v>
      </c>
      <c r="K51" s="1000" t="s">
        <v>2295</v>
      </c>
      <c r="L51" s="1012">
        <f ca="1">ROUND(-PV(INDIRECT("'数据-取费表'!h"&amp;$G$1),L48,(C39-C13*J36),0),0)</f>
        <v>-24444</v>
      </c>
      <c r="O51" s="1009" t="s">
        <v>2296</v>
      </c>
      <c r="P51" s="1004" t="s">
        <v>2297</v>
      </c>
      <c r="Q51" s="1038">
        <f ca="1">J58</f>
        <v>0.4</v>
      </c>
      <c r="R51" s="1039"/>
    </row>
    <row r="52" spans="1:18" s="696" customFormat="1" ht="18" customHeight="1">
      <c r="A52" s="813" t="s">
        <v>2384</v>
      </c>
      <c r="B52" s="833" t="s">
        <v>2185</v>
      </c>
      <c r="C52" s="120">
        <f ca="1">ROUND(IF(F52="押一",C48/12*F11,IF(F52="押二",C48/12*2*F11,IF(F52="押三",C48/12*3*F11,C53*F11))),0)</f>
        <v>0</v>
      </c>
      <c r="D52" s="834" t="s">
        <v>2186</v>
      </c>
      <c r="E52" s="835" t="s">
        <v>2187</v>
      </c>
      <c r="F52" s="836"/>
      <c r="I52" s="1013" t="s">
        <v>2298</v>
      </c>
      <c r="J52" s="1014">
        <v>0.09</v>
      </c>
      <c r="K52" s="1013" t="s">
        <v>1455</v>
      </c>
      <c r="L52" s="1014"/>
      <c r="O52" s="1009" t="s">
        <v>2299</v>
      </c>
      <c r="P52" s="1004" t="s">
        <v>2300</v>
      </c>
      <c r="Q52" s="1038">
        <f>J52</f>
        <v>0.09</v>
      </c>
      <c r="R52" s="1039"/>
    </row>
    <row r="53" spans="1:18" s="696" customFormat="1" ht="39.75" customHeight="1">
      <c r="A53" s="830"/>
      <c r="B53" s="839" t="s">
        <v>2188</v>
      </c>
      <c r="C53" s="840"/>
      <c r="D53" s="834"/>
      <c r="E53" s="835"/>
      <c r="F53" s="933"/>
      <c r="I53" s="1015" t="s">
        <v>2301</v>
      </c>
      <c r="J53" s="1016">
        <f ca="1">IF(M47="住宅",IF(D1="——",MAX(J51,L48),MAX(J51,L48-'数据-取费表'!B20)),IF(D1="——",MIN(J51,L48),MIN(J51,L48-'数据-取费表'!B20)))</f>
        <v>41.28</v>
      </c>
      <c r="K53" s="3425" t="s">
        <v>2385</v>
      </c>
      <c r="L53" s="3426"/>
      <c r="O53" s="1009" t="s">
        <v>2302</v>
      </c>
      <c r="P53" s="1004" t="s">
        <v>2303</v>
      </c>
      <c r="Q53" s="1037">
        <f ca="1">J53</f>
        <v>41.28</v>
      </c>
      <c r="R53" s="1004" t="s">
        <v>2304</v>
      </c>
    </row>
    <row r="54" spans="1:18" s="696" customFormat="1" ht="18" customHeight="1">
      <c r="A54" s="843" t="s">
        <v>1280</v>
      </c>
      <c r="B54" s="844" t="s">
        <v>2189</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3" t="s">
        <v>2305</v>
      </c>
      <c r="P54" s="1004" t="s">
        <v>2306</v>
      </c>
      <c r="Q54" s="1037">
        <f ca="1">Q48+Q49</f>
        <v>3019</v>
      </c>
      <c r="R54" s="1039" t="s">
        <v>2307</v>
      </c>
    </row>
    <row r="55" spans="1:18" s="696" customFormat="1" ht="18" customHeight="1">
      <c r="A55" s="934">
        <v>2</v>
      </c>
      <c r="B55" s="935" t="s">
        <v>2193</v>
      </c>
      <c r="C55" s="120">
        <f ca="1">C13</f>
        <v>15200</v>
      </c>
      <c r="D55" s="875"/>
      <c r="E55" s="875"/>
      <c r="F55" s="933"/>
      <c r="I55" s="1017" t="s">
        <v>2308</v>
      </c>
      <c r="J55" s="1018">
        <f ca="1">ROUND(IF(J47="钢混",J57/J50,1-(1-2%)*(J50-J57)/J50),3)</f>
        <v>0.312</v>
      </c>
      <c r="K55" s="1019" t="s">
        <v>2309</v>
      </c>
      <c r="L55" s="1020"/>
      <c r="O55" s="1021" t="s">
        <v>2310</v>
      </c>
      <c r="P55" s="812"/>
      <c r="Q55" s="641"/>
      <c r="R55" s="812"/>
    </row>
    <row r="56" spans="1:18" s="696" customFormat="1" ht="42.75" customHeight="1">
      <c r="A56" s="874"/>
      <c r="B56" s="936" t="s">
        <v>2254</v>
      </c>
      <c r="C56" s="121">
        <f ca="1">C29</f>
        <v>15200</v>
      </c>
      <c r="D56" s="888"/>
      <c r="E56" s="822"/>
      <c r="F56" s="864"/>
      <c r="I56" s="1022" t="s">
        <v>2311</v>
      </c>
      <c r="J56" s="1023"/>
      <c r="K56" s="1000" t="s">
        <v>2312</v>
      </c>
      <c r="L56" s="690" t="str">
        <f ca="1">IF(L48&lt;J51,"——",L48-J51)</f>
        <v>——</v>
      </c>
      <c r="O56" s="998" t="s">
        <v>1586</v>
      </c>
      <c r="P56" s="999" t="s">
        <v>2277</v>
      </c>
      <c r="Q56" s="1036" t="s">
        <v>2278</v>
      </c>
      <c r="R56" s="999" t="s">
        <v>2279</v>
      </c>
    </row>
    <row r="57" spans="1:18" s="696" customFormat="1" ht="28.5" customHeight="1">
      <c r="A57" s="934" t="s">
        <v>2257</v>
      </c>
      <c r="B57" s="935" t="s">
        <v>2198</v>
      </c>
      <c r="C57" s="120">
        <f ca="1">ROUND(C58+C63+C64+C65,0)</f>
        <v>212</v>
      </c>
      <c r="D57" s="937" t="s">
        <v>2199</v>
      </c>
      <c r="E57" s="123"/>
      <c r="F57" s="865"/>
      <c r="I57" s="1024" t="s">
        <v>2313</v>
      </c>
      <c r="J57" s="1025">
        <f ca="1">IF(OR(M47="住宅",J51&lt;L48,J56="是"),"——",J51-L48)</f>
        <v>18.72</v>
      </c>
      <c r="K57" s="1000" t="s">
        <v>2314</v>
      </c>
      <c r="L57" s="690" t="str">
        <f ca="1">IF(L48&lt;J51,"——",IF(L55="比较法",L49,IF(L55="基准地价",L50,L51)))</f>
        <v>——</v>
      </c>
      <c r="O57" s="1003" t="s">
        <v>2282</v>
      </c>
      <c r="P57" s="1004" t="s">
        <v>2283</v>
      </c>
      <c r="Q57" s="1037">
        <f ca="1">C40+J29</f>
        <v>2846</v>
      </c>
      <c r="R57" s="1004" t="s">
        <v>2284</v>
      </c>
    </row>
    <row r="58" spans="1:18" s="696" customFormat="1" ht="28.5" customHeight="1">
      <c r="A58" s="860" t="s">
        <v>852</v>
      </c>
      <c r="B58" s="822" t="s">
        <v>2203</v>
      </c>
      <c r="C58" s="121">
        <f ca="1">ROUND(IF(项目基本情况!B11="自然人",C47*F58,C59+C60+C61),1)</f>
        <v>37.4</v>
      </c>
      <c r="D58" s="857" t="s">
        <v>2204</v>
      </c>
      <c r="E58" s="888" t="s">
        <v>2205</v>
      </c>
      <c r="F58" s="889" t="str">
        <f ca="1">IF(项目基本情况!B11="企业","",IF(INDIRECT("'数据-取费表'!c"&amp;$G$1)="住宅",5%,IF(F48*F49*F50/12/(1+'数据-取费表'!C42)&gt;20000,12%,7%)))</f>
        <v/>
      </c>
      <c r="I58" s="1024" t="s">
        <v>2315</v>
      </c>
      <c r="J58" s="1026">
        <f ca="1">IF(J55&lt;0.4,0.4,J55)</f>
        <v>0.4</v>
      </c>
      <c r="K58" s="1000" t="s">
        <v>2316</v>
      </c>
      <c r="L58" s="690" t="e">
        <f ca="1">ROUND(POWER(1+L52,L47-L48)*(POWER(1+L52,L48)-1)/(POWER(1+L52,L47)-1),4)</f>
        <v>#DIV/0!</v>
      </c>
      <c r="O58" s="1003" t="s">
        <v>2287</v>
      </c>
      <c r="P58" s="1004" t="s">
        <v>2317</v>
      </c>
      <c r="Q58" s="1037">
        <f ca="1">L60</f>
        <v>0</v>
      </c>
      <c r="R58" s="1039" t="s">
        <v>2318</v>
      </c>
    </row>
    <row r="59" spans="1:18" s="696" customFormat="1" ht="28.5" customHeight="1">
      <c r="A59" s="855" t="s">
        <v>876</v>
      </c>
      <c r="B59" s="822" t="s">
        <v>2206</v>
      </c>
      <c r="C59" s="121">
        <f ca="1">ROUND(C47*F59/1.05,1)</f>
        <v>0</v>
      </c>
      <c r="D59" s="888" t="s">
        <v>2207</v>
      </c>
      <c r="E59" s="822" t="s">
        <v>2197</v>
      </c>
      <c r="F59" s="864">
        <f t="shared" ref="F59:F65" si="0">F32</f>
        <v>5.6000000000000001E-2</v>
      </c>
      <c r="I59" s="1024" t="s">
        <v>2319</v>
      </c>
      <c r="J59" s="1025">
        <f ca="1">IF(OR(M47="住宅",J51&lt;L48,J56="是"),"——",ROUND(C29*J58,0))</f>
        <v>6080</v>
      </c>
      <c r="K59" s="1000"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O59" s="1009" t="s">
        <v>2292</v>
      </c>
      <c r="P59" s="1004" t="s">
        <v>2321</v>
      </c>
      <c r="Q59" s="1037">
        <f>IF(L55="比较法",L49,IF(L55="基准地价",L50,0))</f>
        <v>0</v>
      </c>
      <c r="R59" s="1004" t="s">
        <v>2284</v>
      </c>
    </row>
    <row r="60" spans="1:18" s="696" customFormat="1" ht="18" customHeight="1">
      <c r="A60" s="855" t="s">
        <v>881</v>
      </c>
      <c r="B60" s="822" t="s">
        <v>2210</v>
      </c>
      <c r="C60" s="121">
        <f ca="1">IF(D60="按租金收入计税",ROUND(C47*F60,1),IF(D60="按房产原值计税",ROUND(C56*F60*0.7,1),INDIRECT("'数据-取费表'!Aj"&amp;$G$1)))</f>
        <v>0</v>
      </c>
      <c r="D60" s="888" t="str">
        <f>D33</f>
        <v>按租金收入计税</v>
      </c>
      <c r="E60" s="822" t="s">
        <v>2197</v>
      </c>
      <c r="F60" s="864">
        <f t="shared" si="0"/>
        <v>0.12</v>
      </c>
      <c r="I60" s="1027" t="s">
        <v>2322</v>
      </c>
      <c r="J60" s="1028">
        <f ca="1">IF(OR(M47="住宅",J51&lt;L48,J56="是"),"0",ROUND(J59/(1+J52)^J53,0))</f>
        <v>173</v>
      </c>
      <c r="K60" s="1029" t="s">
        <v>2323</v>
      </c>
      <c r="L60" s="1028">
        <f ca="1">IF(OR(M47="住宅",L48&lt;J51),0,ROUND(L57*(L58/L59-1),0))</f>
        <v>0</v>
      </c>
      <c r="O60" s="1009" t="s">
        <v>2296</v>
      </c>
      <c r="P60" s="1004" t="s">
        <v>2324</v>
      </c>
      <c r="Q60" s="1038">
        <f>L52</f>
        <v>0</v>
      </c>
      <c r="R60" s="1039"/>
    </row>
    <row r="61" spans="1:18" s="696" customFormat="1" ht="18" customHeight="1">
      <c r="A61" s="868" t="s">
        <v>884</v>
      </c>
      <c r="B61" s="893" t="s">
        <v>2215</v>
      </c>
      <c r="C61" s="894">
        <f ca="1">ROUND(F61*F62/10000,1)</f>
        <v>37.4</v>
      </c>
      <c r="D61" s="895" t="s">
        <v>2216</v>
      </c>
      <c r="E61" s="822" t="s">
        <v>2217</v>
      </c>
      <c r="F61" s="872">
        <f t="shared" si="0"/>
        <v>14</v>
      </c>
      <c r="K61" s="988"/>
      <c r="O61" s="1009" t="s">
        <v>2299</v>
      </c>
      <c r="P61" s="1004" t="s">
        <v>2325</v>
      </c>
      <c r="Q61" s="1037" t="e">
        <f ca="1">L58</f>
        <v>#DIV/0!</v>
      </c>
      <c r="R61" s="1039" t="s">
        <v>2326</v>
      </c>
    </row>
    <row r="62" spans="1:18" s="696" customFormat="1">
      <c r="A62" s="896"/>
      <c r="B62" s="897"/>
      <c r="C62" s="898"/>
      <c r="D62" s="899"/>
      <c r="E62" s="822" t="s">
        <v>2222</v>
      </c>
      <c r="F62" s="823">
        <f t="shared" ca="1" si="0"/>
        <v>26748.850000000002</v>
      </c>
      <c r="I62" s="1030" t="s">
        <v>2327</v>
      </c>
      <c r="J62" s="1031" t="s">
        <v>2328</v>
      </c>
      <c r="K62" s="1031" t="s">
        <v>2329</v>
      </c>
      <c r="L62" s="1031" t="s">
        <v>2330</v>
      </c>
      <c r="M62" s="1032" t="s">
        <v>2331</v>
      </c>
      <c r="O62" s="1009" t="s">
        <v>2302</v>
      </c>
      <c r="P62" s="1004" t="str">
        <f>K59</f>
        <v>建设期及建筑物耐用年限下的土地年期修正系数Kn</v>
      </c>
      <c r="Q62" s="1037" t="e">
        <f ca="1">L59</f>
        <v>#DIV/0!</v>
      </c>
      <c r="R62" s="1039" t="s">
        <v>2333</v>
      </c>
    </row>
    <row r="63" spans="1:18" s="696" customFormat="1">
      <c r="A63" s="860" t="s">
        <v>854</v>
      </c>
      <c r="B63" s="822" t="s">
        <v>2225</v>
      </c>
      <c r="C63" s="121">
        <f ca="1">ROUND(C56*F63,1)</f>
        <v>152</v>
      </c>
      <c r="D63" s="888" t="s">
        <v>2260</v>
      </c>
      <c r="E63" s="822" t="s">
        <v>2197</v>
      </c>
      <c r="F63" s="900">
        <f t="shared" ca="1" si="0"/>
        <v>0.01</v>
      </c>
      <c r="I63" s="1030" t="s">
        <v>2334</v>
      </c>
      <c r="J63" s="1031">
        <v>70</v>
      </c>
      <c r="K63" s="1031">
        <v>50</v>
      </c>
      <c r="L63" s="1031">
        <v>80</v>
      </c>
      <c r="M63" s="1033">
        <v>0.02</v>
      </c>
      <c r="O63" s="1003" t="s">
        <v>2305</v>
      </c>
      <c r="P63" s="1004" t="s">
        <v>2306</v>
      </c>
      <c r="Q63" s="1037">
        <f ca="1">Q57+Q58</f>
        <v>2846</v>
      </c>
      <c r="R63" s="1039" t="s">
        <v>2307</v>
      </c>
    </row>
    <row r="64" spans="1:18" s="696" customFormat="1" ht="15.75">
      <c r="A64" s="860" t="s">
        <v>1280</v>
      </c>
      <c r="B64" s="822" t="s">
        <v>2229</v>
      </c>
      <c r="C64" s="121">
        <f ca="1">ROUND(C55*F64,1)</f>
        <v>22.8</v>
      </c>
      <c r="D64" s="888" t="s">
        <v>2230</v>
      </c>
      <c r="E64" s="822" t="s">
        <v>2197</v>
      </c>
      <c r="F64" s="901">
        <f t="shared" ca="1" si="0"/>
        <v>1.5E-3</v>
      </c>
      <c r="I64" s="1030" t="s">
        <v>2335</v>
      </c>
      <c r="J64" s="1031">
        <v>50</v>
      </c>
      <c r="K64" s="1031">
        <v>35</v>
      </c>
      <c r="L64" s="1031">
        <v>60</v>
      </c>
      <c r="M64" s="689">
        <v>0</v>
      </c>
      <c r="O64" s="1021" t="s">
        <v>2336</v>
      </c>
      <c r="P64" s="812"/>
      <c r="Q64" s="641"/>
      <c r="R64" s="812"/>
    </row>
    <row r="65" spans="1:18" s="696" customFormat="1">
      <c r="A65" s="860" t="s">
        <v>2357</v>
      </c>
      <c r="B65" s="822" t="s">
        <v>2213</v>
      </c>
      <c r="C65" s="121">
        <f ca="1">ROUND(C47*F65,1)</f>
        <v>0</v>
      </c>
      <c r="D65" s="888" t="s">
        <v>2233</v>
      </c>
      <c r="E65" s="822" t="s">
        <v>2197</v>
      </c>
      <c r="F65" s="831">
        <f t="shared" ca="1" si="0"/>
        <v>0.01</v>
      </c>
      <c r="I65" s="1030" t="s">
        <v>2337</v>
      </c>
      <c r="J65" s="1031">
        <v>40</v>
      </c>
      <c r="K65" s="1031">
        <v>30</v>
      </c>
      <c r="L65" s="1031">
        <v>50</v>
      </c>
      <c r="M65" s="1033">
        <v>0.02</v>
      </c>
      <c r="O65" s="998" t="s">
        <v>1586</v>
      </c>
      <c r="P65" s="999" t="s">
        <v>2277</v>
      </c>
      <c r="Q65" s="1036" t="s">
        <v>2278</v>
      </c>
      <c r="R65" s="999" t="s">
        <v>2279</v>
      </c>
    </row>
    <row r="66" spans="1:18" s="696" customFormat="1" ht="24">
      <c r="A66" s="934" t="s">
        <v>2358</v>
      </c>
      <c r="B66" s="1040" t="s">
        <v>2237</v>
      </c>
      <c r="C66" s="120">
        <f ca="1">C47-C57</f>
        <v>-212</v>
      </c>
      <c r="D66" s="857" t="s">
        <v>2238</v>
      </c>
      <c r="E66" s="1041"/>
      <c r="F66" s="1042"/>
      <c r="K66" s="988"/>
      <c r="O66" s="1003" t="s">
        <v>2282</v>
      </c>
      <c r="P66" s="1004" t="s">
        <v>2283</v>
      </c>
      <c r="Q66" s="1037">
        <f ca="1">C40+J29</f>
        <v>2846</v>
      </c>
      <c r="R66" s="1004" t="s">
        <v>2284</v>
      </c>
    </row>
    <row r="67" spans="1:18" s="696" customFormat="1" ht="19.5">
      <c r="A67" s="813" t="s">
        <v>2359</v>
      </c>
      <c r="B67" s="906" t="s">
        <v>2372</v>
      </c>
      <c r="C67" s="820">
        <f ca="1">ROUND(C66*(1-((1+F69)/(1+F67))^F68)/(F67-F69),0)</f>
        <v>-3946</v>
      </c>
      <c r="D67" s="895" t="s">
        <v>2243</v>
      </c>
      <c r="E67" s="822" t="s">
        <v>2244</v>
      </c>
      <c r="F67" s="831">
        <f ca="1">F40</f>
        <v>4.4999999999999998E-2</v>
      </c>
      <c r="K67" s="988"/>
      <c r="O67" s="1003" t="s">
        <v>2287</v>
      </c>
      <c r="P67" s="1004" t="s">
        <v>2317</v>
      </c>
      <c r="Q67" s="1037">
        <f ca="1">L60</f>
        <v>0</v>
      </c>
      <c r="R67" s="1039" t="s">
        <v>2318</v>
      </c>
    </row>
    <row r="68" spans="1:18" ht="21">
      <c r="A68" s="830"/>
      <c r="B68" s="907"/>
      <c r="C68" s="826"/>
      <c r="D68" s="908" t="s">
        <v>2247</v>
      </c>
      <c r="E68" s="822" t="s">
        <v>2248</v>
      </c>
      <c r="F68" s="909">
        <f ca="1">F41</f>
        <v>41.28</v>
      </c>
      <c r="O68" s="1009" t="s">
        <v>2292</v>
      </c>
      <c r="P68" s="1004" t="s">
        <v>2321</v>
      </c>
      <c r="Q68" s="1044">
        <f ca="1">L51</f>
        <v>-24444</v>
      </c>
      <c r="R68" s="1045" t="s">
        <v>2338</v>
      </c>
    </row>
    <row r="69" spans="1:18" ht="19.5">
      <c r="A69" s="838"/>
      <c r="B69" s="911"/>
      <c r="C69" s="852"/>
      <c r="D69" s="899"/>
      <c r="E69" s="822" t="s">
        <v>2252</v>
      </c>
      <c r="F69" s="932"/>
      <c r="O69" s="1009" t="s">
        <v>2296</v>
      </c>
      <c r="P69" s="1043" t="s">
        <v>2339</v>
      </c>
      <c r="Q69" s="1037">
        <f ca="1">ROUND(Q70-Q71*Q72,0)</f>
        <v>-1197</v>
      </c>
      <c r="R69" s="1039"/>
    </row>
    <row r="70" spans="1:18">
      <c r="A70" s="883" t="s">
        <v>2363</v>
      </c>
      <c r="B70" s="912" t="s">
        <v>2376</v>
      </c>
      <c r="C70" s="913">
        <f ca="1">ROUND(C67*10000/F70,0)</f>
        <v>-771</v>
      </c>
      <c r="D70" s="914" t="s">
        <v>2377</v>
      </c>
      <c r="E70" s="915" t="s">
        <v>2378</v>
      </c>
      <c r="F70" s="916">
        <f ca="1">F43</f>
        <v>51186.6</v>
      </c>
      <c r="O70" s="1009" t="s">
        <v>2340</v>
      </c>
      <c r="P70" s="1043" t="s">
        <v>2341</v>
      </c>
      <c r="Q70" s="1037">
        <f ca="1">C39</f>
        <v>95</v>
      </c>
      <c r="R70" s="1004" t="s">
        <v>2284</v>
      </c>
    </row>
    <row r="71" spans="1:18">
      <c r="O71" s="1009" t="s">
        <v>2342</v>
      </c>
      <c r="P71" s="1043" t="s">
        <v>2343</v>
      </c>
      <c r="Q71" s="1037">
        <f ca="1">C13</f>
        <v>15200</v>
      </c>
      <c r="R71" s="1004" t="s">
        <v>2284</v>
      </c>
    </row>
    <row r="72" spans="1:18">
      <c r="O72" s="1009" t="s">
        <v>2344</v>
      </c>
      <c r="P72" s="1043" t="s">
        <v>2345</v>
      </c>
      <c r="Q72" s="1038">
        <f ca="1">J36</f>
        <v>8.5000000000000006E-2</v>
      </c>
      <c r="R72" s="1039"/>
    </row>
    <row r="73" spans="1:18">
      <c r="O73" s="1009" t="s">
        <v>2299</v>
      </c>
      <c r="P73" s="1004" t="s">
        <v>2324</v>
      </c>
      <c r="Q73" s="1038">
        <f>L52</f>
        <v>0</v>
      </c>
      <c r="R73" s="1039"/>
    </row>
    <row r="74" spans="1:18" ht="19.5">
      <c r="O74" s="1009" t="s">
        <v>2302</v>
      </c>
      <c r="P74" s="1004" t="s">
        <v>2325</v>
      </c>
      <c r="Q74" s="1037" t="e">
        <f ca="1">L58</f>
        <v>#DIV/0!</v>
      </c>
      <c r="R74" s="1039" t="s">
        <v>2326</v>
      </c>
    </row>
    <row r="75" spans="1:18">
      <c r="O75" s="1009" t="s">
        <v>2346</v>
      </c>
      <c r="P75" s="1004" t="str">
        <f>K59</f>
        <v>建设期及建筑物耐用年限下的土地年期修正系数Kn</v>
      </c>
      <c r="Q75" s="1037" t="e">
        <f ca="1">L59</f>
        <v>#DIV/0!</v>
      </c>
      <c r="R75" s="1039" t="s">
        <v>2333</v>
      </c>
    </row>
    <row r="76" spans="1:18">
      <c r="O76" s="1003" t="s">
        <v>2305</v>
      </c>
      <c r="P76" s="1004" t="s">
        <v>2306</v>
      </c>
      <c r="Q76" s="1037">
        <f ca="1">Q66+Q67</f>
        <v>2846</v>
      </c>
      <c r="R76" s="1039" t="s">
        <v>2307</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7" t="s">
        <v>2386</v>
      </c>
      <c r="B1" s="3428"/>
      <c r="C1" s="3429"/>
      <c r="D1" s="3430">
        <f>SUM(I10,I15,I20,I21,I23)</f>
        <v>0</v>
      </c>
      <c r="E1" s="3430"/>
      <c r="F1" s="3430"/>
      <c r="G1" s="3430"/>
      <c r="H1" s="3430"/>
      <c r="I1" s="3431"/>
    </row>
    <row r="2" spans="1:9">
      <c r="A2" s="3434" t="s">
        <v>2387</v>
      </c>
      <c r="B2" s="3432" t="s">
        <v>2388</v>
      </c>
      <c r="C2" s="3432"/>
      <c r="D2" s="757" t="s">
        <v>2389</v>
      </c>
      <c r="E2" s="757" t="s">
        <v>2390</v>
      </c>
      <c r="F2" s="757" t="s">
        <v>2391</v>
      </c>
      <c r="G2" s="757" t="s">
        <v>2392</v>
      </c>
      <c r="H2" s="757" t="s">
        <v>2393</v>
      </c>
      <c r="I2" s="781" t="s">
        <v>2394</v>
      </c>
    </row>
    <row r="3" spans="1:9">
      <c r="A3" s="3434"/>
      <c r="B3" s="3432" t="s">
        <v>2395</v>
      </c>
      <c r="C3" s="3432"/>
      <c r="D3" s="758"/>
      <c r="E3" s="757"/>
      <c r="F3" s="759"/>
      <c r="G3" s="759"/>
      <c r="H3" s="760"/>
      <c r="I3" s="782">
        <f>ROUND(D3*E3*F3*G3*H3/10000,0)</f>
        <v>0</v>
      </c>
    </row>
    <row r="4" spans="1:9">
      <c r="A4" s="3434"/>
      <c r="B4" s="3432" t="s">
        <v>2396</v>
      </c>
      <c r="C4" s="3432"/>
      <c r="D4" s="758"/>
      <c r="E4" s="757"/>
      <c r="F4" s="759"/>
      <c r="G4" s="759"/>
      <c r="H4" s="760"/>
      <c r="I4" s="782">
        <f t="shared" ref="I4:I9" si="0">ROUND(D4*E4*F4*G4*H4/10000,0)</f>
        <v>0</v>
      </c>
    </row>
    <row r="5" spans="1:9">
      <c r="A5" s="3434"/>
      <c r="B5" s="3432" t="s">
        <v>2397</v>
      </c>
      <c r="C5" s="3432"/>
      <c r="D5" s="758"/>
      <c r="E5" s="757"/>
      <c r="F5" s="759"/>
      <c r="G5" s="759"/>
      <c r="H5" s="760"/>
      <c r="I5" s="782">
        <f t="shared" si="0"/>
        <v>0</v>
      </c>
    </row>
    <row r="6" spans="1:9">
      <c r="A6" s="3434"/>
      <c r="B6" s="3432" t="s">
        <v>2398</v>
      </c>
      <c r="C6" s="3432"/>
      <c r="D6" s="758"/>
      <c r="E6" s="757"/>
      <c r="F6" s="759"/>
      <c r="G6" s="759"/>
      <c r="H6" s="760"/>
      <c r="I6" s="782">
        <f t="shared" si="0"/>
        <v>0</v>
      </c>
    </row>
    <row r="7" spans="1:9">
      <c r="A7" s="3434"/>
      <c r="B7" s="3432" t="s">
        <v>2399</v>
      </c>
      <c r="C7" s="3432"/>
      <c r="D7" s="758"/>
      <c r="E7" s="757"/>
      <c r="F7" s="759"/>
      <c r="G7" s="759"/>
      <c r="H7" s="760"/>
      <c r="I7" s="782">
        <f t="shared" si="0"/>
        <v>0</v>
      </c>
    </row>
    <row r="8" spans="1:9">
      <c r="A8" s="3434"/>
      <c r="B8" s="3432" t="s">
        <v>2400</v>
      </c>
      <c r="C8" s="3432"/>
      <c r="D8" s="758"/>
      <c r="E8" s="757"/>
      <c r="F8" s="759"/>
      <c r="G8" s="759"/>
      <c r="H8" s="760"/>
      <c r="I8" s="782">
        <f t="shared" si="0"/>
        <v>0</v>
      </c>
    </row>
    <row r="9" spans="1:9">
      <c r="A9" s="3434"/>
      <c r="B9" s="3432" t="s">
        <v>2401</v>
      </c>
      <c r="C9" s="3432"/>
      <c r="D9" s="758"/>
      <c r="E9" s="757"/>
      <c r="F9" s="759"/>
      <c r="G9" s="759"/>
      <c r="H9" s="760"/>
      <c r="I9" s="782">
        <f t="shared" si="0"/>
        <v>0</v>
      </c>
    </row>
    <row r="10" spans="1:9">
      <c r="A10" s="3434"/>
      <c r="B10" s="3433" t="s">
        <v>491</v>
      </c>
      <c r="C10" s="3433"/>
      <c r="D10" s="761">
        <v>527</v>
      </c>
      <c r="E10" s="761" t="e">
        <f>ROUND(D1*10000/D10/H9,0)</f>
        <v>#DIV/0!</v>
      </c>
      <c r="F10" s="762"/>
      <c r="G10" s="762"/>
      <c r="H10" s="763"/>
      <c r="I10" s="783">
        <f>SUM(I3:I9)</f>
        <v>0</v>
      </c>
    </row>
    <row r="11" spans="1:9" ht="14.25">
      <c r="A11" s="3434" t="s">
        <v>2402</v>
      </c>
      <c r="B11" s="3432" t="s">
        <v>2403</v>
      </c>
      <c r="C11" s="3432"/>
      <c r="D11" s="758" t="s">
        <v>2404</v>
      </c>
      <c r="E11" s="758" t="s">
        <v>2405</v>
      </c>
      <c r="F11" s="759" t="s">
        <v>2406</v>
      </c>
      <c r="G11" s="759" t="s">
        <v>2393</v>
      </c>
      <c r="H11" s="764" t="s">
        <v>138</v>
      </c>
      <c r="I11" s="781" t="s">
        <v>2394</v>
      </c>
    </row>
    <row r="12" spans="1:9">
      <c r="A12" s="3434"/>
      <c r="B12" s="3432" t="s">
        <v>2407</v>
      </c>
      <c r="C12" s="3432"/>
      <c r="D12" s="758"/>
      <c r="E12" s="758"/>
      <c r="F12" s="759"/>
      <c r="G12" s="760"/>
      <c r="H12" s="765"/>
      <c r="I12" s="781">
        <f>ROUND(D12*E12*F12*G12/10000,0)</f>
        <v>0</v>
      </c>
    </row>
    <row r="13" spans="1:9">
      <c r="A13" s="3434"/>
      <c r="B13" s="3432" t="s">
        <v>2408</v>
      </c>
      <c r="C13" s="3432"/>
      <c r="D13" s="758"/>
      <c r="E13" s="758"/>
      <c r="F13" s="759"/>
      <c r="G13" s="760"/>
      <c r="H13" s="765"/>
      <c r="I13" s="781">
        <f>ROUND(D13*E13*F13*G13/10000,0)</f>
        <v>0</v>
      </c>
    </row>
    <row r="14" spans="1:9">
      <c r="A14" s="3434"/>
      <c r="B14" s="3432" t="s">
        <v>2409</v>
      </c>
      <c r="C14" s="3432"/>
      <c r="D14" s="758"/>
      <c r="E14" s="758"/>
      <c r="F14" s="759"/>
      <c r="G14" s="760"/>
      <c r="H14" s="765"/>
      <c r="I14" s="781">
        <f>ROUND(D14*E14*F14*G14/10000,0)</f>
        <v>0</v>
      </c>
    </row>
    <row r="15" spans="1:9">
      <c r="A15" s="3434"/>
      <c r="B15" s="3433" t="s">
        <v>491</v>
      </c>
      <c r="C15" s="3433"/>
      <c r="D15" s="761"/>
      <c r="E15" s="761">
        <f>SUM(E12:E14)</f>
        <v>0</v>
      </c>
      <c r="F15" s="762"/>
      <c r="G15" s="760"/>
      <c r="H15" s="765"/>
      <c r="I15" s="784">
        <f>SUM(I12:I14)</f>
        <v>0</v>
      </c>
    </row>
    <row r="16" spans="1:9" ht="24">
      <c r="A16" s="3434" t="s">
        <v>2410</v>
      </c>
      <c r="B16" s="3432" t="s">
        <v>2411</v>
      </c>
      <c r="C16" s="3432"/>
      <c r="D16" s="758" t="s">
        <v>2389</v>
      </c>
      <c r="E16" s="766" t="s">
        <v>2412</v>
      </c>
      <c r="F16" s="759" t="s">
        <v>2413</v>
      </c>
      <c r="G16" s="760" t="s">
        <v>2393</v>
      </c>
      <c r="H16" s="764" t="s">
        <v>138</v>
      </c>
      <c r="I16" s="781" t="s">
        <v>2394</v>
      </c>
    </row>
    <row r="17" spans="1:9" ht="14.25">
      <c r="A17" s="3434"/>
      <c r="B17" s="3432" t="s">
        <v>2414</v>
      </c>
      <c r="C17" s="3432"/>
      <c r="D17" s="758"/>
      <c r="E17" s="758"/>
      <c r="F17" s="759"/>
      <c r="G17" s="760"/>
      <c r="H17" s="767"/>
      <c r="I17" s="785">
        <f>ROUND(D17*E17*F17*G17/10000,0)</f>
        <v>0</v>
      </c>
    </row>
    <row r="18" spans="1:9" ht="14.25">
      <c r="A18" s="3434"/>
      <c r="B18" s="3432" t="s">
        <v>2415</v>
      </c>
      <c r="C18" s="3432"/>
      <c r="D18" s="758"/>
      <c r="E18" s="758"/>
      <c r="F18" s="759"/>
      <c r="G18" s="760"/>
      <c r="H18" s="767"/>
      <c r="I18" s="785">
        <f>ROUND(D18*E18*F18*G18/10000,0)</f>
        <v>0</v>
      </c>
    </row>
    <row r="19" spans="1:9" ht="14.25">
      <c r="A19" s="3434"/>
      <c r="B19" s="3432" t="s">
        <v>2416</v>
      </c>
      <c r="C19" s="3432"/>
      <c r="D19" s="758"/>
      <c r="E19" s="758"/>
      <c r="F19" s="759"/>
      <c r="G19" s="760"/>
      <c r="H19" s="767"/>
      <c r="I19" s="785">
        <f>ROUND(D19*E19*F19*G19/10000,0)</f>
        <v>0</v>
      </c>
    </row>
    <row r="20" spans="1:9">
      <c r="A20" s="3434"/>
      <c r="B20" s="3433" t="s">
        <v>491</v>
      </c>
      <c r="C20" s="3433"/>
      <c r="D20" s="761">
        <f>SUM(D17:D19)</f>
        <v>0</v>
      </c>
      <c r="E20" s="761"/>
      <c r="F20" s="762"/>
      <c r="G20" s="760"/>
      <c r="H20" s="765"/>
      <c r="I20" s="784">
        <f>SUM(I17:I19)</f>
        <v>0</v>
      </c>
    </row>
    <row r="21" spans="1:9">
      <c r="A21" s="3434" t="s">
        <v>2417</v>
      </c>
      <c r="B21" s="3435"/>
      <c r="C21" s="3435"/>
      <c r="D21" s="3435"/>
      <c r="E21" s="3435"/>
      <c r="F21" s="3435"/>
      <c r="G21" s="3435"/>
      <c r="H21" s="768">
        <v>0.1</v>
      </c>
      <c r="I21" s="783">
        <f>ROUND(I10*H21,0)</f>
        <v>0</v>
      </c>
    </row>
    <row r="22" spans="1:9" ht="14.25">
      <c r="A22" s="3442" t="s">
        <v>2418</v>
      </c>
      <c r="B22" s="3443"/>
      <c r="C22" s="3444"/>
      <c r="D22" s="769" t="s">
        <v>382</v>
      </c>
      <c r="E22" s="769" t="s">
        <v>2419</v>
      </c>
      <c r="F22" s="770" t="s">
        <v>2393</v>
      </c>
      <c r="G22" s="770" t="s">
        <v>2420</v>
      </c>
      <c r="H22" s="764" t="s">
        <v>138</v>
      </c>
      <c r="I22" s="781" t="s">
        <v>2394</v>
      </c>
    </row>
    <row r="23" spans="1:9">
      <c r="A23" s="3445"/>
      <c r="B23" s="3446"/>
      <c r="C23" s="3447"/>
      <c r="D23" s="771"/>
      <c r="E23" s="771"/>
      <c r="F23" s="771"/>
      <c r="G23" s="772"/>
      <c r="H23" s="773"/>
      <c r="I23" s="786">
        <f>ROUND(E23*D23*F23*(1-G23)/10000,0)</f>
        <v>0</v>
      </c>
    </row>
    <row r="26" spans="1:9">
      <c r="A26" s="774" t="s">
        <v>2421</v>
      </c>
      <c r="B26" s="774"/>
      <c r="C26" s="774"/>
      <c r="D26" s="774"/>
      <c r="E26" s="3436">
        <f>C27-C30-C31-C32</f>
        <v>0</v>
      </c>
      <c r="F26" s="3436"/>
      <c r="G26" s="3436"/>
      <c r="H26" s="775" t="s">
        <v>2422</v>
      </c>
    </row>
    <row r="27" spans="1:9">
      <c r="A27" s="776">
        <v>1</v>
      </c>
      <c r="B27" s="777" t="s">
        <v>2423</v>
      </c>
      <c r="C27" s="777"/>
      <c r="D27" s="777"/>
      <c r="E27" s="3437"/>
      <c r="F27" s="3437"/>
      <c r="G27" s="3437"/>
    </row>
    <row r="28" spans="1:9">
      <c r="A28" s="778" t="s">
        <v>1390</v>
      </c>
      <c r="B28" s="777" t="s">
        <v>2424</v>
      </c>
      <c r="C28" s="777"/>
      <c r="D28" s="777"/>
      <c r="E28" s="3437"/>
      <c r="F28" s="3437"/>
      <c r="G28" s="3437"/>
    </row>
    <row r="29" spans="1:9">
      <c r="A29" s="778" t="s">
        <v>1430</v>
      </c>
      <c r="B29" s="777" t="s">
        <v>2189</v>
      </c>
      <c r="C29" s="777"/>
      <c r="D29" s="777"/>
      <c r="E29" s="777" t="s">
        <v>2425</v>
      </c>
      <c r="F29" s="777"/>
      <c r="G29" s="777"/>
    </row>
    <row r="30" spans="1:9">
      <c r="A30" s="776">
        <v>2</v>
      </c>
      <c r="B30" s="777" t="s">
        <v>2426</v>
      </c>
      <c r="C30" s="777">
        <f>C27*D30</f>
        <v>0</v>
      </c>
      <c r="D30" s="779">
        <v>0.2</v>
      </c>
      <c r="E30" s="777" t="s">
        <v>2427</v>
      </c>
      <c r="F30" s="777"/>
      <c r="G30" s="777"/>
    </row>
    <row r="31" spans="1:9">
      <c r="A31" s="776">
        <v>3</v>
      </c>
      <c r="B31" s="777" t="s">
        <v>2428</v>
      </c>
      <c r="C31" s="777">
        <f>C25*D31</f>
        <v>0</v>
      </c>
      <c r="D31" s="779">
        <v>0.15</v>
      </c>
      <c r="E31" s="777" t="s">
        <v>2429</v>
      </c>
      <c r="F31" s="777"/>
      <c r="G31" s="777"/>
    </row>
    <row r="32" spans="1:9">
      <c r="A32" s="776">
        <v>4</v>
      </c>
      <c r="B32" s="777" t="s">
        <v>2430</v>
      </c>
      <c r="C32" s="777">
        <f>C27*D32</f>
        <v>0</v>
      </c>
      <c r="D32" s="779">
        <v>0.05</v>
      </c>
      <c r="E32" s="3438"/>
      <c r="F32" s="3438"/>
      <c r="G32" s="3438"/>
    </row>
    <row r="33" spans="1:7" hidden="1">
      <c r="A33" s="3439" t="s">
        <v>2431</v>
      </c>
      <c r="B33" s="3440"/>
      <c r="C33" s="3440"/>
      <c r="D33" s="3441"/>
      <c r="E33" s="3436"/>
      <c r="F33" s="3436"/>
      <c r="G33" s="3436"/>
    </row>
    <row r="34" spans="1:7" hidden="1">
      <c r="A34" s="780">
        <v>1</v>
      </c>
      <c r="B34" s="777" t="s">
        <v>2432</v>
      </c>
      <c r="C34" s="777"/>
      <c r="D34" s="777"/>
      <c r="E34" s="3437"/>
      <c r="F34" s="3437"/>
      <c r="G34" s="3437"/>
    </row>
    <row r="35" spans="1:7" hidden="1">
      <c r="A35" s="780">
        <v>2</v>
      </c>
      <c r="B35" s="777" t="s">
        <v>2433</v>
      </c>
      <c r="C35" s="777"/>
      <c r="D35" s="777"/>
      <c r="E35" s="3437"/>
      <c r="F35" s="3437"/>
      <c r="G35" s="3437"/>
    </row>
    <row r="36" spans="1:7" hidden="1">
      <c r="A36" s="780">
        <v>3</v>
      </c>
      <c r="B36" s="777" t="s">
        <v>2434</v>
      </c>
      <c r="C36" s="777"/>
      <c r="D36" s="777"/>
      <c r="E36" s="3437"/>
      <c r="F36" s="3437"/>
      <c r="G36" s="3437"/>
    </row>
    <row r="37" spans="1:7" hidden="1">
      <c r="A37" s="780">
        <v>4</v>
      </c>
      <c r="B37" s="777" t="s">
        <v>2435</v>
      </c>
      <c r="C37" s="777"/>
      <c r="D37" s="777"/>
      <c r="E37" s="3437"/>
      <c r="F37" s="3437"/>
      <c r="G37" s="3437"/>
    </row>
    <row r="38" spans="1:7" hidden="1">
      <c r="A38" s="3439" t="s">
        <v>2436</v>
      </c>
      <c r="B38" s="3440"/>
      <c r="C38" s="3440"/>
      <c r="D38" s="3441"/>
      <c r="E38" s="3436"/>
      <c r="F38" s="3436"/>
      <c r="G38" s="343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2437</v>
      </c>
      <c r="B1" s="704"/>
      <c r="C1" s="705"/>
      <c r="D1" s="705"/>
      <c r="E1" s="705"/>
      <c r="F1" s="705"/>
      <c r="G1" s="706"/>
    </row>
    <row r="2" spans="1:25" s="696" customFormat="1" ht="18" customHeight="1">
      <c r="A2" s="205" t="s">
        <v>916</v>
      </c>
      <c r="B2" s="707">
        <f ca="1">C23</f>
        <v>0</v>
      </c>
      <c r="C2" s="706"/>
      <c r="D2" s="706"/>
      <c r="E2" s="706"/>
      <c r="F2" s="706"/>
      <c r="G2" s="706"/>
    </row>
    <row r="3" spans="1:25" s="696" customFormat="1" ht="18" customHeight="1">
      <c r="A3" s="708" t="s">
        <v>917</v>
      </c>
      <c r="B3" s="707">
        <f ca="1">ROUND(B2*10000/'数据-汇总表'!E3,0)</f>
        <v>0</v>
      </c>
      <c r="C3" s="706"/>
      <c r="D3" s="706"/>
      <c r="E3" s="706"/>
      <c r="F3" s="706"/>
      <c r="G3" s="706"/>
    </row>
    <row r="4" spans="1:25" s="696" customFormat="1" ht="18" customHeight="1">
      <c r="A4" s="709" t="s">
        <v>1274</v>
      </c>
      <c r="B4" s="710">
        <f ca="1">ROUND(B2*10000/'数据-汇总表'!D3,0)</f>
        <v>0</v>
      </c>
      <c r="C4" s="565"/>
      <c r="D4" s="706"/>
      <c r="E4" s="706"/>
      <c r="F4" s="706"/>
      <c r="G4" s="706"/>
    </row>
    <row r="5" spans="1:25" s="696" customFormat="1" ht="18" customHeight="1">
      <c r="A5" s="711"/>
      <c r="B5" s="712">
        <f ca="1">ROUND(B2/('数据-汇总表'!D3/666.67),0)</f>
        <v>0</v>
      </c>
      <c r="C5" s="713" t="s">
        <v>919</v>
      </c>
      <c r="D5" s="706"/>
      <c r="E5" s="706"/>
      <c r="F5" s="706"/>
      <c r="G5" s="706"/>
    </row>
    <row r="6" spans="1:25" s="697" customFormat="1" ht="13.5" customHeight="1">
      <c r="A6" s="714"/>
      <c r="B6" s="715" t="s">
        <v>847</v>
      </c>
      <c r="C6" s="716" t="s">
        <v>2438</v>
      </c>
      <c r="D6" s="716" t="s">
        <v>2439</v>
      </c>
      <c r="E6" s="717" t="s">
        <v>2440</v>
      </c>
      <c r="F6" s="717" t="s">
        <v>848</v>
      </c>
      <c r="G6" s="718"/>
    </row>
    <row r="7" spans="1:25" s="697" customFormat="1" ht="13.5" customHeight="1">
      <c r="A7" s="719">
        <v>1</v>
      </c>
      <c r="B7" s="720" t="s">
        <v>2441</v>
      </c>
      <c r="C7" s="721">
        <f>C8+C9</f>
        <v>0</v>
      </c>
      <c r="D7" s="721"/>
      <c r="E7" s="722"/>
      <c r="F7" s="722"/>
      <c r="G7" s="723"/>
    </row>
    <row r="8" spans="1:25" s="697" customFormat="1" ht="13.5" customHeight="1">
      <c r="A8" s="719" t="s">
        <v>2442</v>
      </c>
      <c r="B8" s="724" t="s">
        <v>2443</v>
      </c>
      <c r="C8" s="725"/>
      <c r="D8" s="721"/>
      <c r="E8" s="722"/>
      <c r="F8" s="722"/>
      <c r="G8" s="726"/>
    </row>
    <row r="9" spans="1:25" s="697" customFormat="1" ht="13.5" customHeight="1">
      <c r="A9" s="719" t="s">
        <v>2444</v>
      </c>
      <c r="B9" s="724" t="s">
        <v>2445</v>
      </c>
      <c r="C9" s="725"/>
      <c r="D9" s="721"/>
      <c r="E9" s="722"/>
      <c r="F9" s="722"/>
      <c r="G9" s="726"/>
    </row>
    <row r="10" spans="1:25" s="697" customFormat="1" ht="36">
      <c r="A10" s="719">
        <v>2</v>
      </c>
      <c r="B10" s="720" t="s">
        <v>2446</v>
      </c>
      <c r="C10" s="721">
        <f>C11+C14+C15</f>
        <v>0</v>
      </c>
      <c r="D10" s="727">
        <f>'数据-汇总表'!E3</f>
        <v>128526.97</v>
      </c>
      <c r="E10" s="721">
        <f>'数据-取费表'!B31</f>
        <v>200</v>
      </c>
      <c r="F10" s="728"/>
      <c r="G10" s="729" t="s">
        <v>2447</v>
      </c>
    </row>
    <row r="11" spans="1:25" s="697" customFormat="1" ht="13.5" customHeight="1">
      <c r="A11" s="719" t="s">
        <v>2442</v>
      </c>
      <c r="B11" s="730" t="s">
        <v>2448</v>
      </c>
      <c r="C11" s="731">
        <f>'数据-取费表'!B29</f>
        <v>0</v>
      </c>
      <c r="D11" s="732"/>
      <c r="E11" s="731"/>
      <c r="F11" s="733"/>
      <c r="G11" s="734" t="s">
        <v>2449</v>
      </c>
    </row>
    <row r="12" spans="1:25" s="697" customFormat="1" ht="13.5" customHeight="1">
      <c r="A12" s="735" t="s">
        <v>2450</v>
      </c>
      <c r="B12" s="736" t="s">
        <v>2451</v>
      </c>
      <c r="C12" s="737">
        <f>ROUND(D12*E12/10000,0)</f>
        <v>806</v>
      </c>
      <c r="D12" s="738">
        <f>'数据-汇总表'!E5</f>
        <v>76796.87</v>
      </c>
      <c r="E12" s="737">
        <f>'数据-取费表'!B27</f>
        <v>105</v>
      </c>
      <c r="F12" s="733"/>
      <c r="G12" s="729"/>
    </row>
    <row r="13" spans="1:25" s="697" customFormat="1" ht="13.5" customHeight="1">
      <c r="A13" s="735" t="s">
        <v>2452</v>
      </c>
      <c r="B13" s="736" t="s">
        <v>2453</v>
      </c>
      <c r="C13" s="737">
        <f>ROUND(D13*E13/10000,0)</f>
        <v>543</v>
      </c>
      <c r="D13" s="738">
        <f>'数据-汇总表'!E6</f>
        <v>51730.100000000006</v>
      </c>
      <c r="E13" s="737">
        <f>'数据-取费表'!B28</f>
        <v>105</v>
      </c>
      <c r="F13" s="733"/>
      <c r="G13" s="729"/>
    </row>
    <row r="14" spans="1:25" s="697" customFormat="1" ht="13.5" customHeight="1">
      <c r="A14" s="719" t="s">
        <v>2444</v>
      </c>
      <c r="B14" s="739" t="s">
        <v>2454</v>
      </c>
      <c r="C14" s="725"/>
      <c r="D14" s="738"/>
      <c r="E14" s="737"/>
      <c r="F14" s="740"/>
      <c r="G14" s="741" t="s">
        <v>2455</v>
      </c>
    </row>
    <row r="15" spans="1:25" s="697" customFormat="1" ht="13.5" customHeight="1">
      <c r="A15" s="719" t="s">
        <v>2456</v>
      </c>
      <c r="B15" s="739" t="s">
        <v>2457</v>
      </c>
      <c r="C15" s="725"/>
      <c r="D15" s="738"/>
      <c r="E15" s="737"/>
      <c r="F15" s="740"/>
      <c r="G15" s="741" t="s">
        <v>2458</v>
      </c>
    </row>
    <row r="16" spans="1:25" s="698" customFormat="1" ht="48">
      <c r="A16" s="719">
        <v>3</v>
      </c>
      <c r="B16" s="720" t="s">
        <v>2459</v>
      </c>
      <c r="C16" s="725"/>
      <c r="D16" s="727"/>
      <c r="E16" s="721"/>
      <c r="F16" s="728"/>
      <c r="G16" s="729" t="s">
        <v>2460</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2461</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2462</v>
      </c>
      <c r="C18" s="721">
        <f>ROUND((C7+C10+C16)*F18,0)</f>
        <v>0</v>
      </c>
      <c r="D18" s="744"/>
      <c r="E18" s="745"/>
      <c r="F18" s="728">
        <f>'数据-取费表'!Q16</f>
        <v>0.08</v>
      </c>
      <c r="G18" s="747" t="s">
        <v>2463</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2464</v>
      </c>
      <c r="C19" s="721">
        <f ca="1">C7+C10+C16+C17+C18</f>
        <v>0</v>
      </c>
      <c r="D19" s="727"/>
      <c r="E19" s="721"/>
      <c r="F19" s="728"/>
      <c r="G19" s="747" t="s">
        <v>2465</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2466</v>
      </c>
      <c r="C20" s="721">
        <f ca="1">ROUND(C19*F20,0)</f>
        <v>0</v>
      </c>
      <c r="D20" s="727"/>
      <c r="E20" s="721"/>
      <c r="F20" s="749"/>
      <c r="G20" s="747" t="s">
        <v>2467</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2468</v>
      </c>
      <c r="C21" s="721">
        <f ca="1">C19+C20</f>
        <v>0</v>
      </c>
      <c r="D21" s="727"/>
      <c r="E21" s="721"/>
      <c r="F21" s="728"/>
      <c r="G21" s="747" t="s">
        <v>2469</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2470</v>
      </c>
      <c r="C22" s="721">
        <f ca="1">ROUND(C21*F22,0)</f>
        <v>0</v>
      </c>
      <c r="D22" s="727"/>
      <c r="E22" s="721"/>
      <c r="F22" s="750">
        <f>'数据-取费表'!AP16</f>
        <v>0.89</v>
      </c>
      <c r="G22" s="747" t="s">
        <v>2471</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2472</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610" t="s">
        <v>2474</v>
      </c>
      <c r="C1" s="611" t="s">
        <v>2475</v>
      </c>
      <c r="D1" s="612"/>
      <c r="E1" s="613"/>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916</v>
      </c>
      <c r="B2" s="614" t="e">
        <f>ROUND(B3*D3/10000,0)</f>
        <v>#DIV/0!</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2349</v>
      </c>
      <c r="B3" s="213" t="e">
        <f>C49</f>
        <v>#DIV/0!</v>
      </c>
      <c r="C3" s="212" t="s">
        <v>2477</v>
      </c>
      <c r="D3" s="213">
        <f>SUMIF('数据-汇总表'!$C19:$C33,D1,'数据-汇总表'!$E19:$E33)</f>
        <v>0</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920</v>
      </c>
      <c r="B4" s="215"/>
      <c r="C4" s="3329" t="s">
        <v>921</v>
      </c>
      <c r="D4" s="3330"/>
      <c r="E4" s="3370" t="s">
        <v>922</v>
      </c>
      <c r="F4" s="3371"/>
      <c r="G4" s="3329" t="s">
        <v>923</v>
      </c>
      <c r="H4" s="3330"/>
      <c r="I4" s="3329" t="s">
        <v>924</v>
      </c>
      <c r="J4" s="3330"/>
      <c r="K4" s="627" t="s">
        <v>925</v>
      </c>
      <c r="L4" s="377"/>
      <c r="M4" s="378"/>
      <c r="N4" s="378"/>
      <c r="O4" s="378"/>
      <c r="P4" s="3358" t="s">
        <v>926</v>
      </c>
      <c r="Q4" s="3359"/>
      <c r="R4" s="3364" t="s">
        <v>922</v>
      </c>
      <c r="S4" s="3365"/>
      <c r="T4" s="3364" t="s">
        <v>923</v>
      </c>
      <c r="U4" s="3365"/>
      <c r="V4" s="3341" t="s">
        <v>924</v>
      </c>
      <c r="W4" s="3341"/>
      <c r="X4" s="443"/>
      <c r="Y4" s="3364" t="s">
        <v>926</v>
      </c>
      <c r="Z4" s="3365"/>
      <c r="AA4" s="3351" t="s">
        <v>922</v>
      </c>
      <c r="AB4" s="3351" t="s">
        <v>923</v>
      </c>
      <c r="AC4" s="3351" t="s">
        <v>924</v>
      </c>
    </row>
    <row r="5" spans="1:29" ht="15">
      <c r="A5" s="216"/>
      <c r="B5" s="217"/>
      <c r="C5" s="3331" t="s">
        <v>927</v>
      </c>
      <c r="D5" s="3332"/>
      <c r="E5" s="3372" t="s">
        <v>1366</v>
      </c>
      <c r="F5" s="3373"/>
      <c r="G5" s="3331" t="s">
        <v>1367</v>
      </c>
      <c r="H5" s="3332"/>
      <c r="I5" s="3331" t="s">
        <v>1368</v>
      </c>
      <c r="J5" s="3332"/>
      <c r="K5" s="628"/>
      <c r="L5" s="377"/>
      <c r="M5" s="378"/>
      <c r="N5" s="378"/>
      <c r="O5" s="378"/>
      <c r="P5" s="3360"/>
      <c r="Q5" s="3361"/>
      <c r="R5" s="3366"/>
      <c r="S5" s="3367"/>
      <c r="T5" s="3366"/>
      <c r="U5" s="3367"/>
      <c r="V5" s="3341"/>
      <c r="W5" s="3341"/>
      <c r="X5" s="443"/>
      <c r="Y5" s="3366"/>
      <c r="Z5" s="3367"/>
      <c r="AA5" s="3352"/>
      <c r="AB5" s="3352"/>
      <c r="AC5" s="3352"/>
    </row>
    <row r="6" spans="1:29" ht="15">
      <c r="A6" s="218"/>
      <c r="B6" s="219"/>
      <c r="C6" s="3335" t="s">
        <v>928</v>
      </c>
      <c r="D6" s="3336"/>
      <c r="E6" s="3374" t="s">
        <v>928</v>
      </c>
      <c r="F6" s="3375"/>
      <c r="G6" s="3335" t="s">
        <v>928</v>
      </c>
      <c r="H6" s="3336"/>
      <c r="I6" s="3335" t="s">
        <v>928</v>
      </c>
      <c r="J6" s="3336"/>
      <c r="K6" s="628" t="s">
        <v>929</v>
      </c>
      <c r="L6" s="377"/>
      <c r="M6" s="378"/>
      <c r="N6" s="378"/>
      <c r="O6" s="378"/>
      <c r="P6" s="3362"/>
      <c r="Q6" s="3363"/>
      <c r="R6" s="3366"/>
      <c r="S6" s="3367"/>
      <c r="T6" s="3368"/>
      <c r="U6" s="3369"/>
      <c r="V6" s="3341"/>
      <c r="W6" s="3341"/>
      <c r="X6" s="443"/>
      <c r="Y6" s="3368"/>
      <c r="Z6" s="3369"/>
      <c r="AA6" s="3353"/>
      <c r="AB6" s="3353"/>
      <c r="AC6" s="3353"/>
    </row>
    <row r="7" spans="1:29" s="190" customFormat="1" ht="15">
      <c r="A7" s="220"/>
      <c r="B7" s="221" t="s">
        <v>930</v>
      </c>
      <c r="C7" s="222">
        <f>'数据-取费表'!B2</f>
        <v>43900</v>
      </c>
      <c r="D7" s="223">
        <v>100</v>
      </c>
      <c r="E7" s="224"/>
      <c r="F7" s="225">
        <f>SUMIF(58:58,YEAR(E7)&amp;"-"&amp;MONTH(E7),59:59)</f>
        <v>0</v>
      </c>
      <c r="G7" s="226"/>
      <c r="H7" s="223">
        <f>SUMIF(58:58,YEAR(G7)&amp;"-"&amp;MONTH(G7),59:59)</f>
        <v>0</v>
      </c>
      <c r="I7" s="226"/>
      <c r="J7" s="223">
        <f>SUMIF(58:58,YEAR(I7)&amp;"-"&amp;MONTH(I7),59:59)</f>
        <v>0</v>
      </c>
      <c r="K7" s="629"/>
      <c r="L7" s="380"/>
      <c r="M7" s="381"/>
      <c r="N7" s="381"/>
      <c r="O7" s="381"/>
      <c r="P7" s="3337" t="s">
        <v>931</v>
      </c>
      <c r="Q7" s="3338"/>
      <c r="R7" s="444" t="s">
        <v>932</v>
      </c>
      <c r="S7" s="445">
        <f t="shared" ref="S7:S15" si="0">F7</f>
        <v>0</v>
      </c>
      <c r="T7" s="444" t="s">
        <v>932</v>
      </c>
      <c r="U7" s="445">
        <f t="shared" ref="U7:U15" si="1">H7</f>
        <v>0</v>
      </c>
      <c r="V7" s="444" t="s">
        <v>932</v>
      </c>
      <c r="W7" s="445">
        <f t="shared" ref="W7:W15" si="2">J7</f>
        <v>0</v>
      </c>
      <c r="X7" s="446"/>
      <c r="Y7" s="3337" t="s">
        <v>931</v>
      </c>
      <c r="Z7" s="3339"/>
      <c r="AA7" s="463" t="e">
        <f>D7/F7</f>
        <v>#DIV/0!</v>
      </c>
      <c r="AB7" s="463" t="e">
        <f>D7/H7</f>
        <v>#DIV/0!</v>
      </c>
      <c r="AC7" s="463" t="e">
        <f>D7/J7</f>
        <v>#DIV/0!</v>
      </c>
    </row>
    <row r="8" spans="1:29" s="190" customFormat="1" ht="15">
      <c r="A8" s="227"/>
      <c r="B8" s="228" t="s">
        <v>933</v>
      </c>
      <c r="C8" s="229" t="s">
        <v>934</v>
      </c>
      <c r="D8" s="223">
        <v>100</v>
      </c>
      <c r="E8" s="616"/>
      <c r="F8" s="225">
        <f>SUMIF(61:61,E8,62:62)-SUMIF(61:61,C8,62:62)+100</f>
        <v>0</v>
      </c>
      <c r="G8" s="229"/>
      <c r="H8" s="223">
        <f>SUMIF(61:61,G8,62:62)-SUMIF(61:61,C8,62:62)+100</f>
        <v>0</v>
      </c>
      <c r="I8" s="616"/>
      <c r="J8" s="223">
        <f>SUMIF(61:61,I8,62:62)-SUMIF(61:61,C8,62:62)+100</f>
        <v>0</v>
      </c>
      <c r="K8" s="629"/>
      <c r="L8" s="380"/>
      <c r="M8" s="381"/>
      <c r="N8" s="381"/>
      <c r="O8" s="381"/>
      <c r="P8" s="3337" t="s">
        <v>936</v>
      </c>
      <c r="Q8" s="3339"/>
      <c r="R8" s="444" t="s">
        <v>932</v>
      </c>
      <c r="S8" s="445">
        <f t="shared" si="0"/>
        <v>0</v>
      </c>
      <c r="T8" s="444" t="s">
        <v>932</v>
      </c>
      <c r="U8" s="445">
        <f t="shared" si="1"/>
        <v>0</v>
      </c>
      <c r="V8" s="444" t="s">
        <v>932</v>
      </c>
      <c r="W8" s="445">
        <f t="shared" si="2"/>
        <v>0</v>
      </c>
      <c r="X8" s="446"/>
      <c r="Y8" s="3337" t="s">
        <v>936</v>
      </c>
      <c r="Z8" s="3339"/>
      <c r="AA8" s="463" t="e">
        <f t="shared" ref="AA8:AA46" si="3">D8/F8</f>
        <v>#DIV/0!</v>
      </c>
      <c r="AB8" s="463" t="e">
        <f t="shared" ref="AB8:AB46" si="4">D8/H8</f>
        <v>#DIV/0!</v>
      </c>
      <c r="AC8" s="463" t="e">
        <f t="shared" ref="AC8:AC46" si="5">D8/J8</f>
        <v>#DIV/0!</v>
      </c>
    </row>
    <row r="9" spans="1:29" s="190" customFormat="1" ht="15">
      <c r="A9" s="230"/>
      <c r="B9" s="231" t="s">
        <v>937</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0" t="s">
        <v>938</v>
      </c>
      <c r="Q9" s="447" t="str">
        <f t="shared" ref="Q9:Q15" si="6">B9</f>
        <v>用途</v>
      </c>
      <c r="R9" s="444" t="s">
        <v>932</v>
      </c>
      <c r="S9" s="445">
        <f t="shared" si="0"/>
        <v>100</v>
      </c>
      <c r="T9" s="444" t="s">
        <v>932</v>
      </c>
      <c r="U9" s="445">
        <f t="shared" si="1"/>
        <v>100</v>
      </c>
      <c r="V9" s="444" t="s">
        <v>932</v>
      </c>
      <c r="W9" s="445">
        <f t="shared" si="2"/>
        <v>100</v>
      </c>
      <c r="X9" s="446"/>
      <c r="Y9" s="3312"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530"/>
      <c r="B11" s="228" t="s">
        <v>941</v>
      </c>
      <c r="C11" s="531"/>
      <c r="D11" s="237">
        <v>100</v>
      </c>
      <c r="E11" s="532"/>
      <c r="F11" s="543" t="e">
        <f>LOOKUP(E11,68:68,69:69)-LOOKUP(C11,68:68,69:69)+100</f>
        <v>#N/A</v>
      </c>
      <c r="G11" s="531"/>
      <c r="H11" s="237" t="e">
        <f>LOOKUP(G11,68:68,69:69)-LOOKUP(C11,68:68,69:69)+100</f>
        <v>#N/A</v>
      </c>
      <c r="I11" s="531"/>
      <c r="J11" s="237" t="e">
        <f>LOOKUP(I11,68:68,69:69)-LOOKUP(C11,68:68,69:69)+100</f>
        <v>#N/A</v>
      </c>
      <c r="K11" s="630"/>
      <c r="L11" s="389"/>
      <c r="M11" s="378"/>
      <c r="N11" s="378"/>
      <c r="O11" s="390"/>
      <c r="P11" s="3340"/>
      <c r="Q11" s="447" t="str">
        <f t="shared" si="6"/>
        <v>容积率</v>
      </c>
      <c r="R11" s="444" t="s">
        <v>932</v>
      </c>
      <c r="S11" s="445" t="e">
        <f t="shared" si="0"/>
        <v>#N/A</v>
      </c>
      <c r="T11" s="444" t="s">
        <v>932</v>
      </c>
      <c r="U11" s="445" t="e">
        <f t="shared" si="1"/>
        <v>#N/A</v>
      </c>
      <c r="V11" s="444" t="s">
        <v>932</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0"/>
      <c r="Q14" s="447">
        <f t="shared" si="6"/>
        <v>111</v>
      </c>
      <c r="R14" s="444" t="s">
        <v>932</v>
      </c>
      <c r="S14" s="445">
        <f t="shared" si="0"/>
        <v>100</v>
      </c>
      <c r="T14" s="444" t="s">
        <v>932</v>
      </c>
      <c r="U14" s="445">
        <f t="shared" si="1"/>
        <v>100</v>
      </c>
      <c r="V14" s="444" t="s">
        <v>932</v>
      </c>
      <c r="W14" s="445">
        <f t="shared" si="2"/>
        <v>100</v>
      </c>
      <c r="X14" s="446"/>
      <c r="Y14" s="3312"/>
      <c r="Z14" s="464">
        <f t="shared" si="7"/>
        <v>111</v>
      </c>
      <c r="AA14" s="463">
        <f t="shared" si="3"/>
        <v>1</v>
      </c>
      <c r="AB14" s="463">
        <f t="shared" si="4"/>
        <v>1</v>
      </c>
      <c r="AC14" s="463">
        <f t="shared" si="5"/>
        <v>1</v>
      </c>
    </row>
    <row r="15" spans="1:29" ht="99.75">
      <c r="A15" s="248" t="s">
        <v>943</v>
      </c>
      <c r="B15" s="249" t="s">
        <v>225</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2"/>
      <c r="L15" s="391"/>
      <c r="M15" s="378"/>
      <c r="N15" s="378"/>
      <c r="O15" s="390"/>
      <c r="P15" s="3347" t="s">
        <v>944</v>
      </c>
      <c r="Q15" s="383" t="str">
        <f t="shared" si="6"/>
        <v>居住社区成熟度</v>
      </c>
      <c r="R15" s="448" t="s">
        <v>932</v>
      </c>
      <c r="S15" s="449">
        <f t="shared" si="0"/>
        <v>100</v>
      </c>
      <c r="T15" s="448" t="s">
        <v>932</v>
      </c>
      <c r="U15" s="449">
        <f t="shared" si="1"/>
        <v>100</v>
      </c>
      <c r="V15" s="448" t="s">
        <v>932</v>
      </c>
      <c r="W15" s="449">
        <f t="shared" si="2"/>
        <v>100</v>
      </c>
      <c r="X15" s="443"/>
      <c r="Y15" s="3347" t="s">
        <v>944</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3"/>
      <c r="L16" s="391"/>
      <c r="M16" s="378"/>
      <c r="N16" s="378"/>
      <c r="O16" s="390"/>
      <c r="P16" s="3348"/>
      <c r="Q16" s="383"/>
      <c r="R16" s="448"/>
      <c r="S16" s="449"/>
      <c r="T16" s="448"/>
      <c r="U16" s="449"/>
      <c r="V16" s="448"/>
      <c r="W16" s="449"/>
      <c r="X16" s="443"/>
      <c r="Y16" s="3348"/>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2"/>
      <c r="L17" s="391"/>
      <c r="M17" s="378"/>
      <c r="N17" s="378"/>
      <c r="O17" s="390"/>
      <c r="P17" s="3348"/>
      <c r="Q17" s="383" t="str">
        <f>B17</f>
        <v>交通便捷度</v>
      </c>
      <c r="R17" s="448" t="s">
        <v>932</v>
      </c>
      <c r="S17" s="449">
        <f>F17</f>
        <v>100</v>
      </c>
      <c r="T17" s="448" t="s">
        <v>932</v>
      </c>
      <c r="U17" s="449">
        <f>H17</f>
        <v>100</v>
      </c>
      <c r="V17" s="448" t="s">
        <v>932</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3"/>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2"/>
      <c r="L19" s="391"/>
      <c r="M19" s="378"/>
      <c r="N19" s="378"/>
      <c r="O19" s="390"/>
      <c r="P19" s="3348"/>
      <c r="Q19" s="383" t="str">
        <f>B19</f>
        <v>公共配套设施</v>
      </c>
      <c r="R19" s="448" t="s">
        <v>932</v>
      </c>
      <c r="S19" s="449">
        <f>F19</f>
        <v>100</v>
      </c>
      <c r="T19" s="448" t="s">
        <v>932</v>
      </c>
      <c r="U19" s="449">
        <f>H19</f>
        <v>100</v>
      </c>
      <c r="V19" s="448" t="s">
        <v>932</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3"/>
      <c r="L20" s="391"/>
      <c r="M20" s="378"/>
      <c r="N20" s="378"/>
      <c r="O20" s="390"/>
      <c r="P20" s="3348"/>
      <c r="Q20" s="383"/>
      <c r="R20" s="448"/>
      <c r="S20" s="449"/>
      <c r="T20" s="448"/>
      <c r="U20" s="449"/>
      <c r="V20" s="448"/>
      <c r="W20" s="449"/>
      <c r="X20" s="443"/>
      <c r="Y20" s="3348"/>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48"/>
      <c r="Q21" s="383" t="str">
        <f>B21</f>
        <v>基础设施水平</v>
      </c>
      <c r="R21" s="448" t="s">
        <v>932</v>
      </c>
      <c r="S21" s="449">
        <f>F21</f>
        <v>100</v>
      </c>
      <c r="T21" s="448" t="s">
        <v>932</v>
      </c>
      <c r="U21" s="449">
        <f>H21</f>
        <v>100</v>
      </c>
      <c r="V21" s="448" t="s">
        <v>932</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34"/>
      <c r="L22" s="391"/>
      <c r="M22" s="378"/>
      <c r="N22" s="378"/>
      <c r="O22" s="390"/>
      <c r="P22" s="3348"/>
      <c r="Q22" s="383"/>
      <c r="R22" s="448"/>
      <c r="S22" s="449"/>
      <c r="T22" s="448"/>
      <c r="U22" s="449"/>
      <c r="V22" s="448"/>
      <c r="W22" s="449"/>
      <c r="X22" s="443"/>
      <c r="Y22" s="3348"/>
      <c r="Z22" s="442"/>
      <c r="AA22" s="454">
        <v>1</v>
      </c>
      <c r="AB22" s="454">
        <v>1</v>
      </c>
      <c r="AC22" s="454">
        <v>1</v>
      </c>
    </row>
    <row r="23" spans="1:29" ht="57">
      <c r="A23" s="255"/>
      <c r="B23" s="274" t="s">
        <v>2478</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48"/>
      <c r="Q23" s="383" t="str">
        <f>B23</f>
        <v>自然及人文环境</v>
      </c>
      <c r="R23" s="448" t="s">
        <v>932</v>
      </c>
      <c r="S23" s="449">
        <f>F23</f>
        <v>100</v>
      </c>
      <c r="T23" s="448" t="s">
        <v>932</v>
      </c>
      <c r="U23" s="449">
        <f>H23</f>
        <v>100</v>
      </c>
      <c r="V23" s="448" t="s">
        <v>932</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544" t="s">
        <v>2479</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48"/>
      <c r="Q25" s="383" t="str">
        <f t="shared" ref="Q25:Q46" si="11">B25</f>
        <v>楼层-1</v>
      </c>
      <c r="R25" s="448" t="s">
        <v>932</v>
      </c>
      <c r="S25" s="449">
        <f>F25</f>
        <v>100</v>
      </c>
      <c r="T25" s="448" t="s">
        <v>932</v>
      </c>
      <c r="U25" s="449">
        <f>H25</f>
        <v>100</v>
      </c>
      <c r="V25" s="448" t="s">
        <v>932</v>
      </c>
      <c r="W25" s="449">
        <f>J25</f>
        <v>100</v>
      </c>
      <c r="X25" s="443"/>
      <c r="Y25" s="3348"/>
      <c r="Z25" s="442" t="str">
        <f>Q25</f>
        <v>楼层-1</v>
      </c>
      <c r="AA25" s="454">
        <f t="shared" si="3"/>
        <v>1</v>
      </c>
      <c r="AB25" s="454">
        <f t="shared" si="4"/>
        <v>1</v>
      </c>
      <c r="AC25" s="454">
        <f t="shared" si="5"/>
        <v>1</v>
      </c>
    </row>
    <row r="26" spans="1:29" ht="15">
      <c r="A26" s="255"/>
      <c r="B26" s="289" t="s">
        <v>2480</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48"/>
      <c r="Q26" s="383" t="str">
        <f t="shared" si="11"/>
        <v>朝向</v>
      </c>
      <c r="R26" s="448" t="s">
        <v>932</v>
      </c>
      <c r="S26" s="449">
        <f>F26</f>
        <v>100</v>
      </c>
      <c r="T26" s="448" t="s">
        <v>932</v>
      </c>
      <c r="U26" s="449">
        <f>H26</f>
        <v>100</v>
      </c>
      <c r="V26" s="448" t="s">
        <v>932</v>
      </c>
      <c r="W26" s="449">
        <f>J26</f>
        <v>100</v>
      </c>
      <c r="X26" s="443"/>
      <c r="Y26" s="3348"/>
      <c r="Z26" s="442" t="str">
        <f>Q26</f>
        <v>朝向</v>
      </c>
      <c r="AA26" s="454">
        <f t="shared" si="3"/>
        <v>1</v>
      </c>
      <c r="AB26" s="454">
        <f t="shared" si="4"/>
        <v>1</v>
      </c>
      <c r="AC26" s="454">
        <f t="shared" si="5"/>
        <v>1</v>
      </c>
    </row>
    <row r="27" spans="1:29" s="190" customFormat="1" ht="15">
      <c r="A27" s="279"/>
      <c r="B27" s="278" t="s">
        <v>2481</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48"/>
      <c r="Q27" s="447" t="str">
        <f t="shared" si="11"/>
        <v>道路级别</v>
      </c>
      <c r="R27" s="444" t="s">
        <v>932</v>
      </c>
      <c r="S27" s="445">
        <f>F27</f>
        <v>100</v>
      </c>
      <c r="T27" s="444" t="s">
        <v>932</v>
      </c>
      <c r="U27" s="445">
        <f>H27</f>
        <v>100</v>
      </c>
      <c r="V27" s="444" t="s">
        <v>932</v>
      </c>
      <c r="W27" s="445">
        <f>J27</f>
        <v>100</v>
      </c>
      <c r="X27" s="446"/>
      <c r="Y27" s="3348"/>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48"/>
      <c r="Q28" s="383">
        <f t="shared" si="11"/>
        <v>111</v>
      </c>
      <c r="R28" s="448" t="s">
        <v>932</v>
      </c>
      <c r="S28" s="449">
        <f t="shared" ref="S28:S46" si="12">F28</f>
        <v>100</v>
      </c>
      <c r="T28" s="448" t="s">
        <v>932</v>
      </c>
      <c r="U28" s="449">
        <f t="shared" ref="U28:U46" si="13">H28</f>
        <v>100</v>
      </c>
      <c r="V28" s="448" t="s">
        <v>932</v>
      </c>
      <c r="W28" s="449">
        <f t="shared" ref="W28:W46" si="14">J28</f>
        <v>100</v>
      </c>
      <c r="X28" s="443"/>
      <c r="Y28" s="3348"/>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48"/>
      <c r="Q29" s="383">
        <f t="shared" si="11"/>
        <v>111</v>
      </c>
      <c r="R29" s="448" t="s">
        <v>932</v>
      </c>
      <c r="S29" s="449">
        <f t="shared" si="12"/>
        <v>100</v>
      </c>
      <c r="T29" s="448" t="s">
        <v>932</v>
      </c>
      <c r="U29" s="449">
        <f t="shared" si="13"/>
        <v>100</v>
      </c>
      <c r="V29" s="448" t="s">
        <v>932</v>
      </c>
      <c r="W29" s="449">
        <f t="shared" si="14"/>
        <v>100</v>
      </c>
      <c r="X29" s="443"/>
      <c r="Y29" s="3348"/>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48"/>
      <c r="Q30" s="383">
        <f t="shared" si="11"/>
        <v>111</v>
      </c>
      <c r="R30" s="448" t="s">
        <v>932</v>
      </c>
      <c r="S30" s="449">
        <f t="shared" si="12"/>
        <v>100</v>
      </c>
      <c r="T30" s="448" t="s">
        <v>932</v>
      </c>
      <c r="U30" s="449">
        <f t="shared" si="13"/>
        <v>100</v>
      </c>
      <c r="V30" s="448" t="s">
        <v>932</v>
      </c>
      <c r="W30" s="449">
        <f t="shared" si="14"/>
        <v>100</v>
      </c>
      <c r="X30" s="443"/>
      <c r="Y30" s="3348"/>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48"/>
      <c r="Q31" s="383">
        <f t="shared" si="11"/>
        <v>111</v>
      </c>
      <c r="R31" s="448" t="s">
        <v>932</v>
      </c>
      <c r="S31" s="449">
        <f t="shared" si="12"/>
        <v>100</v>
      </c>
      <c r="T31" s="448" t="s">
        <v>932</v>
      </c>
      <c r="U31" s="449">
        <f t="shared" si="13"/>
        <v>100</v>
      </c>
      <c r="V31" s="448" t="s">
        <v>932</v>
      </c>
      <c r="W31" s="449">
        <f t="shared" si="14"/>
        <v>100</v>
      </c>
      <c r="X31" s="443"/>
      <c r="Y31" s="3348"/>
      <c r="Z31" s="442">
        <f t="shared" si="15"/>
        <v>111</v>
      </c>
      <c r="AA31" s="454">
        <f t="shared" si="3"/>
        <v>1</v>
      </c>
      <c r="AB31" s="454">
        <f t="shared" si="4"/>
        <v>1</v>
      </c>
      <c r="AC31" s="454">
        <f t="shared" si="5"/>
        <v>1</v>
      </c>
    </row>
    <row r="32" spans="1:29" ht="15">
      <c r="A32" s="283" t="s">
        <v>951</v>
      </c>
      <c r="B32" s="284" t="s">
        <v>2482</v>
      </c>
      <c r="C32" s="602"/>
      <c r="D32" s="286">
        <v>100</v>
      </c>
      <c r="E32" s="621"/>
      <c r="F32" s="277">
        <f>SUMIF(100:100,E32,101:101)-SUMIF(100:100,C32,101:101)+100</f>
        <v>100</v>
      </c>
      <c r="G32" s="602"/>
      <c r="H32" s="286">
        <f>SUMIF(100:100,G32,101:101)-SUMIF(100:100,C32,101:101)+100</f>
        <v>100</v>
      </c>
      <c r="I32" s="621"/>
      <c r="J32" s="247">
        <f>SUMIF(100:100,I32,101:101)-SUMIF(100:100,C32,101:101)+100</f>
        <v>100</v>
      </c>
      <c r="K32" s="630"/>
      <c r="L32" s="391"/>
      <c r="M32" s="378"/>
      <c r="N32" s="378"/>
      <c r="O32" s="390"/>
      <c r="P32" s="3349" t="s">
        <v>950</v>
      </c>
      <c r="Q32" s="383" t="str">
        <f t="shared" si="11"/>
        <v>建筑类型</v>
      </c>
      <c r="R32" s="448" t="s">
        <v>932</v>
      </c>
      <c r="S32" s="449">
        <f t="shared" si="12"/>
        <v>100</v>
      </c>
      <c r="T32" s="448" t="s">
        <v>932</v>
      </c>
      <c r="U32" s="449">
        <f t="shared" si="13"/>
        <v>100</v>
      </c>
      <c r="V32" s="448" t="s">
        <v>932</v>
      </c>
      <c r="W32" s="449">
        <f t="shared" si="14"/>
        <v>100</v>
      </c>
      <c r="X32" s="443"/>
      <c r="Y32" s="3350" t="s">
        <v>950</v>
      </c>
      <c r="Z32" s="442" t="str">
        <f t="shared" si="15"/>
        <v>建筑类型</v>
      </c>
      <c r="AA32" s="454">
        <f t="shared" si="3"/>
        <v>1</v>
      </c>
      <c r="AB32" s="454">
        <f t="shared" si="4"/>
        <v>1</v>
      </c>
      <c r="AC32" s="454">
        <f t="shared" si="5"/>
        <v>1</v>
      </c>
    </row>
    <row r="33" spans="1:29" s="192" customFormat="1" ht="15">
      <c r="A33" s="288"/>
      <c r="B33" s="289" t="s">
        <v>2483</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1"/>
      <c r="L33" s="389"/>
      <c r="M33" s="395"/>
      <c r="N33" s="395"/>
      <c r="O33" s="396"/>
      <c r="P33" s="3350"/>
      <c r="Q33" s="450" t="str">
        <f t="shared" si="11"/>
        <v>项目建筑规模</v>
      </c>
      <c r="R33" s="451" t="s">
        <v>932</v>
      </c>
      <c r="S33" s="452" t="e">
        <f t="shared" si="12"/>
        <v>#N/A</v>
      </c>
      <c r="T33" s="451" t="s">
        <v>932</v>
      </c>
      <c r="U33" s="452" t="e">
        <f t="shared" si="13"/>
        <v>#N/A</v>
      </c>
      <c r="V33" s="451" t="s">
        <v>932</v>
      </c>
      <c r="W33" s="452" t="e">
        <f t="shared" si="14"/>
        <v>#N/A</v>
      </c>
      <c r="X33" s="453"/>
      <c r="Y33" s="3350"/>
      <c r="Z33" s="465" t="str">
        <f t="shared" si="15"/>
        <v>项目建筑规模</v>
      </c>
      <c r="AA33" s="454" t="e">
        <f t="shared" si="3"/>
        <v>#N/A</v>
      </c>
      <c r="AB33" s="454" t="e">
        <f t="shared" si="4"/>
        <v>#N/A</v>
      </c>
      <c r="AC33" s="454" t="e">
        <f t="shared" si="5"/>
        <v>#N/A</v>
      </c>
    </row>
    <row r="34" spans="1:29" ht="15">
      <c r="A34" s="293"/>
      <c r="B34" s="289" t="s">
        <v>2484</v>
      </c>
      <c r="C34" s="603"/>
      <c r="D34" s="247">
        <v>100</v>
      </c>
      <c r="E34" s="604"/>
      <c r="F34" s="277">
        <f>SUMIF(105:105,E34,106:106)-SUMIF(105:105,C34,106:106)+100</f>
        <v>100</v>
      </c>
      <c r="G34" s="603"/>
      <c r="H34" s="247">
        <f>SUMIF(105:105,G34,106:106)-SUMIF(105:105,C34,106:106)+100</f>
        <v>100</v>
      </c>
      <c r="I34" s="604"/>
      <c r="J34" s="247">
        <f>SUMIF(105:105,I34,106:106)-SUMIF(105:105,C34,106:106)+100</f>
        <v>100</v>
      </c>
      <c r="K34" s="630"/>
      <c r="L34" s="391"/>
      <c r="M34" s="378"/>
      <c r="N34" s="378"/>
      <c r="O34" s="390"/>
      <c r="P34" s="3350"/>
      <c r="Q34" s="383" t="str">
        <f t="shared" si="11"/>
        <v>建筑结构</v>
      </c>
      <c r="R34" s="448" t="s">
        <v>932</v>
      </c>
      <c r="S34" s="449">
        <f t="shared" si="12"/>
        <v>100</v>
      </c>
      <c r="T34" s="448" t="s">
        <v>932</v>
      </c>
      <c r="U34" s="449">
        <f t="shared" si="13"/>
        <v>100</v>
      </c>
      <c r="V34" s="448" t="s">
        <v>932</v>
      </c>
      <c r="W34" s="449">
        <f t="shared" si="14"/>
        <v>100</v>
      </c>
      <c r="X34" s="443"/>
      <c r="Y34" s="3350"/>
      <c r="Z34" s="442" t="str">
        <f t="shared" si="15"/>
        <v>建筑结构</v>
      </c>
      <c r="AA34" s="454">
        <f t="shared" si="3"/>
        <v>1</v>
      </c>
      <c r="AB34" s="454">
        <f t="shared" si="4"/>
        <v>1</v>
      </c>
      <c r="AC34" s="454">
        <f t="shared" si="5"/>
        <v>1</v>
      </c>
    </row>
    <row r="35" spans="1:29" ht="15">
      <c r="A35" s="293"/>
      <c r="B35" s="289" t="s">
        <v>2485</v>
      </c>
      <c r="C35" s="578"/>
      <c r="D35" s="247">
        <v>100</v>
      </c>
      <c r="E35" s="618"/>
      <c r="F35" s="277">
        <f>SUMIF(107:107,E35,108:108)-SUMIF(107:107,C35,108:108)+100</f>
        <v>100</v>
      </c>
      <c r="G35" s="578"/>
      <c r="H35" s="247">
        <f>SUMIF(107:107,G35,108:108)-SUMIF(107:107,C35,108:108)+100</f>
        <v>100</v>
      </c>
      <c r="I35" s="618"/>
      <c r="J35" s="247">
        <f>SUMIF(107:107,I35,108:108)-SUMIF(107:107,C35,108:108)+100</f>
        <v>100</v>
      </c>
      <c r="K35" s="630"/>
      <c r="L35" s="391"/>
      <c r="M35" s="378"/>
      <c r="N35" s="378"/>
      <c r="O35" s="390"/>
      <c r="P35" s="3350"/>
      <c r="Q35" s="383" t="str">
        <f t="shared" si="11"/>
        <v>建筑品质</v>
      </c>
      <c r="R35" s="448" t="s">
        <v>932</v>
      </c>
      <c r="S35" s="449">
        <f t="shared" si="12"/>
        <v>100</v>
      </c>
      <c r="T35" s="448" t="s">
        <v>932</v>
      </c>
      <c r="U35" s="449">
        <f t="shared" si="13"/>
        <v>100</v>
      </c>
      <c r="V35" s="448" t="s">
        <v>932</v>
      </c>
      <c r="W35" s="449">
        <f t="shared" si="14"/>
        <v>100</v>
      </c>
      <c r="X35" s="443"/>
      <c r="Y35" s="3350"/>
      <c r="Z35" s="442" t="str">
        <f t="shared" si="15"/>
        <v>建筑品质</v>
      </c>
      <c r="AA35" s="454">
        <f t="shared" si="3"/>
        <v>1</v>
      </c>
      <c r="AB35" s="454">
        <f t="shared" si="4"/>
        <v>1</v>
      </c>
      <c r="AC35" s="454">
        <f t="shared" si="5"/>
        <v>1</v>
      </c>
    </row>
    <row r="36" spans="1:29" ht="15">
      <c r="A36" s="293"/>
      <c r="B36" s="289" t="s">
        <v>2486</v>
      </c>
      <c r="C36" s="578"/>
      <c r="D36" s="247">
        <v>100</v>
      </c>
      <c r="E36" s="618"/>
      <c r="F36" s="277">
        <f>SUMIF(109:109,E36,110:110)-SUMIF(109:109,C36,110:110)+100</f>
        <v>100</v>
      </c>
      <c r="G36" s="578"/>
      <c r="H36" s="247">
        <f>SUMIF(109:109,G36,110:110)-SUMIF(109:109,C36,110:110)+100</f>
        <v>100</v>
      </c>
      <c r="I36" s="618"/>
      <c r="J36" s="247">
        <f>SUMIF(109:109,I36,110:110)-SUMIF(109:109,C36,110:110)+100</f>
        <v>100</v>
      </c>
      <c r="K36" s="630"/>
      <c r="L36" s="391"/>
      <c r="M36" s="378"/>
      <c r="N36" s="378"/>
      <c r="O36" s="390"/>
      <c r="P36" s="3350"/>
      <c r="Q36" s="383" t="str">
        <f t="shared" si="11"/>
        <v>公共部分装修</v>
      </c>
      <c r="R36" s="448" t="s">
        <v>932</v>
      </c>
      <c r="S36" s="449">
        <f t="shared" si="12"/>
        <v>100</v>
      </c>
      <c r="T36" s="448" t="s">
        <v>932</v>
      </c>
      <c r="U36" s="449">
        <f t="shared" si="13"/>
        <v>100</v>
      </c>
      <c r="V36" s="448" t="s">
        <v>932</v>
      </c>
      <c r="W36" s="449">
        <f t="shared" si="14"/>
        <v>100</v>
      </c>
      <c r="X36" s="443"/>
      <c r="Y36" s="3350"/>
      <c r="Z36" s="442" t="str">
        <f t="shared" si="15"/>
        <v>公共部分装修</v>
      </c>
      <c r="AA36" s="454">
        <f t="shared" si="3"/>
        <v>1</v>
      </c>
      <c r="AB36" s="454">
        <f t="shared" si="4"/>
        <v>1</v>
      </c>
      <c r="AC36" s="454">
        <f t="shared" si="5"/>
        <v>1</v>
      </c>
    </row>
    <row r="37" spans="1:29" s="190" customFormat="1" ht="15">
      <c r="A37" s="296"/>
      <c r="B37" s="289" t="s">
        <v>2487</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0"/>
      <c r="L37" s="380"/>
      <c r="M37" s="381"/>
      <c r="N37" s="381"/>
      <c r="O37" s="382"/>
      <c r="P37" s="3350"/>
      <c r="Q37" s="447" t="str">
        <f t="shared" si="11"/>
        <v>成新度</v>
      </c>
      <c r="R37" s="444" t="s">
        <v>932</v>
      </c>
      <c r="S37" s="445" t="e">
        <f t="shared" si="12"/>
        <v>#N/A</v>
      </c>
      <c r="T37" s="444" t="s">
        <v>932</v>
      </c>
      <c r="U37" s="445" t="e">
        <f t="shared" si="13"/>
        <v>#N/A</v>
      </c>
      <c r="V37" s="444" t="s">
        <v>932</v>
      </c>
      <c r="W37" s="445" t="e">
        <f t="shared" si="14"/>
        <v>#N/A</v>
      </c>
      <c r="X37" s="446"/>
      <c r="Y37" s="3350"/>
      <c r="Z37" s="464" t="str">
        <f t="shared" si="15"/>
        <v>成新度</v>
      </c>
      <c r="AA37" s="463" t="e">
        <f t="shared" si="3"/>
        <v>#N/A</v>
      </c>
      <c r="AB37" s="463" t="e">
        <f t="shared" si="4"/>
        <v>#N/A</v>
      </c>
      <c r="AC37" s="463" t="e">
        <f t="shared" si="5"/>
        <v>#N/A</v>
      </c>
    </row>
    <row r="38" spans="1:29" ht="15">
      <c r="A38" s="293"/>
      <c r="B38" s="289" t="s">
        <v>2488</v>
      </c>
      <c r="C38" s="578"/>
      <c r="D38" s="247">
        <v>100</v>
      </c>
      <c r="E38" s="618"/>
      <c r="F38" s="277">
        <f>SUMIF(114:114,E38,115:115)-SUMIF(114:114,C38,115:115)+100</f>
        <v>100</v>
      </c>
      <c r="G38" s="578"/>
      <c r="H38" s="247">
        <f>SUMIF(114:114,G38,115:115)-SUMIF(114:114,C38,115:115)+100</f>
        <v>100</v>
      </c>
      <c r="I38" s="618"/>
      <c r="J38" s="247">
        <f>SUMIF(114:114,I38,115:115)-SUMIF(114:114,C38,115:115)+100</f>
        <v>100</v>
      </c>
      <c r="K38" s="630"/>
      <c r="L38" s="391"/>
      <c r="M38" s="378"/>
      <c r="N38" s="378"/>
      <c r="O38" s="390"/>
      <c r="P38" s="3350" t="s">
        <v>950</v>
      </c>
      <c r="Q38" s="383" t="str">
        <f t="shared" si="11"/>
        <v>物业管理</v>
      </c>
      <c r="R38" s="448" t="s">
        <v>932</v>
      </c>
      <c r="S38" s="449">
        <f t="shared" si="12"/>
        <v>100</v>
      </c>
      <c r="T38" s="448" t="s">
        <v>932</v>
      </c>
      <c r="U38" s="449">
        <f t="shared" si="13"/>
        <v>100</v>
      </c>
      <c r="V38" s="448" t="s">
        <v>932</v>
      </c>
      <c r="W38" s="449">
        <f t="shared" si="14"/>
        <v>100</v>
      </c>
      <c r="X38" s="443"/>
      <c r="Y38" s="3350" t="s">
        <v>950</v>
      </c>
      <c r="Z38" s="442" t="str">
        <f t="shared" si="15"/>
        <v>物业管理</v>
      </c>
      <c r="AA38" s="454">
        <f t="shared" si="3"/>
        <v>1</v>
      </c>
      <c r="AB38" s="454">
        <f t="shared" si="4"/>
        <v>1</v>
      </c>
      <c r="AC38" s="454">
        <f t="shared" si="5"/>
        <v>1</v>
      </c>
    </row>
    <row r="39" spans="1:29" ht="15">
      <c r="A39" s="293"/>
      <c r="B39" s="544" t="s">
        <v>2489</v>
      </c>
      <c r="C39" s="578"/>
      <c r="D39" s="247">
        <v>100</v>
      </c>
      <c r="E39" s="618"/>
      <c r="F39" s="277">
        <f>SUMIF(116:116,E39,117:117)-SUMIF(116:116,C39,117:117)+100</f>
        <v>100</v>
      </c>
      <c r="G39" s="578"/>
      <c r="H39" s="247">
        <f>SUMIF(116:116,G39,117:117)-SUMIF(116:116,C39,117:117)+100</f>
        <v>100</v>
      </c>
      <c r="I39" s="618"/>
      <c r="J39" s="247">
        <f>SUMIF(116:116,I39,117:117)-SUMIF(116:116,C39,117:117)+100</f>
        <v>100</v>
      </c>
      <c r="K39" s="630"/>
      <c r="L39" s="391"/>
      <c r="M39" s="378"/>
      <c r="N39" s="378"/>
      <c r="O39" s="390"/>
      <c r="P39" s="3350"/>
      <c r="Q39" s="383" t="str">
        <f t="shared" si="11"/>
        <v>市政基础设施</v>
      </c>
      <c r="R39" s="448" t="s">
        <v>932</v>
      </c>
      <c r="S39" s="449">
        <f t="shared" si="12"/>
        <v>100</v>
      </c>
      <c r="T39" s="448" t="s">
        <v>932</v>
      </c>
      <c r="U39" s="449">
        <f t="shared" si="13"/>
        <v>100</v>
      </c>
      <c r="V39" s="448" t="s">
        <v>932</v>
      </c>
      <c r="W39" s="449">
        <f t="shared" si="14"/>
        <v>100</v>
      </c>
      <c r="X39" s="443"/>
      <c r="Y39" s="3350"/>
      <c r="Z39" s="442" t="str">
        <f t="shared" si="15"/>
        <v>市政基础设施</v>
      </c>
      <c r="AA39" s="454">
        <f t="shared" si="3"/>
        <v>1</v>
      </c>
      <c r="AB39" s="454">
        <f t="shared" si="4"/>
        <v>1</v>
      </c>
      <c r="AC39" s="454">
        <f t="shared" si="5"/>
        <v>1</v>
      </c>
    </row>
    <row r="40" spans="1:29" ht="15">
      <c r="A40" s="293"/>
      <c r="B40" s="289" t="s">
        <v>2490</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0"/>
      <c r="Q40" s="383" t="str">
        <f t="shared" si="11"/>
        <v>房型</v>
      </c>
      <c r="R40" s="448" t="s">
        <v>932</v>
      </c>
      <c r="S40" s="449">
        <f t="shared" si="12"/>
        <v>100</v>
      </c>
      <c r="T40" s="448" t="s">
        <v>932</v>
      </c>
      <c r="U40" s="449">
        <f t="shared" si="13"/>
        <v>100</v>
      </c>
      <c r="V40" s="448" t="s">
        <v>932</v>
      </c>
      <c r="W40" s="449">
        <f t="shared" si="14"/>
        <v>100</v>
      </c>
      <c r="X40" s="443"/>
      <c r="Y40" s="3350"/>
      <c r="Z40" s="442" t="str">
        <f t="shared" si="15"/>
        <v>房型</v>
      </c>
      <c r="AA40" s="454">
        <f t="shared" si="3"/>
        <v>1</v>
      </c>
      <c r="AB40" s="454">
        <f t="shared" si="4"/>
        <v>1</v>
      </c>
      <c r="AC40" s="454">
        <f t="shared" si="5"/>
        <v>1</v>
      </c>
    </row>
    <row r="41" spans="1:29" s="192" customFormat="1" ht="28.5">
      <c r="A41" s="288"/>
      <c r="B41" s="289" t="s">
        <v>2491</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0"/>
      <c r="Q41" s="450" t="str">
        <f t="shared" si="11"/>
        <v>单套/主力户型建筑面积</v>
      </c>
      <c r="R41" s="451" t="s">
        <v>932</v>
      </c>
      <c r="S41" s="452">
        <f t="shared" si="12"/>
        <v>100</v>
      </c>
      <c r="T41" s="451" t="s">
        <v>932</v>
      </c>
      <c r="U41" s="452">
        <f t="shared" si="13"/>
        <v>100</v>
      </c>
      <c r="V41" s="451" t="s">
        <v>932</v>
      </c>
      <c r="W41" s="452">
        <f t="shared" si="14"/>
        <v>100</v>
      </c>
      <c r="X41" s="453"/>
      <c r="Y41" s="3350"/>
      <c r="Z41" s="465" t="str">
        <f t="shared" si="15"/>
        <v>单套/主力户型建筑面积</v>
      </c>
      <c r="AA41" s="454">
        <f t="shared" si="3"/>
        <v>1</v>
      </c>
      <c r="AB41" s="454">
        <f t="shared" si="4"/>
        <v>1</v>
      </c>
      <c r="AC41" s="454">
        <f t="shared" si="5"/>
        <v>1</v>
      </c>
    </row>
    <row r="42" spans="1:29" ht="15">
      <c r="A42" s="293"/>
      <c r="B42" s="289" t="s">
        <v>2492</v>
      </c>
      <c r="C42" s="578"/>
      <c r="D42" s="247">
        <v>100</v>
      </c>
      <c r="E42" s="618"/>
      <c r="F42" s="277">
        <f>SUMIF(122:122,E42,123:123)-SUMIF(122:122,C42,123:123)+100</f>
        <v>100</v>
      </c>
      <c r="G42" s="578"/>
      <c r="H42" s="247">
        <f>SUMIF(122:122,G42,123:123)-SUMIF(122:122,C42,123:123)+100</f>
        <v>100</v>
      </c>
      <c r="I42" s="618"/>
      <c r="J42" s="247">
        <f>SUMIF(122:122,I42,123:123)-SUMIF(122:122,C42,123:123)+100</f>
        <v>100</v>
      </c>
      <c r="K42" s="630"/>
      <c r="L42" s="391"/>
      <c r="M42" s="378"/>
      <c r="N42" s="378"/>
      <c r="O42" s="390"/>
      <c r="P42" s="3350"/>
      <c r="Q42" s="383" t="str">
        <f t="shared" si="11"/>
        <v>内部装修</v>
      </c>
      <c r="R42" s="448" t="s">
        <v>932</v>
      </c>
      <c r="S42" s="449">
        <f t="shared" si="12"/>
        <v>100</v>
      </c>
      <c r="T42" s="448" t="s">
        <v>932</v>
      </c>
      <c r="U42" s="449">
        <f t="shared" si="13"/>
        <v>100</v>
      </c>
      <c r="V42" s="448" t="s">
        <v>932</v>
      </c>
      <c r="W42" s="449">
        <f t="shared" si="14"/>
        <v>100</v>
      </c>
      <c r="X42" s="443"/>
      <c r="Y42" s="3350"/>
      <c r="Z42" s="442" t="str">
        <f t="shared" si="15"/>
        <v>内部装修</v>
      </c>
      <c r="AA42" s="454">
        <f t="shared" si="3"/>
        <v>1</v>
      </c>
      <c r="AB42" s="454">
        <f t="shared" si="4"/>
        <v>1</v>
      </c>
      <c r="AC42" s="454">
        <f t="shared" si="5"/>
        <v>1</v>
      </c>
    </row>
    <row r="43" spans="1:29" ht="27">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0"/>
      <c r="Q43" s="383" t="str">
        <f t="shared" si="11"/>
        <v>内部装修维护情况</v>
      </c>
      <c r="R43" s="448" t="s">
        <v>932</v>
      </c>
      <c r="S43" s="449">
        <f t="shared" si="12"/>
        <v>100</v>
      </c>
      <c r="T43" s="448" t="s">
        <v>932</v>
      </c>
      <c r="U43" s="449">
        <f t="shared" si="13"/>
        <v>100</v>
      </c>
      <c r="V43" s="448" t="s">
        <v>932</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0"/>
      <c r="Q44" s="447">
        <f t="shared" si="11"/>
        <v>111</v>
      </c>
      <c r="R44" s="444" t="s">
        <v>932</v>
      </c>
      <c r="S44" s="445">
        <f t="shared" si="12"/>
        <v>100</v>
      </c>
      <c r="T44" s="444" t="s">
        <v>932</v>
      </c>
      <c r="U44" s="445">
        <f t="shared" si="13"/>
        <v>100</v>
      </c>
      <c r="V44" s="444" t="s">
        <v>932</v>
      </c>
      <c r="W44" s="445">
        <f t="shared" si="14"/>
        <v>100</v>
      </c>
      <c r="X44" s="446"/>
      <c r="Y44" s="3350"/>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0"/>
      <c r="Q45" s="383">
        <f t="shared" si="11"/>
        <v>111</v>
      </c>
      <c r="R45" s="448" t="s">
        <v>932</v>
      </c>
      <c r="S45" s="449">
        <f t="shared" si="12"/>
        <v>100</v>
      </c>
      <c r="T45" s="448" t="s">
        <v>932</v>
      </c>
      <c r="U45" s="449">
        <f t="shared" si="13"/>
        <v>100</v>
      </c>
      <c r="V45" s="448" t="s">
        <v>932</v>
      </c>
      <c r="W45" s="449">
        <f t="shared" si="14"/>
        <v>100</v>
      </c>
      <c r="X45" s="443"/>
      <c r="Y45" s="3350"/>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0"/>
      <c r="Q46" s="383">
        <f t="shared" si="11"/>
        <v>111</v>
      </c>
      <c r="R46" s="448" t="s">
        <v>932</v>
      </c>
      <c r="S46" s="449">
        <f t="shared" si="12"/>
        <v>100</v>
      </c>
      <c r="T46" s="448" t="s">
        <v>932</v>
      </c>
      <c r="U46" s="449">
        <f t="shared" si="13"/>
        <v>100</v>
      </c>
      <c r="V46" s="448" t="s">
        <v>932</v>
      </c>
      <c r="W46" s="449">
        <f t="shared" si="14"/>
        <v>100</v>
      </c>
      <c r="X46" s="443"/>
      <c r="Y46" s="3450"/>
      <c r="Z46" s="442">
        <f t="shared" si="15"/>
        <v>111</v>
      </c>
      <c r="AA46" s="454">
        <f t="shared" si="3"/>
        <v>1</v>
      </c>
      <c r="AB46" s="454">
        <f t="shared" si="4"/>
        <v>1</v>
      </c>
      <c r="AC46" s="454">
        <f t="shared" si="5"/>
        <v>1</v>
      </c>
    </row>
    <row r="47" spans="1:29" ht="15">
      <c r="A47" s="303" t="s">
        <v>2493</v>
      </c>
      <c r="B47" s="304"/>
      <c r="C47" s="305" t="s">
        <v>138</v>
      </c>
      <c r="D47" s="306"/>
      <c r="E47" s="307"/>
      <c r="F47" s="308"/>
      <c r="G47" s="309"/>
      <c r="H47" s="310"/>
      <c r="I47" s="307"/>
      <c r="J47" s="310"/>
      <c r="K47" s="636"/>
      <c r="L47" s="398"/>
      <c r="M47" s="319"/>
      <c r="N47" s="378"/>
      <c r="O47" s="319"/>
      <c r="P47" s="3340" t="str">
        <f>A47</f>
        <v>成交单价（元/平方米）</v>
      </c>
      <c r="Q47" s="3340"/>
      <c r="R47" s="3448">
        <f>E47</f>
        <v>0</v>
      </c>
      <c r="S47" s="3448"/>
      <c r="T47" s="3448">
        <f>G47</f>
        <v>0</v>
      </c>
      <c r="U47" s="3448"/>
      <c r="V47" s="3448">
        <f>I47</f>
        <v>0</v>
      </c>
      <c r="W47" s="3448"/>
      <c r="X47" s="330"/>
      <c r="Y47" s="466"/>
      <c r="Z47" s="330"/>
      <c r="AA47" s="330"/>
      <c r="AB47" s="330"/>
      <c r="AC47" s="330"/>
    </row>
    <row r="48" spans="1:29" ht="15">
      <c r="A48" s="311" t="s">
        <v>959</v>
      </c>
      <c r="B48" s="312"/>
      <c r="C48" s="313" t="e">
        <f>R49</f>
        <v>#DIV/0!</v>
      </c>
      <c r="D48" s="314"/>
      <c r="E48" s="315" t="e">
        <f>R48</f>
        <v>#DIV/0!</v>
      </c>
      <c r="F48" s="315"/>
      <c r="G48" s="313" t="e">
        <f>T48</f>
        <v>#DIV/0!</v>
      </c>
      <c r="H48" s="314"/>
      <c r="I48" s="315" t="e">
        <f>V48</f>
        <v>#DIV/0!</v>
      </c>
      <c r="J48" s="314"/>
      <c r="K48" s="637"/>
      <c r="L48" s="398"/>
      <c r="M48" s="319"/>
      <c r="N48" s="319"/>
      <c r="O48" s="319"/>
      <c r="P48" s="3340" t="str">
        <f>A48</f>
        <v>比较价格（元/平方米）</v>
      </c>
      <c r="Q48" s="3340"/>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30"/>
      <c r="Y48" s="330"/>
      <c r="Z48" s="330"/>
      <c r="AA48" s="330"/>
      <c r="AB48" s="330"/>
      <c r="AC48" s="330"/>
    </row>
    <row r="49" spans="1:29" ht="15">
      <c r="A49" s="316" t="s">
        <v>960</v>
      </c>
      <c r="B49" s="317"/>
      <c r="C49" s="318" t="e">
        <f>R49</f>
        <v>#DIV/0!</v>
      </c>
      <c r="D49" s="318"/>
      <c r="E49" s="318"/>
      <c r="F49" s="318"/>
      <c r="G49" s="318"/>
      <c r="H49" s="318"/>
      <c r="I49" s="318"/>
      <c r="J49" s="318"/>
      <c r="K49" s="638"/>
      <c r="L49" s="398"/>
      <c r="M49" s="319"/>
      <c r="N49" s="319"/>
      <c r="O49" s="319"/>
      <c r="P49" s="3343" t="str">
        <f>A49</f>
        <v>估价对象XX用房的比较价格（楼面单价，元/平方米）</v>
      </c>
      <c r="Q49" s="3344"/>
      <c r="R49" s="3449" t="e">
        <f>IF(F1="售价",ROUND(AVERAGE(R48:V48),0),ROUND(AVERAGE(R48:V48),1))</f>
        <v>#DIV/0!</v>
      </c>
      <c r="S49" s="3449"/>
      <c r="T49" s="3449"/>
      <c r="U49" s="3449"/>
      <c r="V49" s="3449"/>
      <c r="W49" s="344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985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930</v>
      </c>
      <c r="B58" s="334"/>
      <c r="C58" s="336"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1371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933</v>
      </c>
      <c r="B61" s="338"/>
      <c r="C61" s="346" t="s">
        <v>934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989</v>
      </c>
      <c r="B63" s="349" t="s">
        <v>990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991</v>
      </c>
      <c r="C65" s="356" t="s">
        <v>2494</v>
      </c>
      <c r="D65" s="356" t="s">
        <v>2495</v>
      </c>
      <c r="E65" s="356" t="s">
        <v>2496</v>
      </c>
      <c r="F65" s="356" t="s">
        <v>2497</v>
      </c>
      <c r="G65" s="356" t="s">
        <v>2498</v>
      </c>
      <c r="H65" s="356" t="s">
        <v>2499</v>
      </c>
      <c r="I65" s="356" t="s">
        <v>2500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992</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2478</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2479</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2480</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998</v>
      </c>
      <c r="B100" s="349" t="s">
        <v>2482</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5">
      <c r="A102" s="352"/>
      <c r="B102" s="355" t="s">
        <v>2483</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2484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2485</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2486</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2487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2488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2489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2490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2491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2492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2501</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2502</v>
      </c>
      <c r="C137" s="653"/>
      <c r="D137" s="653"/>
      <c r="E137" s="653"/>
      <c r="F137" s="653"/>
      <c r="G137" s="654"/>
      <c r="H137" s="655"/>
      <c r="I137" s="683" t="s">
        <v>2503</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2504</v>
      </c>
      <c r="D138" s="657" t="s">
        <v>2505</v>
      </c>
      <c r="E138" s="658" t="s">
        <v>2506</v>
      </c>
      <c r="F138" s="659" t="s">
        <v>2507</v>
      </c>
      <c r="G138" s="657" t="s">
        <v>2505</v>
      </c>
      <c r="H138" s="660" t="s">
        <v>2506</v>
      </c>
      <c r="I138" s="685"/>
      <c r="J138" s="657" t="s">
        <v>2508</v>
      </c>
      <c r="K138" s="660" t="s">
        <v>2509</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2510</v>
      </c>
      <c r="E139" s="664">
        <v>100</v>
      </c>
      <c r="F139" s="665">
        <v>102.5</v>
      </c>
      <c r="G139" s="663" t="s">
        <v>2510</v>
      </c>
      <c r="H139" s="666">
        <v>105</v>
      </c>
      <c r="I139" s="686" t="s">
        <v>2511</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2512</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2513</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2514</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1517</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2515</v>
      </c>
      <c r="E144" s="670">
        <v>102</v>
      </c>
      <c r="F144" s="674">
        <v>100</v>
      </c>
      <c r="G144" s="673" t="s">
        <v>2515</v>
      </c>
      <c r="H144" s="672">
        <v>105</v>
      </c>
      <c r="I144" s="688" t="s">
        <v>1517</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2516</v>
      </c>
      <c r="C145" s="676">
        <f>ROUND(MAX(C139:C144)/MIN(C139:C144)-1,3)</f>
        <v>7.2999999999999995E-2</v>
      </c>
      <c r="D145" s="677"/>
      <c r="E145" s="677"/>
      <c r="F145" s="678" t="s">
        <v>2517</v>
      </c>
      <c r="G145" s="679"/>
      <c r="H145" s="680"/>
      <c r="I145" s="693" t="s">
        <v>1517</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2518</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2519</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529" t="s">
        <v>2520</v>
      </c>
      <c r="C1" s="200" t="s">
        <v>2475</v>
      </c>
      <c r="D1" s="597"/>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C49</f>
        <v>#DIV/0!</v>
      </c>
      <c r="C3" s="212" t="s">
        <v>2477</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920</v>
      </c>
      <c r="B4" s="215"/>
      <c r="C4" s="3329" t="s">
        <v>921</v>
      </c>
      <c r="D4" s="3330"/>
      <c r="E4" s="3370" t="s">
        <v>922</v>
      </c>
      <c r="F4" s="3371"/>
      <c r="G4" s="3329" t="s">
        <v>923</v>
      </c>
      <c r="H4" s="3330"/>
      <c r="I4" s="3329" t="s">
        <v>924</v>
      </c>
      <c r="J4" s="3330"/>
      <c r="K4" s="376" t="s">
        <v>925</v>
      </c>
      <c r="L4" s="377"/>
      <c r="M4" s="378"/>
      <c r="N4" s="378"/>
      <c r="O4" s="378"/>
      <c r="P4" s="3358" t="s">
        <v>926</v>
      </c>
      <c r="Q4" s="3359"/>
      <c r="R4" s="3364" t="s">
        <v>922</v>
      </c>
      <c r="S4" s="3365"/>
      <c r="T4" s="3364" t="s">
        <v>923</v>
      </c>
      <c r="U4" s="3365"/>
      <c r="V4" s="3341" t="s">
        <v>924</v>
      </c>
      <c r="W4" s="3341"/>
      <c r="X4" s="443"/>
      <c r="Y4" s="3364" t="s">
        <v>926</v>
      </c>
      <c r="Z4" s="3365"/>
      <c r="AA4" s="3351" t="s">
        <v>922</v>
      </c>
      <c r="AB4" s="3341" t="s">
        <v>923</v>
      </c>
      <c r="AC4" s="3351" t="s">
        <v>924</v>
      </c>
    </row>
    <row r="5" spans="1:29" ht="15">
      <c r="A5" s="216"/>
      <c r="B5" s="217"/>
      <c r="C5" s="3331" t="s">
        <v>927</v>
      </c>
      <c r="D5" s="3332"/>
      <c r="E5" s="3372" t="s">
        <v>1366</v>
      </c>
      <c r="F5" s="3373"/>
      <c r="G5" s="3331" t="s">
        <v>1367</v>
      </c>
      <c r="H5" s="3332"/>
      <c r="I5" s="3331" t="s">
        <v>1368</v>
      </c>
      <c r="J5" s="3332"/>
      <c r="K5" s="376"/>
      <c r="L5" s="377"/>
      <c r="M5" s="378"/>
      <c r="N5" s="378"/>
      <c r="O5" s="378"/>
      <c r="P5" s="3360"/>
      <c r="Q5" s="3361"/>
      <c r="R5" s="3366"/>
      <c r="S5" s="3367"/>
      <c r="T5" s="3366"/>
      <c r="U5" s="3367"/>
      <c r="V5" s="3341"/>
      <c r="W5" s="3341"/>
      <c r="X5" s="443"/>
      <c r="Y5" s="3366"/>
      <c r="Z5" s="3367"/>
      <c r="AA5" s="3352"/>
      <c r="AB5" s="3341"/>
      <c r="AC5" s="3352"/>
    </row>
    <row r="6" spans="1:29" ht="15">
      <c r="A6" s="218"/>
      <c r="B6" s="219"/>
      <c r="C6" s="3335" t="s">
        <v>928</v>
      </c>
      <c r="D6" s="3336"/>
      <c r="E6" s="3374" t="s">
        <v>928</v>
      </c>
      <c r="F6" s="3375"/>
      <c r="G6" s="3335" t="s">
        <v>928</v>
      </c>
      <c r="H6" s="3336"/>
      <c r="I6" s="3335" t="s">
        <v>928</v>
      </c>
      <c r="J6" s="3336"/>
      <c r="K6" s="376" t="s">
        <v>929</v>
      </c>
      <c r="L6" s="377"/>
      <c r="M6" s="378"/>
      <c r="N6" s="378"/>
      <c r="O6" s="378"/>
      <c r="P6" s="3362"/>
      <c r="Q6" s="3363"/>
      <c r="R6" s="3366"/>
      <c r="S6" s="3367"/>
      <c r="T6" s="3368"/>
      <c r="U6" s="3369"/>
      <c r="V6" s="3341"/>
      <c r="W6" s="3341"/>
      <c r="X6" s="443"/>
      <c r="Y6" s="3368"/>
      <c r="Z6" s="3369"/>
      <c r="AA6" s="3353"/>
      <c r="AB6" s="3341"/>
      <c r="AC6" s="3353"/>
    </row>
    <row r="7" spans="1:29" s="190" customFormat="1" ht="15">
      <c r="A7" s="220"/>
      <c r="B7" s="221" t="s">
        <v>930</v>
      </c>
      <c r="C7" s="222">
        <f>'数据-取费表'!B2</f>
        <v>43900</v>
      </c>
      <c r="D7" s="223">
        <v>100</v>
      </c>
      <c r="E7" s="224"/>
      <c r="F7" s="225">
        <f>SUMIF(58:58,YEAR(E7)&amp;"-"&amp;MONTH(E7),59:59)</f>
        <v>0</v>
      </c>
      <c r="G7" s="224"/>
      <c r="H7" s="223">
        <f>SUMIF(58:58,YEAR(G7)&amp;"-"&amp;MONTH(G7),59:59)</f>
        <v>0</v>
      </c>
      <c r="I7" s="224"/>
      <c r="J7" s="223">
        <f>SUMIF(58:58,YEAR(I7)&amp;"-"&amp;MONTH(I7),59:59)</f>
        <v>0</v>
      </c>
      <c r="K7" s="379"/>
      <c r="L7" s="380"/>
      <c r="M7" s="381"/>
      <c r="N7" s="381"/>
      <c r="O7" s="381"/>
      <c r="P7" s="3337" t="s">
        <v>931</v>
      </c>
      <c r="Q7" s="3338"/>
      <c r="R7" s="444" t="s">
        <v>932</v>
      </c>
      <c r="S7" s="445">
        <f t="shared" ref="S7:S15" si="0">F7</f>
        <v>0</v>
      </c>
      <c r="T7" s="444" t="s">
        <v>932</v>
      </c>
      <c r="U7" s="445">
        <f t="shared" ref="U7:U15" si="1">H7</f>
        <v>0</v>
      </c>
      <c r="V7" s="444" t="s">
        <v>932</v>
      </c>
      <c r="W7" s="445">
        <f t="shared" ref="W7:W15" si="2">J7</f>
        <v>0</v>
      </c>
      <c r="X7" s="446"/>
      <c r="Y7" s="3337" t="s">
        <v>931</v>
      </c>
      <c r="Z7" s="3339"/>
      <c r="AA7" s="463" t="e">
        <f>D7/F7</f>
        <v>#DIV/0!</v>
      </c>
      <c r="AB7" s="463" t="e">
        <f>D7/H7</f>
        <v>#DIV/0!</v>
      </c>
      <c r="AC7" s="463" t="e">
        <f>D7/J7</f>
        <v>#DIV/0!</v>
      </c>
    </row>
    <row r="8" spans="1:29" s="190" customFormat="1" ht="15">
      <c r="A8" s="227"/>
      <c r="B8" s="228" t="s">
        <v>933</v>
      </c>
      <c r="C8" s="229" t="s">
        <v>934</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7" t="s">
        <v>936</v>
      </c>
      <c r="Q8" s="3339"/>
      <c r="R8" s="444" t="s">
        <v>932</v>
      </c>
      <c r="S8" s="445">
        <f t="shared" si="0"/>
        <v>0</v>
      </c>
      <c r="T8" s="444" t="s">
        <v>932</v>
      </c>
      <c r="U8" s="445">
        <f t="shared" si="1"/>
        <v>0</v>
      </c>
      <c r="V8" s="444" t="s">
        <v>932</v>
      </c>
      <c r="W8" s="445">
        <f t="shared" si="2"/>
        <v>0</v>
      </c>
      <c r="X8" s="446"/>
      <c r="Y8" s="3337" t="s">
        <v>936</v>
      </c>
      <c r="Z8" s="3339"/>
      <c r="AA8" s="463" t="e">
        <f t="shared" ref="AA8:AA46" si="3">D8/F8</f>
        <v>#DIV/0!</v>
      </c>
      <c r="AB8" s="463" t="e">
        <f t="shared" ref="AB8:AB46" si="4">D8/H8</f>
        <v>#DIV/0!</v>
      </c>
      <c r="AC8" s="463" t="e">
        <f t="shared" ref="AC8:AC46" si="5">D8/J8</f>
        <v>#DIV/0!</v>
      </c>
    </row>
    <row r="9" spans="1:29" s="190" customFormat="1" ht="15">
      <c r="A9" s="230"/>
      <c r="B9" s="231" t="s">
        <v>937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0" t="s">
        <v>938</v>
      </c>
      <c r="Q9" s="447" t="str">
        <f t="shared" ref="Q9:Q15" si="6">B9</f>
        <v>用途</v>
      </c>
      <c r="R9" s="444" t="s">
        <v>932</v>
      </c>
      <c r="S9" s="445">
        <f t="shared" si="0"/>
        <v>100</v>
      </c>
      <c r="T9" s="444" t="s">
        <v>932</v>
      </c>
      <c r="U9" s="445">
        <f t="shared" si="1"/>
        <v>100</v>
      </c>
      <c r="V9" s="444" t="s">
        <v>932</v>
      </c>
      <c r="W9" s="445">
        <f t="shared" si="2"/>
        <v>100</v>
      </c>
      <c r="X9" s="446"/>
      <c r="Y9" s="3312"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0"/>
      <c r="Q11" s="447" t="str">
        <f t="shared" si="6"/>
        <v>容积率</v>
      </c>
      <c r="R11" s="444" t="s">
        <v>932</v>
      </c>
      <c r="S11" s="445" t="e">
        <f t="shared" si="0"/>
        <v>#N/A</v>
      </c>
      <c r="T11" s="444" t="s">
        <v>932</v>
      </c>
      <c r="U11" s="445" t="e">
        <f t="shared" si="1"/>
        <v>#N/A</v>
      </c>
      <c r="V11" s="444" t="s">
        <v>932</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0"/>
      <c r="Q14" s="447">
        <f t="shared" si="6"/>
        <v>111</v>
      </c>
      <c r="R14" s="444" t="s">
        <v>932</v>
      </c>
      <c r="S14" s="445">
        <f t="shared" si="0"/>
        <v>100</v>
      </c>
      <c r="T14" s="444" t="s">
        <v>932</v>
      </c>
      <c r="U14" s="445">
        <f t="shared" si="1"/>
        <v>100</v>
      </c>
      <c r="V14" s="444" t="s">
        <v>932</v>
      </c>
      <c r="W14" s="445">
        <f t="shared" si="2"/>
        <v>100</v>
      </c>
      <c r="X14" s="446"/>
      <c r="Y14" s="3312"/>
      <c r="Z14" s="464">
        <f t="shared" si="7"/>
        <v>111</v>
      </c>
      <c r="AA14" s="463">
        <f t="shared" si="3"/>
        <v>1</v>
      </c>
      <c r="AB14" s="463">
        <f t="shared" si="4"/>
        <v>1</v>
      </c>
      <c r="AC14" s="463">
        <f t="shared" si="5"/>
        <v>1</v>
      </c>
    </row>
    <row r="15" spans="1:29" ht="71.25">
      <c r="A15" s="248" t="s">
        <v>943</v>
      </c>
      <c r="B15" s="249" t="s">
        <v>226</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7" t="s">
        <v>944</v>
      </c>
      <c r="Q15" s="383" t="str">
        <f t="shared" si="6"/>
        <v>商业繁华度</v>
      </c>
      <c r="R15" s="448" t="s">
        <v>932</v>
      </c>
      <c r="S15" s="449">
        <f t="shared" si="0"/>
        <v>100</v>
      </c>
      <c r="T15" s="448" t="s">
        <v>932</v>
      </c>
      <c r="U15" s="449">
        <f t="shared" si="1"/>
        <v>100</v>
      </c>
      <c r="V15" s="448" t="s">
        <v>932</v>
      </c>
      <c r="W15" s="449">
        <f t="shared" si="2"/>
        <v>100</v>
      </c>
      <c r="X15" s="443"/>
      <c r="Y15" s="3347" t="s">
        <v>944</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8"/>
      <c r="Q17" s="383" t="str">
        <f>B17</f>
        <v>交通便捷度</v>
      </c>
      <c r="R17" s="448" t="s">
        <v>932</v>
      </c>
      <c r="S17" s="449">
        <f>F17</f>
        <v>100</v>
      </c>
      <c r="T17" s="448" t="s">
        <v>932</v>
      </c>
      <c r="U17" s="449">
        <f>H17</f>
        <v>100</v>
      </c>
      <c r="V17" s="448" t="s">
        <v>932</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8"/>
      <c r="Q19" s="383" t="str">
        <f>B19</f>
        <v>公共配套设施</v>
      </c>
      <c r="R19" s="448" t="s">
        <v>932</v>
      </c>
      <c r="S19" s="449">
        <f>F19</f>
        <v>100</v>
      </c>
      <c r="T19" s="448" t="s">
        <v>932</v>
      </c>
      <c r="U19" s="449">
        <f>H19</f>
        <v>100</v>
      </c>
      <c r="V19" s="448" t="s">
        <v>932</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8"/>
      <c r="Q21" s="383" t="str">
        <f>B21</f>
        <v>基础设施水平</v>
      </c>
      <c r="R21" s="448" t="s">
        <v>932</v>
      </c>
      <c r="S21" s="449">
        <f>F21</f>
        <v>100</v>
      </c>
      <c r="T21" s="448" t="s">
        <v>932</v>
      </c>
      <c r="U21" s="449">
        <f>H21</f>
        <v>100</v>
      </c>
      <c r="V21" s="448" t="s">
        <v>932</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57">
      <c r="A23" s="255"/>
      <c r="B23" s="274" t="s">
        <v>2478</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8"/>
      <c r="Q23" s="383" t="str">
        <f>B23</f>
        <v>自然及人文环境</v>
      </c>
      <c r="R23" s="448" t="s">
        <v>932</v>
      </c>
      <c r="S23" s="449">
        <f>F23</f>
        <v>100</v>
      </c>
      <c r="T23" s="448" t="s">
        <v>932</v>
      </c>
      <c r="U23" s="449">
        <f>H23</f>
        <v>100</v>
      </c>
      <c r="V23" s="448" t="s">
        <v>932</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289" t="s">
        <v>234</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8"/>
      <c r="Q25" s="383" t="str">
        <f t="shared" ref="Q25:Q46" si="11">B25</f>
        <v>临街状况</v>
      </c>
      <c r="R25" s="448" t="s">
        <v>932</v>
      </c>
      <c r="S25" s="449">
        <f>F25</f>
        <v>100</v>
      </c>
      <c r="T25" s="448" t="s">
        <v>932</v>
      </c>
      <c r="U25" s="449">
        <f>H25</f>
        <v>100</v>
      </c>
      <c r="V25" s="448" t="s">
        <v>932</v>
      </c>
      <c r="W25" s="449">
        <f>J25</f>
        <v>100</v>
      </c>
      <c r="X25" s="443"/>
      <c r="Y25" s="3348"/>
      <c r="Z25" s="442" t="str">
        <f>Q25</f>
        <v>临街状况</v>
      </c>
      <c r="AA25" s="454">
        <f t="shared" si="3"/>
        <v>1</v>
      </c>
      <c r="AB25" s="454">
        <f t="shared" si="4"/>
        <v>1</v>
      </c>
      <c r="AC25" s="454">
        <f t="shared" si="5"/>
        <v>1</v>
      </c>
    </row>
    <row r="26" spans="1:29" ht="15">
      <c r="A26" s="255"/>
      <c r="B26" s="539" t="s">
        <v>2521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8"/>
      <c r="Q26" s="383" t="str">
        <f t="shared" si="11"/>
        <v>平面位置/可视性</v>
      </c>
      <c r="R26" s="448" t="s">
        <v>932</v>
      </c>
      <c r="S26" s="449">
        <f>F26</f>
        <v>100</v>
      </c>
      <c r="T26" s="448" t="s">
        <v>932</v>
      </c>
      <c r="U26" s="449">
        <f>H26</f>
        <v>100</v>
      </c>
      <c r="V26" s="448" t="s">
        <v>932</v>
      </c>
      <c r="W26" s="449">
        <f>J26</f>
        <v>100</v>
      </c>
      <c r="X26" s="443"/>
      <c r="Y26" s="3348"/>
      <c r="Z26" s="442" t="str">
        <f>Q26</f>
        <v>平面位置/可视性</v>
      </c>
      <c r="AA26" s="454">
        <f t="shared" si="3"/>
        <v>1</v>
      </c>
      <c r="AB26" s="454">
        <f t="shared" si="4"/>
        <v>1</v>
      </c>
      <c r="AC26" s="454">
        <f t="shared" si="5"/>
        <v>1</v>
      </c>
    </row>
    <row r="27" spans="1:29" s="190" customFormat="1" ht="15">
      <c r="A27" s="279"/>
      <c r="B27" s="274" t="s">
        <v>2522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8"/>
      <c r="Q27" s="447" t="str">
        <f t="shared" si="11"/>
        <v>人流量</v>
      </c>
      <c r="R27" s="444" t="s">
        <v>932</v>
      </c>
      <c r="S27" s="445">
        <f>F27</f>
        <v>100</v>
      </c>
      <c r="T27" s="444" t="s">
        <v>932</v>
      </c>
      <c r="U27" s="445">
        <f>H27</f>
        <v>100</v>
      </c>
      <c r="V27" s="444" t="s">
        <v>932</v>
      </c>
      <c r="W27" s="445">
        <f>J27</f>
        <v>100</v>
      </c>
      <c r="X27" s="446"/>
      <c r="Y27" s="3348"/>
      <c r="Z27" s="464" t="str">
        <f>Q27</f>
        <v>人流量</v>
      </c>
      <c r="AA27" s="454">
        <f t="shared" si="3"/>
        <v>1</v>
      </c>
      <c r="AB27" s="454">
        <f t="shared" si="4"/>
        <v>1</v>
      </c>
      <c r="AC27" s="454">
        <f t="shared" si="5"/>
        <v>1</v>
      </c>
    </row>
    <row r="28" spans="1:29" ht="15">
      <c r="A28" s="255"/>
      <c r="B28" s="289" t="s">
        <v>2523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8"/>
      <c r="Q28" s="383" t="str">
        <f t="shared" si="11"/>
        <v>楼层</v>
      </c>
      <c r="R28" s="448" t="s">
        <v>932</v>
      </c>
      <c r="S28" s="449">
        <f t="shared" ref="S28:S46" si="12">F28</f>
        <v>100</v>
      </c>
      <c r="T28" s="448" t="s">
        <v>932</v>
      </c>
      <c r="U28" s="449">
        <f t="shared" ref="U28:U46" si="13">H28</f>
        <v>100</v>
      </c>
      <c r="V28" s="448" t="s">
        <v>932</v>
      </c>
      <c r="W28" s="449">
        <f t="shared" ref="W28:W46" si="14">J28</f>
        <v>100</v>
      </c>
      <c r="X28" s="443"/>
      <c r="Y28" s="3348"/>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8"/>
      <c r="Q29" s="383">
        <f t="shared" si="11"/>
        <v>111</v>
      </c>
      <c r="R29" s="448" t="s">
        <v>932</v>
      </c>
      <c r="S29" s="449">
        <f t="shared" si="12"/>
        <v>100</v>
      </c>
      <c r="T29" s="448" t="s">
        <v>932</v>
      </c>
      <c r="U29" s="449">
        <f t="shared" si="13"/>
        <v>100</v>
      </c>
      <c r="V29" s="448" t="s">
        <v>932</v>
      </c>
      <c r="W29" s="449">
        <f t="shared" si="14"/>
        <v>100</v>
      </c>
      <c r="X29" s="443"/>
      <c r="Y29" s="3348"/>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8"/>
      <c r="Q30" s="383">
        <f t="shared" si="11"/>
        <v>111</v>
      </c>
      <c r="R30" s="448" t="s">
        <v>932</v>
      </c>
      <c r="S30" s="449">
        <f t="shared" si="12"/>
        <v>100</v>
      </c>
      <c r="T30" s="448" t="s">
        <v>932</v>
      </c>
      <c r="U30" s="449">
        <f t="shared" si="13"/>
        <v>100</v>
      </c>
      <c r="V30" s="448" t="s">
        <v>932</v>
      </c>
      <c r="W30" s="449">
        <f t="shared" si="14"/>
        <v>100</v>
      </c>
      <c r="X30" s="443"/>
      <c r="Y30" s="3348"/>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8"/>
      <c r="Q31" s="383">
        <f t="shared" si="11"/>
        <v>111</v>
      </c>
      <c r="R31" s="448" t="s">
        <v>932</v>
      </c>
      <c r="S31" s="449">
        <f t="shared" si="12"/>
        <v>100</v>
      </c>
      <c r="T31" s="448" t="s">
        <v>932</v>
      </c>
      <c r="U31" s="449">
        <f t="shared" si="13"/>
        <v>100</v>
      </c>
      <c r="V31" s="448" t="s">
        <v>932</v>
      </c>
      <c r="W31" s="449">
        <f t="shared" si="14"/>
        <v>100</v>
      </c>
      <c r="X31" s="443"/>
      <c r="Y31" s="3348"/>
      <c r="Z31" s="442">
        <f t="shared" si="15"/>
        <v>111</v>
      </c>
      <c r="AA31" s="454">
        <f t="shared" si="3"/>
        <v>1</v>
      </c>
      <c r="AB31" s="454">
        <f t="shared" si="4"/>
        <v>1</v>
      </c>
      <c r="AC31" s="454">
        <f t="shared" si="5"/>
        <v>1</v>
      </c>
    </row>
    <row r="32" spans="1:29" ht="15">
      <c r="A32" s="283" t="s">
        <v>951</v>
      </c>
      <c r="B32" s="284" t="s">
        <v>2524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9" t="s">
        <v>950</v>
      </c>
      <c r="Q32" s="383" t="str">
        <f t="shared" si="11"/>
        <v>商业类型</v>
      </c>
      <c r="R32" s="448" t="s">
        <v>932</v>
      </c>
      <c r="S32" s="449">
        <f t="shared" si="12"/>
        <v>100</v>
      </c>
      <c r="T32" s="448" t="s">
        <v>932</v>
      </c>
      <c r="U32" s="449">
        <f t="shared" si="13"/>
        <v>100</v>
      </c>
      <c r="V32" s="448" t="s">
        <v>932</v>
      </c>
      <c r="W32" s="449">
        <f t="shared" si="14"/>
        <v>100</v>
      </c>
      <c r="X32" s="443"/>
      <c r="Y32" s="3350" t="s">
        <v>950</v>
      </c>
      <c r="Z32" s="442" t="str">
        <f t="shared" si="15"/>
        <v>商业类型</v>
      </c>
      <c r="AA32" s="454">
        <f t="shared" si="3"/>
        <v>1</v>
      </c>
      <c r="AB32" s="454">
        <f t="shared" si="4"/>
        <v>1</v>
      </c>
      <c r="AC32" s="454">
        <f t="shared" si="5"/>
        <v>1</v>
      </c>
    </row>
    <row r="33" spans="1:29" s="192" customFormat="1" ht="15">
      <c r="A33" s="288"/>
      <c r="B33" s="289" t="s">
        <v>2483</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0"/>
      <c r="Q33" s="450" t="str">
        <f t="shared" si="11"/>
        <v>项目建筑规模</v>
      </c>
      <c r="R33" s="451" t="s">
        <v>932</v>
      </c>
      <c r="S33" s="452" t="e">
        <f t="shared" si="12"/>
        <v>#N/A</v>
      </c>
      <c r="T33" s="451" t="s">
        <v>932</v>
      </c>
      <c r="U33" s="452" t="e">
        <f t="shared" si="13"/>
        <v>#N/A</v>
      </c>
      <c r="V33" s="451" t="s">
        <v>932</v>
      </c>
      <c r="W33" s="452" t="e">
        <f t="shared" si="14"/>
        <v>#N/A</v>
      </c>
      <c r="X33" s="453"/>
      <c r="Y33" s="3350"/>
      <c r="Z33" s="465" t="str">
        <f t="shared" si="15"/>
        <v>项目建筑规模</v>
      </c>
      <c r="AA33" s="454" t="e">
        <f t="shared" si="3"/>
        <v>#N/A</v>
      </c>
      <c r="AB33" s="454" t="e">
        <f t="shared" si="4"/>
        <v>#N/A</v>
      </c>
      <c r="AC33" s="454" t="e">
        <f t="shared" si="5"/>
        <v>#N/A</v>
      </c>
    </row>
    <row r="34" spans="1:29" ht="15">
      <c r="A34" s="293"/>
      <c r="B34" s="289" t="s">
        <v>2484</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0"/>
      <c r="Q34" s="383" t="str">
        <f t="shared" si="11"/>
        <v>建筑结构</v>
      </c>
      <c r="R34" s="448" t="s">
        <v>932</v>
      </c>
      <c r="S34" s="449">
        <f t="shared" si="12"/>
        <v>100</v>
      </c>
      <c r="T34" s="448" t="s">
        <v>932</v>
      </c>
      <c r="U34" s="449">
        <f t="shared" si="13"/>
        <v>100</v>
      </c>
      <c r="V34" s="448" t="s">
        <v>932</v>
      </c>
      <c r="W34" s="449">
        <f t="shared" si="14"/>
        <v>100</v>
      </c>
      <c r="X34" s="443"/>
      <c r="Y34" s="3350"/>
      <c r="Z34" s="442" t="str">
        <f t="shared" si="15"/>
        <v>建筑结构</v>
      </c>
      <c r="AA34" s="454">
        <f t="shared" si="3"/>
        <v>1</v>
      </c>
      <c r="AB34" s="454">
        <f t="shared" si="4"/>
        <v>1</v>
      </c>
      <c r="AC34" s="454">
        <f t="shared" si="5"/>
        <v>1</v>
      </c>
    </row>
    <row r="35" spans="1:29" ht="15">
      <c r="A35" s="293"/>
      <c r="B35" s="289" t="s">
        <v>2486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0"/>
      <c r="Q35" s="383" t="str">
        <f t="shared" si="11"/>
        <v>公共部分装修</v>
      </c>
      <c r="R35" s="448" t="s">
        <v>932</v>
      </c>
      <c r="S35" s="449">
        <f t="shared" si="12"/>
        <v>100</v>
      </c>
      <c r="T35" s="448" t="s">
        <v>932</v>
      </c>
      <c r="U35" s="449">
        <f t="shared" si="13"/>
        <v>100</v>
      </c>
      <c r="V35" s="448" t="s">
        <v>932</v>
      </c>
      <c r="W35" s="449">
        <f t="shared" si="14"/>
        <v>100</v>
      </c>
      <c r="X35" s="443"/>
      <c r="Y35" s="3350"/>
      <c r="Z35" s="442" t="str">
        <f t="shared" si="15"/>
        <v>公共部分装修</v>
      </c>
      <c r="AA35" s="454">
        <f t="shared" si="3"/>
        <v>1</v>
      </c>
      <c r="AB35" s="454">
        <f t="shared" si="4"/>
        <v>1</v>
      </c>
      <c r="AC35" s="454">
        <f t="shared" si="5"/>
        <v>1</v>
      </c>
    </row>
    <row r="36" spans="1:29" ht="15">
      <c r="A36" s="293"/>
      <c r="B36" s="289" t="s">
        <v>2487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0"/>
      <c r="Q36" s="383" t="str">
        <f t="shared" si="11"/>
        <v>成新度</v>
      </c>
      <c r="R36" s="448" t="s">
        <v>932</v>
      </c>
      <c r="S36" s="449" t="e">
        <f t="shared" si="12"/>
        <v>#N/A</v>
      </c>
      <c r="T36" s="448" t="s">
        <v>932</v>
      </c>
      <c r="U36" s="449" t="e">
        <f t="shared" si="13"/>
        <v>#N/A</v>
      </c>
      <c r="V36" s="448" t="s">
        <v>932</v>
      </c>
      <c r="W36" s="449" t="e">
        <f t="shared" si="14"/>
        <v>#N/A</v>
      </c>
      <c r="X36" s="443"/>
      <c r="Y36" s="3350"/>
      <c r="Z36" s="442" t="str">
        <f t="shared" si="15"/>
        <v>成新度</v>
      </c>
      <c r="AA36" s="454" t="e">
        <f t="shared" si="3"/>
        <v>#N/A</v>
      </c>
      <c r="AB36" s="454" t="e">
        <f t="shared" si="4"/>
        <v>#N/A</v>
      </c>
      <c r="AC36" s="454" t="e">
        <f t="shared" si="5"/>
        <v>#N/A</v>
      </c>
    </row>
    <row r="37" spans="1:29" s="190" customFormat="1" ht="15">
      <c r="A37" s="296"/>
      <c r="B37" s="544" t="s">
        <v>2489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0"/>
      <c r="Q37" s="447" t="str">
        <f t="shared" si="11"/>
        <v>市政基础设施</v>
      </c>
      <c r="R37" s="444" t="s">
        <v>932</v>
      </c>
      <c r="S37" s="445">
        <f t="shared" si="12"/>
        <v>100</v>
      </c>
      <c r="T37" s="444" t="s">
        <v>932</v>
      </c>
      <c r="U37" s="445">
        <f t="shared" si="13"/>
        <v>100</v>
      </c>
      <c r="V37" s="444" t="s">
        <v>932</v>
      </c>
      <c r="W37" s="445">
        <f t="shared" si="14"/>
        <v>100</v>
      </c>
      <c r="X37" s="446"/>
      <c r="Y37" s="3350"/>
      <c r="Z37" s="464" t="str">
        <f t="shared" si="15"/>
        <v>市政基础设施</v>
      </c>
      <c r="AA37" s="463">
        <f t="shared" si="3"/>
        <v>1</v>
      </c>
      <c r="AB37" s="463">
        <f t="shared" si="4"/>
        <v>1</v>
      </c>
      <c r="AC37" s="463">
        <f t="shared" si="5"/>
        <v>1</v>
      </c>
    </row>
    <row r="38" spans="1:29" ht="15">
      <c r="A38" s="293"/>
      <c r="B38" s="289" t="s">
        <v>2525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0" t="s">
        <v>950</v>
      </c>
      <c r="Q38" s="383" t="str">
        <f t="shared" si="11"/>
        <v>业态</v>
      </c>
      <c r="R38" s="448" t="s">
        <v>932</v>
      </c>
      <c r="S38" s="449">
        <f t="shared" si="12"/>
        <v>100</v>
      </c>
      <c r="T38" s="448" t="s">
        <v>932</v>
      </c>
      <c r="U38" s="449">
        <f t="shared" si="13"/>
        <v>100</v>
      </c>
      <c r="V38" s="448" t="s">
        <v>932</v>
      </c>
      <c r="W38" s="449">
        <f t="shared" si="14"/>
        <v>100</v>
      </c>
      <c r="X38" s="443"/>
      <c r="Y38" s="3350" t="s">
        <v>950</v>
      </c>
      <c r="Z38" s="442" t="str">
        <f t="shared" si="15"/>
        <v>业态</v>
      </c>
      <c r="AA38" s="454">
        <f t="shared" si="3"/>
        <v>1</v>
      </c>
      <c r="AB38" s="454">
        <f t="shared" si="4"/>
        <v>1</v>
      </c>
      <c r="AC38" s="454">
        <f t="shared" si="5"/>
        <v>1</v>
      </c>
    </row>
    <row r="39" spans="1:29" ht="15">
      <c r="A39" s="293"/>
      <c r="B39" s="289" t="s">
        <v>2526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c r="Q39" s="383" t="str">
        <f t="shared" si="11"/>
        <v>层高</v>
      </c>
      <c r="R39" s="448" t="s">
        <v>932</v>
      </c>
      <c r="S39" s="449">
        <f t="shared" si="12"/>
        <v>100</v>
      </c>
      <c r="T39" s="448" t="s">
        <v>932</v>
      </c>
      <c r="U39" s="449">
        <f t="shared" si="13"/>
        <v>100</v>
      </c>
      <c r="V39" s="448" t="s">
        <v>932</v>
      </c>
      <c r="W39" s="449">
        <f t="shared" si="14"/>
        <v>100</v>
      </c>
      <c r="X39" s="443"/>
      <c r="Y39" s="3350"/>
      <c r="Z39" s="442" t="str">
        <f t="shared" si="15"/>
        <v>层高</v>
      </c>
      <c r="AA39" s="454">
        <f t="shared" si="3"/>
        <v>1</v>
      </c>
      <c r="AB39" s="454">
        <f t="shared" si="4"/>
        <v>1</v>
      </c>
      <c r="AC39" s="454">
        <f t="shared" si="5"/>
        <v>1</v>
      </c>
    </row>
    <row r="40" spans="1:29" ht="15">
      <c r="A40" s="293"/>
      <c r="B40" s="289" t="s">
        <v>2527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0"/>
      <c r="Q40" s="383" t="str">
        <f t="shared" si="11"/>
        <v>单套建筑面积</v>
      </c>
      <c r="R40" s="448" t="s">
        <v>932</v>
      </c>
      <c r="S40" s="449">
        <f t="shared" si="12"/>
        <v>100</v>
      </c>
      <c r="T40" s="448" t="s">
        <v>932</v>
      </c>
      <c r="U40" s="449">
        <f t="shared" si="13"/>
        <v>100</v>
      </c>
      <c r="V40" s="448" t="s">
        <v>932</v>
      </c>
      <c r="W40" s="449">
        <f t="shared" si="14"/>
        <v>100</v>
      </c>
      <c r="X40" s="443"/>
      <c r="Y40" s="3350"/>
      <c r="Z40" s="442" t="str">
        <f t="shared" si="15"/>
        <v>单套建筑面积</v>
      </c>
      <c r="AA40" s="454">
        <f t="shared" si="3"/>
        <v>1</v>
      </c>
      <c r="AB40" s="454">
        <f t="shared" si="4"/>
        <v>1</v>
      </c>
      <c r="AC40" s="454">
        <f t="shared" si="5"/>
        <v>1</v>
      </c>
    </row>
    <row r="41" spans="1:29" s="192" customFormat="1" ht="15">
      <c r="A41" s="288"/>
      <c r="B41" s="401" t="s">
        <v>2528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0"/>
      <c r="Q41" s="450" t="str">
        <f t="shared" si="11"/>
        <v>进深比</v>
      </c>
      <c r="R41" s="451" t="s">
        <v>932</v>
      </c>
      <c r="S41" s="452">
        <f t="shared" si="12"/>
        <v>100</v>
      </c>
      <c r="T41" s="451" t="s">
        <v>932</v>
      </c>
      <c r="U41" s="452">
        <f t="shared" si="13"/>
        <v>100</v>
      </c>
      <c r="V41" s="451" t="s">
        <v>932</v>
      </c>
      <c r="W41" s="452">
        <f t="shared" si="14"/>
        <v>100</v>
      </c>
      <c r="X41" s="453"/>
      <c r="Y41" s="3350"/>
      <c r="Z41" s="465" t="str">
        <f t="shared" si="15"/>
        <v>进深比</v>
      </c>
      <c r="AA41" s="454">
        <f t="shared" si="3"/>
        <v>1</v>
      </c>
      <c r="AB41" s="454">
        <f t="shared" si="4"/>
        <v>1</v>
      </c>
      <c r="AC41" s="454">
        <f t="shared" si="5"/>
        <v>1</v>
      </c>
    </row>
    <row r="42" spans="1:29" ht="15">
      <c r="A42" s="293"/>
      <c r="B42" s="289" t="s">
        <v>2492</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0"/>
      <c r="Q42" s="383" t="str">
        <f t="shared" si="11"/>
        <v>内部装修</v>
      </c>
      <c r="R42" s="448" t="s">
        <v>932</v>
      </c>
      <c r="S42" s="449">
        <f t="shared" si="12"/>
        <v>100</v>
      </c>
      <c r="T42" s="448" t="s">
        <v>932</v>
      </c>
      <c r="U42" s="449">
        <f t="shared" si="13"/>
        <v>100</v>
      </c>
      <c r="V42" s="448" t="s">
        <v>932</v>
      </c>
      <c r="W42" s="449">
        <f t="shared" si="14"/>
        <v>100</v>
      </c>
      <c r="X42" s="443"/>
      <c r="Y42" s="3350"/>
      <c r="Z42" s="442" t="str">
        <f t="shared" si="15"/>
        <v>内部装修</v>
      </c>
      <c r="AA42" s="454">
        <f t="shared" si="3"/>
        <v>1</v>
      </c>
      <c r="AB42" s="454">
        <f t="shared" si="4"/>
        <v>1</v>
      </c>
      <c r="AC42" s="454">
        <f t="shared" si="5"/>
        <v>1</v>
      </c>
    </row>
    <row r="43" spans="1:29" ht="27">
      <c r="A43" s="293"/>
      <c r="B43" s="289" t="s">
        <v>235</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0"/>
      <c r="Q43" s="383" t="str">
        <f t="shared" si="11"/>
        <v>内部装修维护情况</v>
      </c>
      <c r="R43" s="448" t="s">
        <v>932</v>
      </c>
      <c r="S43" s="449">
        <f t="shared" si="12"/>
        <v>100</v>
      </c>
      <c r="T43" s="448" t="s">
        <v>932</v>
      </c>
      <c r="U43" s="449">
        <f t="shared" si="13"/>
        <v>100</v>
      </c>
      <c r="V43" s="448" t="s">
        <v>932</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0"/>
      <c r="Q44" s="447">
        <f t="shared" si="11"/>
        <v>111</v>
      </c>
      <c r="R44" s="444" t="s">
        <v>932</v>
      </c>
      <c r="S44" s="445">
        <f t="shared" si="12"/>
        <v>100</v>
      </c>
      <c r="T44" s="444" t="s">
        <v>932</v>
      </c>
      <c r="U44" s="445">
        <f t="shared" si="13"/>
        <v>100</v>
      </c>
      <c r="V44" s="444" t="s">
        <v>932</v>
      </c>
      <c r="W44" s="445">
        <f t="shared" si="14"/>
        <v>100</v>
      </c>
      <c r="X44" s="446"/>
      <c r="Y44" s="3350"/>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0"/>
      <c r="Q45" s="383">
        <f t="shared" si="11"/>
        <v>111</v>
      </c>
      <c r="R45" s="448" t="s">
        <v>932</v>
      </c>
      <c r="S45" s="449">
        <f t="shared" si="12"/>
        <v>100</v>
      </c>
      <c r="T45" s="448" t="s">
        <v>932</v>
      </c>
      <c r="U45" s="449">
        <f t="shared" si="13"/>
        <v>100</v>
      </c>
      <c r="V45" s="448" t="s">
        <v>932</v>
      </c>
      <c r="W45" s="449">
        <f t="shared" si="14"/>
        <v>100</v>
      </c>
      <c r="X45" s="443"/>
      <c r="Y45" s="3350"/>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0"/>
      <c r="Q46" s="383">
        <f t="shared" si="11"/>
        <v>111</v>
      </c>
      <c r="R46" s="448" t="s">
        <v>932</v>
      </c>
      <c r="S46" s="449">
        <f t="shared" si="12"/>
        <v>100</v>
      </c>
      <c r="T46" s="448" t="s">
        <v>932</v>
      </c>
      <c r="U46" s="449">
        <f t="shared" si="13"/>
        <v>100</v>
      </c>
      <c r="V46" s="448" t="s">
        <v>932</v>
      </c>
      <c r="W46" s="449">
        <f t="shared" si="14"/>
        <v>100</v>
      </c>
      <c r="X46" s="443"/>
      <c r="Y46" s="3450"/>
      <c r="Z46" s="442">
        <f t="shared" si="15"/>
        <v>111</v>
      </c>
      <c r="AA46" s="454">
        <f t="shared" si="3"/>
        <v>1</v>
      </c>
      <c r="AB46" s="454">
        <f t="shared" si="4"/>
        <v>1</v>
      </c>
      <c r="AC46" s="454">
        <f t="shared" si="5"/>
        <v>1</v>
      </c>
    </row>
    <row r="47" spans="1:29" ht="15">
      <c r="A47" s="303" t="s">
        <v>2493</v>
      </c>
      <c r="B47" s="304"/>
      <c r="C47" s="305" t="s">
        <v>138</v>
      </c>
      <c r="D47" s="306"/>
      <c r="E47" s="307"/>
      <c r="F47" s="308"/>
      <c r="G47" s="309"/>
      <c r="H47" s="310"/>
      <c r="I47" s="307"/>
      <c r="J47" s="310"/>
      <c r="K47" s="397"/>
      <c r="L47" s="398"/>
      <c r="M47" s="319"/>
      <c r="N47" s="378"/>
      <c r="O47" s="319"/>
      <c r="P47" s="3340" t="str">
        <f>A47</f>
        <v>成交单价（元/平方米）</v>
      </c>
      <c r="Q47" s="3340"/>
      <c r="R47" s="3448">
        <f>E47</f>
        <v>0</v>
      </c>
      <c r="S47" s="3448"/>
      <c r="T47" s="3448">
        <f>G47</f>
        <v>0</v>
      </c>
      <c r="U47" s="3448"/>
      <c r="V47" s="3448">
        <f>I47</f>
        <v>0</v>
      </c>
      <c r="W47" s="3448"/>
      <c r="X47" s="330"/>
      <c r="Y47" s="466"/>
      <c r="Z47" s="330"/>
      <c r="AA47" s="330"/>
      <c r="AB47" s="330"/>
      <c r="AC47" s="330"/>
    </row>
    <row r="48" spans="1:29" ht="15">
      <c r="A48" s="311" t="s">
        <v>959</v>
      </c>
      <c r="B48" s="312"/>
      <c r="C48" s="313" t="e">
        <f>R49</f>
        <v>#DIV/0!</v>
      </c>
      <c r="D48" s="314"/>
      <c r="E48" s="315" t="e">
        <f>R48</f>
        <v>#DIV/0!</v>
      </c>
      <c r="F48" s="315"/>
      <c r="G48" s="313" t="e">
        <f>T48</f>
        <v>#DIV/0!</v>
      </c>
      <c r="H48" s="314"/>
      <c r="I48" s="315" t="e">
        <f>V48</f>
        <v>#DIV/0!</v>
      </c>
      <c r="J48" s="314"/>
      <c r="K48" s="399"/>
      <c r="L48" s="398"/>
      <c r="M48" s="319"/>
      <c r="N48" s="378"/>
      <c r="O48" s="319"/>
      <c r="P48" s="3340" t="str">
        <f>A48</f>
        <v>比较价格（元/平方米）</v>
      </c>
      <c r="Q48" s="3340"/>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30"/>
      <c r="Y48" s="330"/>
      <c r="Z48" s="330"/>
      <c r="AA48" s="330"/>
      <c r="AB48" s="330"/>
      <c r="AC48" s="330"/>
    </row>
    <row r="49" spans="1:29" ht="15">
      <c r="A49" s="316" t="s">
        <v>960</v>
      </c>
      <c r="B49" s="317"/>
      <c r="C49" s="318" t="e">
        <f>R49</f>
        <v>#DIV/0!</v>
      </c>
      <c r="D49" s="318"/>
      <c r="E49" s="318"/>
      <c r="F49" s="318"/>
      <c r="G49" s="318"/>
      <c r="H49" s="318"/>
      <c r="I49" s="318"/>
      <c r="J49" s="318"/>
      <c r="K49" s="400"/>
      <c r="L49" s="398"/>
      <c r="M49" s="319"/>
      <c r="N49" s="378"/>
      <c r="O49" s="319"/>
      <c r="P49" s="3343" t="str">
        <f>A49</f>
        <v>估价对象XX用房的比较价格（楼面单价，元/平方米）</v>
      </c>
      <c r="Q49" s="3344"/>
      <c r="R49" s="3449" t="e">
        <f>IF(F1="售价",ROUND(AVERAGE(R48:V48),0),ROUND(AVERAGE(R48:V48),1))</f>
        <v>#DIV/0!</v>
      </c>
      <c r="S49" s="3449"/>
      <c r="T49" s="3449"/>
      <c r="U49" s="3449"/>
      <c r="V49" s="3449"/>
      <c r="W49" s="344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985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930</v>
      </c>
      <c r="B58" s="334"/>
      <c r="C58" s="335"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1371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933</v>
      </c>
      <c r="B61" s="338"/>
      <c r="C61" s="346" t="s">
        <v>934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989</v>
      </c>
      <c r="B63" s="349" t="s">
        <v>990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991</v>
      </c>
      <c r="C65" s="356" t="s">
        <v>2494</v>
      </c>
      <c r="D65" s="356" t="s">
        <v>2495</v>
      </c>
      <c r="E65" s="356" t="s">
        <v>2496</v>
      </c>
      <c r="F65" s="356" t="s">
        <v>2497</v>
      </c>
      <c r="G65" s="356" t="s">
        <v>2498</v>
      </c>
      <c r="H65" s="356" t="s">
        <v>2499</v>
      </c>
      <c r="I65" s="356" t="s">
        <v>2500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984</v>
      </c>
      <c r="D66" s="358" t="s">
        <v>984</v>
      </c>
      <c r="E66" s="358" t="s">
        <v>984</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2478</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998</v>
      </c>
      <c r="B100" s="349" t="s">
        <v>2524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2483</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2484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2486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2487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2489</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2525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2526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2527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2529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2492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529" t="s">
        <v>2530</v>
      </c>
      <c r="C1" s="200" t="s">
        <v>2475</v>
      </c>
      <c r="D1" s="201"/>
      <c r="E1" s="202"/>
      <c r="F1" s="203"/>
      <c r="G1" s="204" t="s">
        <v>2476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2349</v>
      </c>
      <c r="B3" s="211" t="e">
        <f>C50</f>
        <v>#DIV/0!</v>
      </c>
      <c r="C3" s="212" t="s">
        <v>2477</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920</v>
      </c>
      <c r="B4" s="215"/>
      <c r="C4" s="3329" t="s">
        <v>921</v>
      </c>
      <c r="D4" s="3330"/>
      <c r="E4" s="3370" t="s">
        <v>922</v>
      </c>
      <c r="F4" s="3371"/>
      <c r="G4" s="3329" t="s">
        <v>923</v>
      </c>
      <c r="H4" s="3330"/>
      <c r="I4" s="3329" t="s">
        <v>924</v>
      </c>
      <c r="J4" s="3330"/>
      <c r="K4" s="376" t="s">
        <v>925</v>
      </c>
      <c r="L4" s="377"/>
      <c r="M4" s="378"/>
      <c r="N4" s="378"/>
      <c r="O4" s="378"/>
      <c r="P4" s="3452" t="s">
        <v>926</v>
      </c>
      <c r="Q4" s="3359"/>
      <c r="R4" s="3364" t="s">
        <v>922</v>
      </c>
      <c r="S4" s="3365"/>
      <c r="T4" s="3364" t="s">
        <v>923</v>
      </c>
      <c r="U4" s="3365"/>
      <c r="V4" s="3341" t="s">
        <v>924</v>
      </c>
      <c r="W4" s="3341"/>
      <c r="X4" s="443"/>
      <c r="Y4" s="3364" t="s">
        <v>926</v>
      </c>
      <c r="Z4" s="3365"/>
      <c r="AA4" s="3351" t="s">
        <v>922</v>
      </c>
      <c r="AB4" s="3351" t="s">
        <v>923</v>
      </c>
      <c r="AC4" s="3351" t="s">
        <v>924</v>
      </c>
    </row>
    <row r="5" spans="1:29" ht="15">
      <c r="A5" s="216"/>
      <c r="B5" s="217"/>
      <c r="C5" s="3331" t="s">
        <v>927</v>
      </c>
      <c r="D5" s="3332"/>
      <c r="E5" s="3372" t="s">
        <v>1366</v>
      </c>
      <c r="F5" s="3373"/>
      <c r="G5" s="3331" t="s">
        <v>1367</v>
      </c>
      <c r="H5" s="3332"/>
      <c r="I5" s="3331" t="s">
        <v>1368</v>
      </c>
      <c r="J5" s="3332"/>
      <c r="K5" s="376"/>
      <c r="L5" s="377"/>
      <c r="M5" s="378"/>
      <c r="N5" s="378"/>
      <c r="O5" s="378"/>
      <c r="P5" s="3453"/>
      <c r="Q5" s="3361"/>
      <c r="R5" s="3366"/>
      <c r="S5" s="3367"/>
      <c r="T5" s="3366"/>
      <c r="U5" s="3367"/>
      <c r="V5" s="3341"/>
      <c r="W5" s="3341"/>
      <c r="X5" s="443"/>
      <c r="Y5" s="3366"/>
      <c r="Z5" s="3367"/>
      <c r="AA5" s="3352"/>
      <c r="AB5" s="3352"/>
      <c r="AC5" s="3352"/>
    </row>
    <row r="6" spans="1:29" ht="15">
      <c r="A6" s="218"/>
      <c r="B6" s="219"/>
      <c r="C6" s="3335" t="s">
        <v>928</v>
      </c>
      <c r="D6" s="3336"/>
      <c r="E6" s="3374" t="s">
        <v>928</v>
      </c>
      <c r="F6" s="3375"/>
      <c r="G6" s="3335" t="s">
        <v>928</v>
      </c>
      <c r="H6" s="3336"/>
      <c r="I6" s="3335" t="s">
        <v>928</v>
      </c>
      <c r="J6" s="3336"/>
      <c r="K6" s="376" t="s">
        <v>929</v>
      </c>
      <c r="L6" s="377"/>
      <c r="M6" s="378"/>
      <c r="N6" s="378"/>
      <c r="O6" s="378"/>
      <c r="P6" s="3454"/>
      <c r="Q6" s="3363"/>
      <c r="R6" s="3366"/>
      <c r="S6" s="3367"/>
      <c r="T6" s="3368"/>
      <c r="U6" s="3369"/>
      <c r="V6" s="3341"/>
      <c r="W6" s="3341"/>
      <c r="X6" s="443"/>
      <c r="Y6" s="3368"/>
      <c r="Z6" s="3369"/>
      <c r="AA6" s="3353"/>
      <c r="AB6" s="3353"/>
      <c r="AC6" s="3353"/>
    </row>
    <row r="7" spans="1:29" s="190" customFormat="1" ht="15">
      <c r="A7" s="220"/>
      <c r="B7" s="221" t="s">
        <v>930</v>
      </c>
      <c r="C7" s="222">
        <f>'数据-取费表'!B2</f>
        <v>43900</v>
      </c>
      <c r="D7" s="223">
        <v>100</v>
      </c>
      <c r="E7" s="224"/>
      <c r="F7" s="225">
        <f>SUMIF(59:59,YEAR(E7)&amp;"-"&amp;MONTH(E7),60:60)</f>
        <v>0</v>
      </c>
      <c r="G7" s="224"/>
      <c r="H7" s="223">
        <f>SUMIF(59:59,YEAR(G7)&amp;"-"&amp;MONTH(G7),60:60)</f>
        <v>0</v>
      </c>
      <c r="I7" s="224"/>
      <c r="J7" s="223">
        <f>SUMIF(59:59,YEAR(I7)&amp;"-"&amp;MONTH(I7),60:60)</f>
        <v>0</v>
      </c>
      <c r="K7" s="379"/>
      <c r="L7" s="380"/>
      <c r="M7" s="381"/>
      <c r="N7" s="381"/>
      <c r="O7" s="381"/>
      <c r="P7" s="3338" t="s">
        <v>931</v>
      </c>
      <c r="Q7" s="3338"/>
      <c r="R7" s="444" t="s">
        <v>932</v>
      </c>
      <c r="S7" s="445">
        <f t="shared" ref="S7:S15" si="0">F7</f>
        <v>0</v>
      </c>
      <c r="T7" s="444" t="s">
        <v>932</v>
      </c>
      <c r="U7" s="445">
        <f t="shared" ref="U7:U15" si="1">H7</f>
        <v>0</v>
      </c>
      <c r="V7" s="444" t="s">
        <v>932</v>
      </c>
      <c r="W7" s="445">
        <f t="shared" ref="W7:W15" si="2">J7</f>
        <v>0</v>
      </c>
      <c r="X7" s="446"/>
      <c r="Y7" s="3337" t="s">
        <v>931</v>
      </c>
      <c r="Z7" s="3339"/>
      <c r="AA7" s="463" t="e">
        <f>D7/F7</f>
        <v>#DIV/0!</v>
      </c>
      <c r="AB7" s="463" t="e">
        <f>D7/H7</f>
        <v>#DIV/0!</v>
      </c>
      <c r="AC7" s="463" t="e">
        <f>D7/J7</f>
        <v>#DIV/0!</v>
      </c>
    </row>
    <row r="8" spans="1:29" s="190" customFormat="1" ht="15">
      <c r="A8" s="227"/>
      <c r="B8" s="228" t="s">
        <v>933</v>
      </c>
      <c r="C8" s="229" t="s">
        <v>934</v>
      </c>
      <c r="D8" s="223">
        <v>100</v>
      </c>
      <c r="E8" s="229"/>
      <c r="F8" s="225">
        <f>SUMIF(62:62,E8,63:63)-SUMIF(62:62,C8,63:63)+100</f>
        <v>0</v>
      </c>
      <c r="G8" s="229"/>
      <c r="H8" s="223">
        <f>SUMIF(62:62,G8,63:63)-SUMIF(62:62,C8,63:63)+100</f>
        <v>0</v>
      </c>
      <c r="I8" s="229"/>
      <c r="J8" s="223">
        <f>SUMIF(62:62,I8,63:63)-SUMIF(62:62,C8,63:63)+100</f>
        <v>0</v>
      </c>
      <c r="K8" s="379"/>
      <c r="L8" s="380"/>
      <c r="M8" s="381"/>
      <c r="N8" s="381"/>
      <c r="O8" s="381"/>
      <c r="P8" s="3338" t="s">
        <v>936</v>
      </c>
      <c r="Q8" s="3339"/>
      <c r="R8" s="444" t="s">
        <v>932</v>
      </c>
      <c r="S8" s="445">
        <f t="shared" si="0"/>
        <v>0</v>
      </c>
      <c r="T8" s="444" t="s">
        <v>932</v>
      </c>
      <c r="U8" s="445">
        <f t="shared" si="1"/>
        <v>0</v>
      </c>
      <c r="V8" s="444" t="s">
        <v>932</v>
      </c>
      <c r="W8" s="445">
        <f t="shared" si="2"/>
        <v>0</v>
      </c>
      <c r="X8" s="446"/>
      <c r="Y8" s="3337" t="s">
        <v>936</v>
      </c>
      <c r="Z8" s="3339"/>
      <c r="AA8" s="463" t="e">
        <f t="shared" ref="AA8:AA47" si="3">D8/F8</f>
        <v>#DIV/0!</v>
      </c>
      <c r="AB8" s="463" t="e">
        <f t="shared" ref="AB8:AB47" si="4">D8/H8</f>
        <v>#DIV/0!</v>
      </c>
      <c r="AC8" s="463" t="e">
        <f t="shared" ref="AC8:AC47" si="5">D8/J8</f>
        <v>#DIV/0!</v>
      </c>
    </row>
    <row r="9" spans="1:29" s="190" customFormat="1" ht="15">
      <c r="A9" s="230"/>
      <c r="B9" s="231" t="s">
        <v>937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0" t="s">
        <v>938</v>
      </c>
      <c r="Q9" s="447" t="str">
        <f t="shared" ref="Q9:Q15" si="6">B9</f>
        <v>用途</v>
      </c>
      <c r="R9" s="444" t="s">
        <v>932</v>
      </c>
      <c r="S9" s="445">
        <f t="shared" si="0"/>
        <v>100</v>
      </c>
      <c r="T9" s="444" t="s">
        <v>932</v>
      </c>
      <c r="U9" s="445">
        <f t="shared" si="1"/>
        <v>100</v>
      </c>
      <c r="V9" s="444" t="s">
        <v>932</v>
      </c>
      <c r="W9" s="445">
        <f t="shared" si="2"/>
        <v>100</v>
      </c>
      <c r="X9" s="446"/>
      <c r="Y9" s="3312"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0"/>
      <c r="Q11" s="447" t="str">
        <f t="shared" si="6"/>
        <v>容积率</v>
      </c>
      <c r="R11" s="444" t="s">
        <v>932</v>
      </c>
      <c r="S11" s="445" t="e">
        <f t="shared" si="0"/>
        <v>#N/A</v>
      </c>
      <c r="T11" s="444" t="s">
        <v>932</v>
      </c>
      <c r="U11" s="445" t="e">
        <f t="shared" si="1"/>
        <v>#N/A</v>
      </c>
      <c r="V11" s="444" t="s">
        <v>932</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0"/>
      <c r="Q14" s="447">
        <f t="shared" si="6"/>
        <v>111</v>
      </c>
      <c r="R14" s="444" t="s">
        <v>932</v>
      </c>
      <c r="S14" s="445">
        <f t="shared" si="0"/>
        <v>100</v>
      </c>
      <c r="T14" s="444" t="s">
        <v>932</v>
      </c>
      <c r="U14" s="445">
        <f t="shared" si="1"/>
        <v>100</v>
      </c>
      <c r="V14" s="444" t="s">
        <v>932</v>
      </c>
      <c r="W14" s="445">
        <f t="shared" si="2"/>
        <v>100</v>
      </c>
      <c r="X14" s="446"/>
      <c r="Y14" s="3312"/>
      <c r="Z14" s="464">
        <f t="shared" si="7"/>
        <v>111</v>
      </c>
      <c r="AA14" s="463">
        <f t="shared" si="3"/>
        <v>1</v>
      </c>
      <c r="AB14" s="463">
        <f t="shared" si="4"/>
        <v>1</v>
      </c>
      <c r="AC14" s="463">
        <f t="shared" si="5"/>
        <v>1</v>
      </c>
    </row>
    <row r="15" spans="1:29" ht="71.25">
      <c r="A15" s="248" t="s">
        <v>943</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7" t="s">
        <v>944</v>
      </c>
      <c r="Q15" s="383" t="str">
        <f t="shared" si="6"/>
        <v>办公集聚程度</v>
      </c>
      <c r="R15" s="448" t="s">
        <v>932</v>
      </c>
      <c r="S15" s="449">
        <f t="shared" si="0"/>
        <v>100</v>
      </c>
      <c r="T15" s="448" t="s">
        <v>932</v>
      </c>
      <c r="U15" s="449">
        <f t="shared" si="1"/>
        <v>100</v>
      </c>
      <c r="V15" s="448" t="s">
        <v>932</v>
      </c>
      <c r="W15" s="449">
        <f t="shared" si="2"/>
        <v>100</v>
      </c>
      <c r="X15" s="443"/>
      <c r="Y15" s="3347" t="s">
        <v>944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8"/>
      <c r="Q16" s="383"/>
      <c r="R16" s="448"/>
      <c r="S16" s="449"/>
      <c r="T16" s="448"/>
      <c r="U16" s="449"/>
      <c r="V16" s="448"/>
      <c r="W16" s="449"/>
      <c r="X16" s="443"/>
      <c r="Y16" s="3348"/>
      <c r="Z16" s="442"/>
      <c r="AA16" s="454">
        <v>1</v>
      </c>
      <c r="AB16" s="454">
        <v>1</v>
      </c>
      <c r="AC16" s="454">
        <v>1</v>
      </c>
    </row>
    <row r="17" spans="1:29" ht="85.5">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8"/>
      <c r="Q17" s="383" t="str">
        <f>B17</f>
        <v>交通便捷度</v>
      </c>
      <c r="R17" s="448" t="s">
        <v>932</v>
      </c>
      <c r="S17" s="449">
        <f>F17</f>
        <v>100</v>
      </c>
      <c r="T17" s="448" t="s">
        <v>932</v>
      </c>
      <c r="U17" s="449">
        <f>H17</f>
        <v>100</v>
      </c>
      <c r="V17" s="448" t="s">
        <v>932</v>
      </c>
      <c r="W17" s="449">
        <f>J17</f>
        <v>100</v>
      </c>
      <c r="X17" s="443"/>
      <c r="Y17" s="3348"/>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8"/>
      <c r="Q18" s="383"/>
      <c r="R18" s="448"/>
      <c r="S18" s="449"/>
      <c r="T18" s="448"/>
      <c r="U18" s="449"/>
      <c r="V18" s="448"/>
      <c r="W18" s="449"/>
      <c r="X18" s="443"/>
      <c r="Y18" s="3348"/>
      <c r="Z18" s="442"/>
      <c r="AA18" s="454">
        <v>1</v>
      </c>
      <c r="AB18" s="454">
        <v>1</v>
      </c>
      <c r="AC18" s="454">
        <v>1</v>
      </c>
    </row>
    <row r="19" spans="1:29" ht="42.75">
      <c r="A19" s="255"/>
      <c r="B19" s="261" t="s">
        <v>231</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8"/>
      <c r="Q19" s="383" t="str">
        <f>B19</f>
        <v>公共配套设施</v>
      </c>
      <c r="R19" s="448" t="s">
        <v>932</v>
      </c>
      <c r="S19" s="449">
        <f>F19</f>
        <v>100</v>
      </c>
      <c r="T19" s="448" t="s">
        <v>932</v>
      </c>
      <c r="U19" s="449">
        <f>H19</f>
        <v>100</v>
      </c>
      <c r="V19" s="448" t="s">
        <v>932</v>
      </c>
      <c r="W19" s="449">
        <f>J19</f>
        <v>100</v>
      </c>
      <c r="X19" s="443"/>
      <c r="Y19" s="3348"/>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8"/>
      <c r="Q20" s="383"/>
      <c r="R20" s="448"/>
      <c r="S20" s="449"/>
      <c r="T20" s="448"/>
      <c r="U20" s="449"/>
      <c r="V20" s="448"/>
      <c r="W20" s="449"/>
      <c r="X20" s="443"/>
      <c r="Y20" s="3348"/>
      <c r="Z20" s="442"/>
      <c r="AA20" s="454">
        <v>1</v>
      </c>
      <c r="AB20" s="454">
        <v>1</v>
      </c>
      <c r="AC20" s="454">
        <v>1</v>
      </c>
    </row>
    <row r="21" spans="1:29" ht="28.5">
      <c r="A21" s="255"/>
      <c r="B21" s="269" t="s">
        <v>232</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8"/>
      <c r="Q21" s="383" t="str">
        <f>B21</f>
        <v>基础设施水平</v>
      </c>
      <c r="R21" s="448" t="s">
        <v>932</v>
      </c>
      <c r="S21" s="449">
        <f>F21</f>
        <v>100</v>
      </c>
      <c r="T21" s="448" t="s">
        <v>932</v>
      </c>
      <c r="U21" s="449">
        <f>H21</f>
        <v>100</v>
      </c>
      <c r="V21" s="448" t="s">
        <v>932</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8"/>
      <c r="Q22" s="383"/>
      <c r="R22" s="448"/>
      <c r="S22" s="449"/>
      <c r="T22" s="448"/>
      <c r="U22" s="449"/>
      <c r="V22" s="448"/>
      <c r="W22" s="449"/>
      <c r="X22" s="443"/>
      <c r="Y22" s="3348"/>
      <c r="Z22" s="442"/>
      <c r="AA22" s="454">
        <v>1</v>
      </c>
      <c r="AB22" s="454">
        <v>1</v>
      </c>
      <c r="AC22" s="454">
        <v>1</v>
      </c>
    </row>
    <row r="23" spans="1:29" ht="57">
      <c r="A23" s="255"/>
      <c r="B23" s="500" t="s">
        <v>233</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8"/>
      <c r="Q23" s="383" t="str">
        <f>B23</f>
        <v>环境质量</v>
      </c>
      <c r="R23" s="448" t="s">
        <v>932</v>
      </c>
      <c r="S23" s="449">
        <f>F23</f>
        <v>100</v>
      </c>
      <c r="T23" s="448" t="s">
        <v>932</v>
      </c>
      <c r="U23" s="449">
        <f>H23</f>
        <v>100</v>
      </c>
      <c r="V23" s="448" t="s">
        <v>932</v>
      </c>
      <c r="W23" s="449">
        <f>J23</f>
        <v>100</v>
      </c>
      <c r="X23" s="443"/>
      <c r="Y23" s="3348"/>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8"/>
      <c r="Q24" s="383"/>
      <c r="R24" s="448"/>
      <c r="S24" s="449"/>
      <c r="T24" s="448"/>
      <c r="U24" s="449"/>
      <c r="V24" s="448"/>
      <c r="W24" s="449"/>
      <c r="X24" s="443"/>
      <c r="Y24" s="3348"/>
      <c r="Z24" s="442"/>
      <c r="AA24" s="454">
        <v>1</v>
      </c>
      <c r="AB24" s="454">
        <v>1</v>
      </c>
      <c r="AC24" s="454">
        <v>1</v>
      </c>
    </row>
    <row r="25" spans="1:29" ht="27">
      <c r="A25" s="216"/>
      <c r="B25" s="500" t="s">
        <v>948</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8"/>
      <c r="Q25" s="383" t="str">
        <f>B25</f>
        <v>毗邻道路的类型与等级</v>
      </c>
      <c r="R25" s="448" t="s">
        <v>932</v>
      </c>
      <c r="S25" s="449">
        <f>F25</f>
        <v>100</v>
      </c>
      <c r="T25" s="448" t="s">
        <v>932</v>
      </c>
      <c r="U25" s="449">
        <f>H25</f>
        <v>100</v>
      </c>
      <c r="V25" s="448" t="s">
        <v>932</v>
      </c>
      <c r="W25" s="449">
        <f>J25</f>
        <v>100</v>
      </c>
      <c r="X25" s="443"/>
      <c r="Y25" s="3348"/>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8"/>
      <c r="Q26" s="383"/>
      <c r="R26" s="448"/>
      <c r="S26" s="449"/>
      <c r="T26" s="448"/>
      <c r="U26" s="449"/>
      <c r="V26" s="448"/>
      <c r="W26" s="449"/>
      <c r="X26" s="443"/>
      <c r="Y26" s="3348"/>
      <c r="Z26" s="442"/>
      <c r="AA26" s="454">
        <v>1</v>
      </c>
      <c r="AB26" s="454">
        <v>1</v>
      </c>
      <c r="AC26" s="454">
        <v>1</v>
      </c>
    </row>
    <row r="27" spans="1:29" ht="15">
      <c r="A27" s="255"/>
      <c r="B27" s="267" t="s">
        <v>2523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8"/>
      <c r="Q27" s="383" t="str">
        <f t="shared" ref="Q27:Q47" si="11">B27</f>
        <v>楼层</v>
      </c>
      <c r="R27" s="448" t="s">
        <v>932</v>
      </c>
      <c r="S27" s="449">
        <f>F27</f>
        <v>100</v>
      </c>
      <c r="T27" s="448" t="s">
        <v>932</v>
      </c>
      <c r="U27" s="449">
        <f>H27</f>
        <v>100</v>
      </c>
      <c r="V27" s="448" t="s">
        <v>932</v>
      </c>
      <c r="W27" s="449">
        <f>J27</f>
        <v>100</v>
      </c>
      <c r="X27" s="443"/>
      <c r="Y27" s="3348"/>
      <c r="Z27" s="442" t="str">
        <f>Q27</f>
        <v>楼层</v>
      </c>
      <c r="AA27" s="454">
        <f t="shared" si="3"/>
        <v>1</v>
      </c>
      <c r="AB27" s="454">
        <f t="shared" si="4"/>
        <v>1</v>
      </c>
      <c r="AC27" s="454">
        <f t="shared" si="5"/>
        <v>1</v>
      </c>
    </row>
    <row r="28" spans="1:29" s="190" customFormat="1" ht="15">
      <c r="A28" s="279"/>
      <c r="B28" s="500" t="s">
        <v>2480</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8"/>
      <c r="Q28" s="447" t="str">
        <f t="shared" si="11"/>
        <v>朝向</v>
      </c>
      <c r="R28" s="444" t="s">
        <v>932</v>
      </c>
      <c r="S28" s="445">
        <f>F28</f>
        <v>100</v>
      </c>
      <c r="T28" s="444" t="s">
        <v>932</v>
      </c>
      <c r="U28" s="445">
        <f>H28</f>
        <v>100</v>
      </c>
      <c r="V28" s="444" t="s">
        <v>932</v>
      </c>
      <c r="W28" s="445">
        <f>J28</f>
        <v>100</v>
      </c>
      <c r="X28" s="446"/>
      <c r="Y28" s="3348"/>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8"/>
      <c r="Q29" s="383">
        <f t="shared" si="11"/>
        <v>111</v>
      </c>
      <c r="R29" s="448" t="s">
        <v>932</v>
      </c>
      <c r="S29" s="449">
        <f t="shared" ref="S29:S47" si="12">F29</f>
        <v>100</v>
      </c>
      <c r="T29" s="448" t="s">
        <v>932</v>
      </c>
      <c r="U29" s="449">
        <f t="shared" ref="U29:U47" si="13">H29</f>
        <v>100</v>
      </c>
      <c r="V29" s="448" t="s">
        <v>932</v>
      </c>
      <c r="W29" s="449">
        <f t="shared" ref="W29:W47" si="14">J29</f>
        <v>100</v>
      </c>
      <c r="X29" s="443"/>
      <c r="Y29" s="3348"/>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8"/>
      <c r="Q30" s="383">
        <f t="shared" si="11"/>
        <v>111</v>
      </c>
      <c r="R30" s="448" t="s">
        <v>932</v>
      </c>
      <c r="S30" s="449">
        <f t="shared" si="12"/>
        <v>100</v>
      </c>
      <c r="T30" s="448" t="s">
        <v>932</v>
      </c>
      <c r="U30" s="449">
        <f t="shared" si="13"/>
        <v>100</v>
      </c>
      <c r="V30" s="448" t="s">
        <v>932</v>
      </c>
      <c r="W30" s="449">
        <f t="shared" si="14"/>
        <v>100</v>
      </c>
      <c r="X30" s="443"/>
      <c r="Y30" s="3348"/>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8"/>
      <c r="Q31" s="383">
        <f t="shared" si="11"/>
        <v>111</v>
      </c>
      <c r="R31" s="448" t="s">
        <v>932</v>
      </c>
      <c r="S31" s="449">
        <f t="shared" si="12"/>
        <v>100</v>
      </c>
      <c r="T31" s="448" t="s">
        <v>932</v>
      </c>
      <c r="U31" s="449">
        <f t="shared" si="13"/>
        <v>100</v>
      </c>
      <c r="V31" s="448" t="s">
        <v>932</v>
      </c>
      <c r="W31" s="449">
        <f t="shared" si="14"/>
        <v>100</v>
      </c>
      <c r="X31" s="443"/>
      <c r="Y31" s="3348"/>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8"/>
      <c r="Q32" s="383">
        <f t="shared" si="11"/>
        <v>111</v>
      </c>
      <c r="R32" s="448" t="s">
        <v>932</v>
      </c>
      <c r="S32" s="449">
        <f t="shared" si="12"/>
        <v>100</v>
      </c>
      <c r="T32" s="448" t="s">
        <v>932</v>
      </c>
      <c r="U32" s="449">
        <f t="shared" si="13"/>
        <v>100</v>
      </c>
      <c r="V32" s="448" t="s">
        <v>932</v>
      </c>
      <c r="W32" s="449">
        <f t="shared" si="14"/>
        <v>100</v>
      </c>
      <c r="X32" s="443"/>
      <c r="Y32" s="3348"/>
      <c r="Z32" s="442">
        <f t="shared" si="15"/>
        <v>111</v>
      </c>
      <c r="AA32" s="454">
        <f t="shared" si="3"/>
        <v>1</v>
      </c>
      <c r="AB32" s="454">
        <f t="shared" si="4"/>
        <v>1</v>
      </c>
      <c r="AC32" s="454">
        <f t="shared" si="5"/>
        <v>1</v>
      </c>
    </row>
    <row r="33" spans="1:29" ht="15">
      <c r="A33" s="283" t="s">
        <v>951</v>
      </c>
      <c r="B33" s="284" t="s">
        <v>2482</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9" t="s">
        <v>950</v>
      </c>
      <c r="Q33" s="383" t="str">
        <f t="shared" si="11"/>
        <v>建筑类型</v>
      </c>
      <c r="R33" s="448" t="s">
        <v>932</v>
      </c>
      <c r="S33" s="449">
        <f t="shared" si="12"/>
        <v>100</v>
      </c>
      <c r="T33" s="448" t="s">
        <v>932</v>
      </c>
      <c r="U33" s="449">
        <f t="shared" si="13"/>
        <v>100</v>
      </c>
      <c r="V33" s="448" t="s">
        <v>932</v>
      </c>
      <c r="W33" s="449">
        <f t="shared" si="14"/>
        <v>100</v>
      </c>
      <c r="X33" s="443"/>
      <c r="Y33" s="3350" t="s">
        <v>950</v>
      </c>
      <c r="Z33" s="442" t="str">
        <f t="shared" si="15"/>
        <v>建筑类型</v>
      </c>
      <c r="AA33" s="454">
        <f t="shared" si="3"/>
        <v>1</v>
      </c>
      <c r="AB33" s="454">
        <f t="shared" si="4"/>
        <v>1</v>
      </c>
      <c r="AC33" s="454">
        <f t="shared" si="5"/>
        <v>1</v>
      </c>
    </row>
    <row r="34" spans="1:29" s="192" customFormat="1" ht="15">
      <c r="A34" s="288"/>
      <c r="B34" s="289" t="s">
        <v>2483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0"/>
      <c r="Q34" s="450" t="str">
        <f t="shared" si="11"/>
        <v>项目建筑规模</v>
      </c>
      <c r="R34" s="451" t="s">
        <v>932</v>
      </c>
      <c r="S34" s="452" t="e">
        <f t="shared" si="12"/>
        <v>#N/A</v>
      </c>
      <c r="T34" s="451" t="s">
        <v>932</v>
      </c>
      <c r="U34" s="452" t="e">
        <f t="shared" si="13"/>
        <v>#N/A</v>
      </c>
      <c r="V34" s="451" t="s">
        <v>932</v>
      </c>
      <c r="W34" s="452" t="e">
        <f t="shared" si="14"/>
        <v>#N/A</v>
      </c>
      <c r="X34" s="453"/>
      <c r="Y34" s="3350"/>
      <c r="Z34" s="465" t="str">
        <f t="shared" si="15"/>
        <v>项目建筑规模</v>
      </c>
      <c r="AA34" s="454" t="e">
        <f t="shared" si="3"/>
        <v>#N/A</v>
      </c>
      <c r="AB34" s="454" t="e">
        <f t="shared" si="4"/>
        <v>#N/A</v>
      </c>
      <c r="AC34" s="454" t="e">
        <f t="shared" si="5"/>
        <v>#N/A</v>
      </c>
    </row>
    <row r="35" spans="1:29" ht="15">
      <c r="A35" s="293"/>
      <c r="B35" s="289" t="s">
        <v>2484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0"/>
      <c r="Q35" s="383" t="str">
        <f t="shared" si="11"/>
        <v>建筑结构</v>
      </c>
      <c r="R35" s="448" t="s">
        <v>932</v>
      </c>
      <c r="S35" s="449">
        <f t="shared" si="12"/>
        <v>100</v>
      </c>
      <c r="T35" s="448" t="s">
        <v>932</v>
      </c>
      <c r="U35" s="449">
        <f t="shared" si="13"/>
        <v>100</v>
      </c>
      <c r="V35" s="448" t="s">
        <v>932</v>
      </c>
      <c r="W35" s="449">
        <f t="shared" si="14"/>
        <v>100</v>
      </c>
      <c r="X35" s="443"/>
      <c r="Y35" s="3350"/>
      <c r="Z35" s="442" t="str">
        <f t="shared" si="15"/>
        <v>建筑结构</v>
      </c>
      <c r="AA35" s="454">
        <f t="shared" si="3"/>
        <v>1</v>
      </c>
      <c r="AB35" s="454">
        <f t="shared" si="4"/>
        <v>1</v>
      </c>
      <c r="AC35" s="454">
        <f t="shared" si="5"/>
        <v>1</v>
      </c>
    </row>
    <row r="36" spans="1:29" ht="15">
      <c r="A36" s="293"/>
      <c r="B36" s="289" t="s">
        <v>2486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0"/>
      <c r="Q36" s="383" t="str">
        <f t="shared" si="11"/>
        <v>公共部分装修</v>
      </c>
      <c r="R36" s="448" t="s">
        <v>932</v>
      </c>
      <c r="S36" s="449">
        <f t="shared" si="12"/>
        <v>100</v>
      </c>
      <c r="T36" s="448" t="s">
        <v>932</v>
      </c>
      <c r="U36" s="449">
        <f t="shared" si="13"/>
        <v>100</v>
      </c>
      <c r="V36" s="448" t="s">
        <v>932</v>
      </c>
      <c r="W36" s="449">
        <f t="shared" si="14"/>
        <v>100</v>
      </c>
      <c r="X36" s="443"/>
      <c r="Y36" s="3350"/>
      <c r="Z36" s="442" t="str">
        <f t="shared" si="15"/>
        <v>公共部分装修</v>
      </c>
      <c r="AA36" s="454">
        <f t="shared" si="3"/>
        <v>1</v>
      </c>
      <c r="AB36" s="454">
        <f t="shared" si="4"/>
        <v>1</v>
      </c>
      <c r="AC36" s="454">
        <f t="shared" si="5"/>
        <v>1</v>
      </c>
    </row>
    <row r="37" spans="1:29" ht="15">
      <c r="A37" s="293"/>
      <c r="B37" s="289" t="s">
        <v>2487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0"/>
      <c r="Q37" s="383" t="str">
        <f t="shared" si="11"/>
        <v>成新度</v>
      </c>
      <c r="R37" s="448" t="s">
        <v>932</v>
      </c>
      <c r="S37" s="449" t="e">
        <f t="shared" si="12"/>
        <v>#N/A</v>
      </c>
      <c r="T37" s="448" t="s">
        <v>932</v>
      </c>
      <c r="U37" s="449" t="e">
        <f t="shared" si="13"/>
        <v>#N/A</v>
      </c>
      <c r="V37" s="448" t="s">
        <v>932</v>
      </c>
      <c r="W37" s="449" t="e">
        <f t="shared" si="14"/>
        <v>#N/A</v>
      </c>
      <c r="X37" s="443"/>
      <c r="Y37" s="3350"/>
      <c r="Z37" s="442" t="str">
        <f t="shared" si="15"/>
        <v>成新度</v>
      </c>
      <c r="AA37" s="454" t="e">
        <f t="shared" si="3"/>
        <v>#N/A</v>
      </c>
      <c r="AB37" s="454" t="e">
        <f t="shared" si="4"/>
        <v>#N/A</v>
      </c>
      <c r="AC37" s="454" t="e">
        <f t="shared" si="5"/>
        <v>#N/A</v>
      </c>
    </row>
    <row r="38" spans="1:29" s="190" customFormat="1" ht="15">
      <c r="A38" s="296"/>
      <c r="B38" s="289" t="s">
        <v>2531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0"/>
      <c r="Q38" s="447" t="str">
        <f t="shared" si="11"/>
        <v>写字楼等级</v>
      </c>
      <c r="R38" s="444" t="s">
        <v>932</v>
      </c>
      <c r="S38" s="445">
        <f t="shared" si="12"/>
        <v>100</v>
      </c>
      <c r="T38" s="444" t="s">
        <v>932</v>
      </c>
      <c r="U38" s="445">
        <f t="shared" si="13"/>
        <v>100</v>
      </c>
      <c r="V38" s="444" t="s">
        <v>932</v>
      </c>
      <c r="W38" s="445">
        <f t="shared" si="14"/>
        <v>100</v>
      </c>
      <c r="X38" s="446"/>
      <c r="Y38" s="3350"/>
      <c r="Z38" s="464" t="str">
        <f t="shared" si="15"/>
        <v>写字楼等级</v>
      </c>
      <c r="AA38" s="463">
        <f t="shared" si="3"/>
        <v>1</v>
      </c>
      <c r="AB38" s="463">
        <f t="shared" si="4"/>
        <v>1</v>
      </c>
      <c r="AC38" s="463">
        <f t="shared" si="5"/>
        <v>1</v>
      </c>
    </row>
    <row r="39" spans="1:29" ht="15">
      <c r="A39" s="293"/>
      <c r="B39" s="289" t="s">
        <v>2488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0" t="s">
        <v>950</v>
      </c>
      <c r="Q39" s="383" t="str">
        <f t="shared" si="11"/>
        <v>物业管理</v>
      </c>
      <c r="R39" s="448" t="s">
        <v>932</v>
      </c>
      <c r="S39" s="449">
        <f t="shared" si="12"/>
        <v>100</v>
      </c>
      <c r="T39" s="448" t="s">
        <v>932</v>
      </c>
      <c r="U39" s="449">
        <f t="shared" si="13"/>
        <v>100</v>
      </c>
      <c r="V39" s="448" t="s">
        <v>932</v>
      </c>
      <c r="W39" s="449">
        <f t="shared" si="14"/>
        <v>100</v>
      </c>
      <c r="X39" s="443"/>
      <c r="Y39" s="3350" t="s">
        <v>950</v>
      </c>
      <c r="Z39" s="442" t="str">
        <f t="shared" si="15"/>
        <v>物业管理</v>
      </c>
      <c r="AA39" s="454">
        <f t="shared" si="3"/>
        <v>1</v>
      </c>
      <c r="AB39" s="454">
        <f t="shared" si="4"/>
        <v>1</v>
      </c>
      <c r="AC39" s="454">
        <f t="shared" si="5"/>
        <v>1</v>
      </c>
    </row>
    <row r="40" spans="1:29" ht="15">
      <c r="A40" s="293"/>
      <c r="B40" s="544" t="s">
        <v>2489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0"/>
      <c r="Q40" s="383" t="str">
        <f t="shared" si="11"/>
        <v>市政基础设施</v>
      </c>
      <c r="R40" s="448" t="s">
        <v>932</v>
      </c>
      <c r="S40" s="449">
        <f t="shared" si="12"/>
        <v>100</v>
      </c>
      <c r="T40" s="448" t="s">
        <v>932</v>
      </c>
      <c r="U40" s="449">
        <f t="shared" si="13"/>
        <v>100</v>
      </c>
      <c r="V40" s="448" t="s">
        <v>932</v>
      </c>
      <c r="W40" s="449">
        <f t="shared" si="14"/>
        <v>100</v>
      </c>
      <c r="X40" s="443"/>
      <c r="Y40" s="3350"/>
      <c r="Z40" s="442" t="str">
        <f t="shared" si="15"/>
        <v>市政基础设施</v>
      </c>
      <c r="AA40" s="454">
        <f t="shared" si="3"/>
        <v>1</v>
      </c>
      <c r="AB40" s="454">
        <f t="shared" si="4"/>
        <v>1</v>
      </c>
      <c r="AC40" s="454">
        <f t="shared" si="5"/>
        <v>1</v>
      </c>
    </row>
    <row r="41" spans="1:29" ht="15">
      <c r="A41" s="293"/>
      <c r="B41" s="289" t="s">
        <v>2526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0"/>
      <c r="Q41" s="383" t="str">
        <f t="shared" si="11"/>
        <v>层高</v>
      </c>
      <c r="R41" s="448" t="s">
        <v>932</v>
      </c>
      <c r="S41" s="449">
        <f t="shared" si="12"/>
        <v>100</v>
      </c>
      <c r="T41" s="448" t="s">
        <v>932</v>
      </c>
      <c r="U41" s="449">
        <f t="shared" si="13"/>
        <v>100</v>
      </c>
      <c r="V41" s="448" t="s">
        <v>932</v>
      </c>
      <c r="W41" s="449">
        <f t="shared" si="14"/>
        <v>100</v>
      </c>
      <c r="X41" s="443"/>
      <c r="Y41" s="3350"/>
      <c r="Z41" s="442" t="str">
        <f t="shared" si="15"/>
        <v>层高</v>
      </c>
      <c r="AA41" s="454">
        <f t="shared" si="3"/>
        <v>1</v>
      </c>
      <c r="AB41" s="454">
        <f t="shared" si="4"/>
        <v>1</v>
      </c>
      <c r="AC41" s="454">
        <f t="shared" si="5"/>
        <v>1</v>
      </c>
    </row>
    <row r="42" spans="1:29" s="192" customFormat="1" ht="15">
      <c r="A42" s="288"/>
      <c r="B42" s="401" t="s">
        <v>2532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0"/>
      <c r="Q42" s="450" t="str">
        <f t="shared" si="11"/>
        <v>单套建筑面积</v>
      </c>
      <c r="R42" s="451" t="s">
        <v>932</v>
      </c>
      <c r="S42" s="452">
        <f t="shared" si="12"/>
        <v>100</v>
      </c>
      <c r="T42" s="451" t="s">
        <v>932</v>
      </c>
      <c r="U42" s="452">
        <f t="shared" si="13"/>
        <v>100</v>
      </c>
      <c r="V42" s="451" t="s">
        <v>932</v>
      </c>
      <c r="W42" s="452">
        <f t="shared" si="14"/>
        <v>100</v>
      </c>
      <c r="X42" s="453"/>
      <c r="Y42" s="3350"/>
      <c r="Z42" s="465" t="str">
        <f t="shared" si="15"/>
        <v>单套建筑面积</v>
      </c>
      <c r="AA42" s="454">
        <f t="shared" si="3"/>
        <v>1</v>
      </c>
      <c r="AB42" s="454">
        <f t="shared" si="4"/>
        <v>1</v>
      </c>
      <c r="AC42" s="454">
        <f t="shared" si="5"/>
        <v>1</v>
      </c>
    </row>
    <row r="43" spans="1:29" ht="15">
      <c r="A43" s="293"/>
      <c r="B43" s="289" t="s">
        <v>2492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0"/>
      <c r="Q43" s="383" t="str">
        <f t="shared" si="11"/>
        <v>内部装修</v>
      </c>
      <c r="R43" s="448" t="s">
        <v>932</v>
      </c>
      <c r="S43" s="449">
        <f t="shared" si="12"/>
        <v>100</v>
      </c>
      <c r="T43" s="448" t="s">
        <v>932</v>
      </c>
      <c r="U43" s="449">
        <f t="shared" si="13"/>
        <v>100</v>
      </c>
      <c r="V43" s="448" t="s">
        <v>932</v>
      </c>
      <c r="W43" s="449">
        <f t="shared" si="14"/>
        <v>100</v>
      </c>
      <c r="X43" s="443"/>
      <c r="Y43" s="3350"/>
      <c r="Z43" s="442" t="str">
        <f t="shared" si="15"/>
        <v>内部装修</v>
      </c>
      <c r="AA43" s="454">
        <f t="shared" si="3"/>
        <v>1</v>
      </c>
      <c r="AB43" s="454">
        <f t="shared" si="4"/>
        <v>1</v>
      </c>
      <c r="AC43" s="454">
        <f t="shared" si="5"/>
        <v>1</v>
      </c>
    </row>
    <row r="44" spans="1:29" ht="27">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0"/>
      <c r="Q44" s="383" t="str">
        <f t="shared" si="11"/>
        <v>内部装修维护情况</v>
      </c>
      <c r="R44" s="448" t="s">
        <v>932</v>
      </c>
      <c r="S44" s="449">
        <f t="shared" si="12"/>
        <v>100</v>
      </c>
      <c r="T44" s="448" t="s">
        <v>932</v>
      </c>
      <c r="U44" s="449">
        <f t="shared" si="13"/>
        <v>100</v>
      </c>
      <c r="V44" s="448" t="s">
        <v>932</v>
      </c>
      <c r="W44" s="449">
        <f t="shared" si="14"/>
        <v>100</v>
      </c>
      <c r="X44" s="443"/>
      <c r="Y44" s="3350"/>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0"/>
      <c r="Q45" s="447">
        <f t="shared" si="11"/>
        <v>111</v>
      </c>
      <c r="R45" s="444" t="s">
        <v>932</v>
      </c>
      <c r="S45" s="445">
        <f t="shared" si="12"/>
        <v>100</v>
      </c>
      <c r="T45" s="444" t="s">
        <v>932</v>
      </c>
      <c r="U45" s="445">
        <f t="shared" si="13"/>
        <v>100</v>
      </c>
      <c r="V45" s="444" t="s">
        <v>932</v>
      </c>
      <c r="W45" s="445">
        <f t="shared" si="14"/>
        <v>100</v>
      </c>
      <c r="X45" s="446"/>
      <c r="Y45" s="3350"/>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0"/>
      <c r="Q46" s="383">
        <f t="shared" si="11"/>
        <v>111</v>
      </c>
      <c r="R46" s="448" t="s">
        <v>932</v>
      </c>
      <c r="S46" s="449">
        <f t="shared" si="12"/>
        <v>100</v>
      </c>
      <c r="T46" s="448" t="s">
        <v>932</v>
      </c>
      <c r="U46" s="449">
        <f t="shared" si="13"/>
        <v>100</v>
      </c>
      <c r="V46" s="448" t="s">
        <v>932</v>
      </c>
      <c r="W46" s="449">
        <f t="shared" si="14"/>
        <v>100</v>
      </c>
      <c r="X46" s="443"/>
      <c r="Y46" s="3350"/>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0"/>
      <c r="Q47" s="383">
        <f t="shared" si="11"/>
        <v>111</v>
      </c>
      <c r="R47" s="448" t="s">
        <v>932</v>
      </c>
      <c r="S47" s="449">
        <f t="shared" si="12"/>
        <v>100</v>
      </c>
      <c r="T47" s="448" t="s">
        <v>932</v>
      </c>
      <c r="U47" s="449">
        <f t="shared" si="13"/>
        <v>100</v>
      </c>
      <c r="V47" s="448" t="s">
        <v>932</v>
      </c>
      <c r="W47" s="449">
        <f t="shared" si="14"/>
        <v>100</v>
      </c>
      <c r="X47" s="443"/>
      <c r="Y47" s="3450"/>
      <c r="Z47" s="442">
        <f t="shared" si="15"/>
        <v>111</v>
      </c>
      <c r="AA47" s="454">
        <f t="shared" si="3"/>
        <v>1</v>
      </c>
      <c r="AB47" s="454">
        <f t="shared" si="4"/>
        <v>1</v>
      </c>
      <c r="AC47" s="454">
        <f t="shared" si="5"/>
        <v>1</v>
      </c>
    </row>
    <row r="48" spans="1:29" ht="15">
      <c r="A48" s="303" t="s">
        <v>2493</v>
      </c>
      <c r="B48" s="304"/>
      <c r="C48" s="305" t="s">
        <v>138</v>
      </c>
      <c r="D48" s="306"/>
      <c r="E48" s="307"/>
      <c r="F48" s="308"/>
      <c r="G48" s="309"/>
      <c r="H48" s="310"/>
      <c r="I48" s="307"/>
      <c r="J48" s="310"/>
      <c r="K48" s="397"/>
      <c r="L48" s="398"/>
      <c r="M48" s="378"/>
      <c r="N48" s="378"/>
      <c r="O48" s="378"/>
      <c r="P48" s="3344" t="str">
        <f>A48</f>
        <v>成交单价（元/平方米）</v>
      </c>
      <c r="Q48" s="3340"/>
      <c r="R48" s="3448">
        <f>E48</f>
        <v>0</v>
      </c>
      <c r="S48" s="3448"/>
      <c r="T48" s="3448">
        <f>G48</f>
        <v>0</v>
      </c>
      <c r="U48" s="3448"/>
      <c r="V48" s="3448">
        <f>I48</f>
        <v>0</v>
      </c>
      <c r="W48" s="3448"/>
      <c r="X48" s="330"/>
      <c r="Y48" s="466"/>
      <c r="Z48" s="330"/>
      <c r="AA48" s="330"/>
      <c r="AB48" s="330"/>
      <c r="AC48" s="330"/>
    </row>
    <row r="49" spans="1:29" ht="15">
      <c r="A49" s="311" t="s">
        <v>959</v>
      </c>
      <c r="B49" s="312"/>
      <c r="C49" s="313" t="e">
        <f>R50</f>
        <v>#DIV/0!</v>
      </c>
      <c r="D49" s="314"/>
      <c r="E49" s="315" t="e">
        <f>R49</f>
        <v>#DIV/0!</v>
      </c>
      <c r="F49" s="315"/>
      <c r="G49" s="313" t="e">
        <f>T49</f>
        <v>#DIV/0!</v>
      </c>
      <c r="H49" s="314"/>
      <c r="I49" s="315" t="e">
        <f>V49</f>
        <v>#DIV/0!</v>
      </c>
      <c r="J49" s="314"/>
      <c r="K49" s="399"/>
      <c r="L49" s="398"/>
      <c r="M49" s="378"/>
      <c r="N49" s="378"/>
      <c r="O49" s="378"/>
      <c r="P49" s="3344" t="str">
        <f>A49</f>
        <v>比较价格（元/平方米）</v>
      </c>
      <c r="Q49" s="3340"/>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330"/>
      <c r="Y49" s="330"/>
      <c r="Z49" s="330"/>
      <c r="AA49" s="330"/>
      <c r="AB49" s="330"/>
      <c r="AC49" s="330"/>
    </row>
    <row r="50" spans="1:29" ht="15">
      <c r="A50" s="316" t="s">
        <v>960</v>
      </c>
      <c r="B50" s="317"/>
      <c r="C50" s="318" t="e">
        <f>R50</f>
        <v>#DIV/0!</v>
      </c>
      <c r="D50" s="318"/>
      <c r="E50" s="318"/>
      <c r="F50" s="318"/>
      <c r="G50" s="318"/>
      <c r="H50" s="318"/>
      <c r="I50" s="318"/>
      <c r="J50" s="318"/>
      <c r="K50" s="400"/>
      <c r="L50" s="398"/>
      <c r="M50" s="378"/>
      <c r="N50" s="378"/>
      <c r="O50" s="378"/>
      <c r="P50" s="3451" t="str">
        <f>A50</f>
        <v>估价对象XX用房的比较价格（楼面单价，元/平方米）</v>
      </c>
      <c r="Q50" s="3344"/>
      <c r="R50" s="3449" t="e">
        <f>IF(F1="售价",ROUND(AVERAGE(R49:V49),0),ROUND(AVERAGE(R49:V49),1))</f>
        <v>#DIV/0!</v>
      </c>
      <c r="S50" s="3449"/>
      <c r="T50" s="3449"/>
      <c r="U50" s="3449"/>
      <c r="V50" s="3449"/>
      <c r="W50" s="344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961</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962</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963</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985</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930</v>
      </c>
      <c r="B59" s="334"/>
      <c r="C59" s="335" t="str">
        <f>YEAR(C7)&amp;"-"&amp;MONTH(C7)</f>
        <v>2020-3</v>
      </c>
      <c r="D59" s="336">
        <f>EDATE(C59,-1)</f>
        <v>43862</v>
      </c>
      <c r="E59" s="336">
        <f t="shared" ref="E59:O59" si="16">EDATE(D59,-1)</f>
        <v>43831</v>
      </c>
      <c r="F59" s="336">
        <f t="shared" si="16"/>
        <v>43800</v>
      </c>
      <c r="G59" s="336">
        <f t="shared" si="16"/>
        <v>43770</v>
      </c>
      <c r="H59" s="336">
        <f t="shared" si="16"/>
        <v>43739</v>
      </c>
      <c r="I59" s="336">
        <f t="shared" si="16"/>
        <v>43709</v>
      </c>
      <c r="J59" s="336">
        <f t="shared" si="16"/>
        <v>43678</v>
      </c>
      <c r="K59" s="336">
        <f t="shared" si="16"/>
        <v>43647</v>
      </c>
      <c r="L59" s="336">
        <f t="shared" si="16"/>
        <v>43617</v>
      </c>
      <c r="M59" s="336">
        <f t="shared" si="16"/>
        <v>43586</v>
      </c>
      <c r="N59" s="336">
        <f t="shared" si="16"/>
        <v>43556</v>
      </c>
      <c r="O59" s="336">
        <f t="shared" si="16"/>
        <v>43525</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1371</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933</v>
      </c>
      <c r="B62" s="338"/>
      <c r="C62" s="346" t="s">
        <v>934</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989</v>
      </c>
      <c r="B64" s="349" t="s">
        <v>990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991</v>
      </c>
      <c r="C66" s="356" t="s">
        <v>2494</v>
      </c>
      <c r="D66" s="356" t="s">
        <v>2495</v>
      </c>
      <c r="E66" s="356" t="s">
        <v>2496</v>
      </c>
      <c r="F66" s="356" t="s">
        <v>2497</v>
      </c>
      <c r="G66" s="356" t="s">
        <v>2498</v>
      </c>
      <c r="H66" s="356" t="s">
        <v>2499</v>
      </c>
      <c r="I66" s="356" t="s">
        <v>2500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984</v>
      </c>
      <c r="D67" s="358" t="s">
        <v>984</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992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993</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948</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998</v>
      </c>
      <c r="B101" s="349" t="s">
        <v>2482</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2483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2484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2486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2487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2531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2488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2489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2533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2527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2492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529" t="s">
        <v>1365</v>
      </c>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2349</v>
      </c>
      <c r="B3" s="211" t="e">
        <f>C43</f>
        <v>#DIV/0!</v>
      </c>
      <c r="C3" s="212" t="s">
        <v>2477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920</v>
      </c>
      <c r="B4" s="215"/>
      <c r="C4" s="3329" t="s">
        <v>921</v>
      </c>
      <c r="D4" s="3330"/>
      <c r="E4" s="3370" t="s">
        <v>922</v>
      </c>
      <c r="F4" s="3371"/>
      <c r="G4" s="3329" t="s">
        <v>923</v>
      </c>
      <c r="H4" s="3330"/>
      <c r="I4" s="3329" t="s">
        <v>924</v>
      </c>
      <c r="J4" s="3330"/>
      <c r="K4" s="376" t="s">
        <v>925</v>
      </c>
      <c r="L4" s="377"/>
      <c r="M4" s="378"/>
      <c r="N4" s="378"/>
      <c r="O4" s="378"/>
      <c r="P4" s="3358" t="s">
        <v>926</v>
      </c>
      <c r="Q4" s="3359"/>
      <c r="R4" s="3364" t="s">
        <v>922</v>
      </c>
      <c r="S4" s="3365"/>
      <c r="T4" s="3364" t="s">
        <v>923</v>
      </c>
      <c r="U4" s="3365"/>
      <c r="V4" s="3341" t="s">
        <v>924</v>
      </c>
      <c r="W4" s="3341"/>
      <c r="X4" s="443"/>
      <c r="Y4" s="3364" t="s">
        <v>926</v>
      </c>
      <c r="Z4" s="3365"/>
      <c r="AA4" s="3351" t="s">
        <v>922</v>
      </c>
      <c r="AB4" s="3352" t="s">
        <v>923</v>
      </c>
      <c r="AC4" s="3351" t="s">
        <v>924</v>
      </c>
    </row>
    <row r="5" spans="1:29" ht="15">
      <c r="A5" s="216"/>
      <c r="B5" s="217"/>
      <c r="C5" s="3331" t="s">
        <v>927</v>
      </c>
      <c r="D5" s="3332"/>
      <c r="E5" s="3372" t="s">
        <v>1366</v>
      </c>
      <c r="F5" s="3373"/>
      <c r="G5" s="3331" t="s">
        <v>1367</v>
      </c>
      <c r="H5" s="3332"/>
      <c r="I5" s="3331" t="s">
        <v>1368</v>
      </c>
      <c r="J5" s="3332"/>
      <c r="K5" s="376"/>
      <c r="L5" s="377"/>
      <c r="M5" s="378"/>
      <c r="N5" s="378"/>
      <c r="O5" s="378"/>
      <c r="P5" s="3360"/>
      <c r="Q5" s="3361"/>
      <c r="R5" s="3366"/>
      <c r="S5" s="3367"/>
      <c r="T5" s="3366"/>
      <c r="U5" s="3367"/>
      <c r="V5" s="3341"/>
      <c r="W5" s="3341"/>
      <c r="X5" s="443"/>
      <c r="Y5" s="3366"/>
      <c r="Z5" s="3367"/>
      <c r="AA5" s="3352"/>
      <c r="AB5" s="3352"/>
      <c r="AC5" s="3352"/>
    </row>
    <row r="6" spans="1:29" ht="15">
      <c r="A6" s="218"/>
      <c r="B6" s="219"/>
      <c r="C6" s="3335" t="s">
        <v>928</v>
      </c>
      <c r="D6" s="3336"/>
      <c r="E6" s="3374" t="s">
        <v>928</v>
      </c>
      <c r="F6" s="3375"/>
      <c r="G6" s="3335" t="s">
        <v>928</v>
      </c>
      <c r="H6" s="3336"/>
      <c r="I6" s="3335" t="s">
        <v>928</v>
      </c>
      <c r="J6" s="3336"/>
      <c r="K6" s="376" t="s">
        <v>929</v>
      </c>
      <c r="L6" s="377"/>
      <c r="M6" s="378"/>
      <c r="N6" s="378"/>
      <c r="O6" s="378"/>
      <c r="P6" s="3362"/>
      <c r="Q6" s="3363"/>
      <c r="R6" s="3366"/>
      <c r="S6" s="3367"/>
      <c r="T6" s="3368"/>
      <c r="U6" s="3369"/>
      <c r="V6" s="3341"/>
      <c r="W6" s="3341"/>
      <c r="X6" s="443"/>
      <c r="Y6" s="3368"/>
      <c r="Z6" s="3369"/>
      <c r="AA6" s="3353"/>
      <c r="AB6" s="3353"/>
      <c r="AC6" s="3353"/>
    </row>
    <row r="7" spans="1:29" s="190" customFormat="1" ht="15">
      <c r="A7" s="220"/>
      <c r="B7" s="221" t="s">
        <v>930</v>
      </c>
      <c r="C7" s="222">
        <f>'数据-取费表'!B2</f>
        <v>43900</v>
      </c>
      <c r="D7" s="223">
        <v>100</v>
      </c>
      <c r="E7" s="224"/>
      <c r="F7" s="225">
        <f>SUMIF(52:52,YEAR(E7)&amp;"-"&amp;MONTH(E7),53:53)</f>
        <v>0</v>
      </c>
      <c r="G7" s="224"/>
      <c r="H7" s="223">
        <f>SUMIF(52:52,YEAR(G7)&amp;"-"&amp;MONTH(G7),53:53)</f>
        <v>0</v>
      </c>
      <c r="I7" s="224"/>
      <c r="J7" s="223">
        <f>SUMIF(52:52,YEAR(I7)&amp;"-"&amp;MONTH(I7),53:53)</f>
        <v>0</v>
      </c>
      <c r="K7" s="379"/>
      <c r="L7" s="380"/>
      <c r="M7" s="381"/>
      <c r="N7" s="381"/>
      <c r="O7" s="381"/>
      <c r="P7" s="3337" t="s">
        <v>931</v>
      </c>
      <c r="Q7" s="3338"/>
      <c r="R7" s="444" t="s">
        <v>932</v>
      </c>
      <c r="S7" s="445">
        <f t="shared" ref="S7:S15" si="0">F7</f>
        <v>0</v>
      </c>
      <c r="T7" s="444" t="s">
        <v>932</v>
      </c>
      <c r="U7" s="445">
        <f t="shared" ref="U7:U15" si="1">H7</f>
        <v>0</v>
      </c>
      <c r="V7" s="444" t="s">
        <v>932</v>
      </c>
      <c r="W7" s="445">
        <f t="shared" ref="W7:W15" si="2">J7</f>
        <v>0</v>
      </c>
      <c r="X7" s="446"/>
      <c r="Y7" s="3337" t="s">
        <v>931</v>
      </c>
      <c r="Z7" s="3339"/>
      <c r="AA7" s="463" t="e">
        <f>D7/F7</f>
        <v>#DIV/0!</v>
      </c>
      <c r="AB7" s="463" t="e">
        <f>D7/H7</f>
        <v>#DIV/0!</v>
      </c>
      <c r="AC7" s="463" t="e">
        <f>D7/J7</f>
        <v>#DIV/0!</v>
      </c>
    </row>
    <row r="8" spans="1:29" s="190" customFormat="1" ht="15">
      <c r="A8" s="227"/>
      <c r="B8" s="228" t="s">
        <v>933</v>
      </c>
      <c r="C8" s="229" t="s">
        <v>934</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7" t="s">
        <v>936</v>
      </c>
      <c r="Q8" s="3339"/>
      <c r="R8" s="444" t="s">
        <v>932</v>
      </c>
      <c r="S8" s="445">
        <f t="shared" si="0"/>
        <v>0</v>
      </c>
      <c r="T8" s="444" t="s">
        <v>932</v>
      </c>
      <c r="U8" s="445">
        <f t="shared" si="1"/>
        <v>0</v>
      </c>
      <c r="V8" s="444" t="s">
        <v>932</v>
      </c>
      <c r="W8" s="445">
        <f t="shared" si="2"/>
        <v>0</v>
      </c>
      <c r="X8" s="446"/>
      <c r="Y8" s="3337" t="s">
        <v>936</v>
      </c>
      <c r="Z8" s="3339"/>
      <c r="AA8" s="463" t="e">
        <f t="shared" ref="AA8:AA40" si="3">D8/F8</f>
        <v>#DIV/0!</v>
      </c>
      <c r="AB8" s="463" t="e">
        <f t="shared" ref="AB8:AB40" si="4">D8/H8</f>
        <v>#DIV/0!</v>
      </c>
      <c r="AC8" s="463" t="e">
        <f t="shared" ref="AC8:AC40" si="5">D8/J8</f>
        <v>#DIV/0!</v>
      </c>
    </row>
    <row r="9" spans="1:29" s="190" customFormat="1" ht="15">
      <c r="A9" s="230"/>
      <c r="B9" s="231" t="s">
        <v>937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0" t="s">
        <v>938</v>
      </c>
      <c r="Q9" s="447" t="str">
        <f t="shared" ref="Q9:Q15" si="6">B9</f>
        <v>用途</v>
      </c>
      <c r="R9" s="444" t="s">
        <v>932</v>
      </c>
      <c r="S9" s="445">
        <f t="shared" si="0"/>
        <v>100</v>
      </c>
      <c r="T9" s="444" t="s">
        <v>932</v>
      </c>
      <c r="U9" s="445">
        <f t="shared" si="1"/>
        <v>100</v>
      </c>
      <c r="V9" s="444" t="s">
        <v>932</v>
      </c>
      <c r="W9" s="445">
        <f t="shared" si="2"/>
        <v>100</v>
      </c>
      <c r="X9" s="446"/>
      <c r="Y9" s="3312"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0"/>
      <c r="Q11" s="447" t="str">
        <f t="shared" si="6"/>
        <v>容积率</v>
      </c>
      <c r="R11" s="444" t="s">
        <v>932</v>
      </c>
      <c r="S11" s="445" t="e">
        <f t="shared" si="0"/>
        <v>#N/A</v>
      </c>
      <c r="T11" s="444" t="s">
        <v>932</v>
      </c>
      <c r="U11" s="445" t="e">
        <f t="shared" si="1"/>
        <v>#N/A</v>
      </c>
      <c r="V11" s="444" t="s">
        <v>932</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0"/>
      <c r="Q14" s="447">
        <f t="shared" si="6"/>
        <v>111</v>
      </c>
      <c r="R14" s="444" t="s">
        <v>932</v>
      </c>
      <c r="S14" s="445">
        <f t="shared" si="0"/>
        <v>100</v>
      </c>
      <c r="T14" s="444" t="s">
        <v>932</v>
      </c>
      <c r="U14" s="445">
        <f t="shared" si="1"/>
        <v>100</v>
      </c>
      <c r="V14" s="444" t="s">
        <v>932</v>
      </c>
      <c r="W14" s="445">
        <f t="shared" si="2"/>
        <v>100</v>
      </c>
      <c r="X14" s="446"/>
      <c r="Y14" s="3312"/>
      <c r="Z14" s="464">
        <f t="shared" si="7"/>
        <v>111</v>
      </c>
      <c r="AA14" s="463">
        <f t="shared" si="3"/>
        <v>1</v>
      </c>
      <c r="AB14" s="463">
        <f t="shared" si="4"/>
        <v>1</v>
      </c>
      <c r="AC14" s="463">
        <f t="shared" si="5"/>
        <v>1</v>
      </c>
    </row>
    <row r="15" spans="1:29" ht="57">
      <c r="A15" s="248" t="s">
        <v>943</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7" t="s">
        <v>944</v>
      </c>
      <c r="Q15" s="383" t="str">
        <f t="shared" si="6"/>
        <v>产业集聚程度</v>
      </c>
      <c r="R15" s="448" t="s">
        <v>932</v>
      </c>
      <c r="S15" s="449">
        <f t="shared" si="0"/>
        <v>100</v>
      </c>
      <c r="T15" s="448" t="s">
        <v>932</v>
      </c>
      <c r="U15" s="449">
        <f t="shared" si="1"/>
        <v>100</v>
      </c>
      <c r="V15" s="448" t="s">
        <v>932</v>
      </c>
      <c r="W15" s="449">
        <f t="shared" si="2"/>
        <v>100</v>
      </c>
      <c r="X15" s="443"/>
      <c r="Y15" s="3347" t="s">
        <v>944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85.5">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8"/>
      <c r="Q17" s="383" t="str">
        <f>B17</f>
        <v>交通便捷度</v>
      </c>
      <c r="R17" s="448" t="s">
        <v>932</v>
      </c>
      <c r="S17" s="449">
        <f>F17</f>
        <v>100</v>
      </c>
      <c r="T17" s="448" t="s">
        <v>932</v>
      </c>
      <c r="U17" s="449">
        <f>H17</f>
        <v>100</v>
      </c>
      <c r="V17" s="448" t="s">
        <v>932</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8"/>
      <c r="Q19" s="383" t="str">
        <f>B19</f>
        <v>公共配套设施</v>
      </c>
      <c r="R19" s="448" t="s">
        <v>932</v>
      </c>
      <c r="S19" s="449">
        <f>F19</f>
        <v>100</v>
      </c>
      <c r="T19" s="448" t="s">
        <v>932</v>
      </c>
      <c r="U19" s="449">
        <f>H19</f>
        <v>100</v>
      </c>
      <c r="V19" s="448" t="s">
        <v>932</v>
      </c>
      <c r="W19" s="449">
        <f>J19</f>
        <v>100</v>
      </c>
      <c r="X19" s="443"/>
      <c r="Y19" s="3348"/>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28.5">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8"/>
      <c r="Q21" s="383" t="str">
        <f>B21</f>
        <v>基础设施水平</v>
      </c>
      <c r="R21" s="448" t="s">
        <v>932</v>
      </c>
      <c r="S21" s="449">
        <f>F21</f>
        <v>100</v>
      </c>
      <c r="T21" s="448" t="s">
        <v>932</v>
      </c>
      <c r="U21" s="449">
        <f>H21</f>
        <v>100</v>
      </c>
      <c r="V21" s="448" t="s">
        <v>932</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71.25">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8"/>
      <c r="Q23" s="383" t="str">
        <f>B23</f>
        <v>环境质量</v>
      </c>
      <c r="R23" s="448" t="s">
        <v>932</v>
      </c>
      <c r="S23" s="449">
        <f>F23</f>
        <v>100</v>
      </c>
      <c r="T23" s="448" t="s">
        <v>932</v>
      </c>
      <c r="U23" s="449">
        <f>H23</f>
        <v>100</v>
      </c>
      <c r="V23" s="448" t="s">
        <v>932</v>
      </c>
      <c r="W23" s="449">
        <f>J23</f>
        <v>100</v>
      </c>
      <c r="X23" s="443"/>
      <c r="Y23" s="3348"/>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8"/>
      <c r="Q25" s="383">
        <f>B25</f>
        <v>111</v>
      </c>
      <c r="R25" s="448" t="s">
        <v>932</v>
      </c>
      <c r="S25" s="449">
        <f>F25</f>
        <v>100</v>
      </c>
      <c r="T25" s="448" t="s">
        <v>932</v>
      </c>
      <c r="U25" s="449">
        <f>H25</f>
        <v>100</v>
      </c>
      <c r="V25" s="448" t="s">
        <v>932</v>
      </c>
      <c r="W25" s="449">
        <f>J25</f>
        <v>100</v>
      </c>
      <c r="X25" s="443"/>
      <c r="Y25" s="3348"/>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8"/>
      <c r="Q26" s="383">
        <f t="shared" ref="Q26:Q40" si="11">B26</f>
        <v>111</v>
      </c>
      <c r="R26" s="448" t="s">
        <v>932</v>
      </c>
      <c r="S26" s="449">
        <f>F26</f>
        <v>100</v>
      </c>
      <c r="T26" s="448" t="s">
        <v>932</v>
      </c>
      <c r="U26" s="449">
        <f>H26</f>
        <v>100</v>
      </c>
      <c r="V26" s="448" t="s">
        <v>932</v>
      </c>
      <c r="W26" s="449">
        <f>J26</f>
        <v>100</v>
      </c>
      <c r="X26" s="443"/>
      <c r="Y26" s="3348"/>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8"/>
      <c r="Q27" s="447">
        <f t="shared" si="11"/>
        <v>111</v>
      </c>
      <c r="R27" s="444" t="s">
        <v>932</v>
      </c>
      <c r="S27" s="445">
        <f>F27</f>
        <v>100</v>
      </c>
      <c r="T27" s="444" t="s">
        <v>932</v>
      </c>
      <c r="U27" s="445">
        <f>H27</f>
        <v>100</v>
      </c>
      <c r="V27" s="444" t="s">
        <v>932</v>
      </c>
      <c r="W27" s="445">
        <f>J27</f>
        <v>100</v>
      </c>
      <c r="X27" s="446"/>
      <c r="Y27" s="3348"/>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8"/>
      <c r="Q28" s="383">
        <f t="shared" si="11"/>
        <v>111</v>
      </c>
      <c r="R28" s="448" t="s">
        <v>932</v>
      </c>
      <c r="S28" s="449">
        <f t="shared" ref="S28:S40" si="12">F28</f>
        <v>100</v>
      </c>
      <c r="T28" s="448" t="s">
        <v>932</v>
      </c>
      <c r="U28" s="449">
        <f t="shared" ref="U28:U40" si="13">H28</f>
        <v>100</v>
      </c>
      <c r="V28" s="448" t="s">
        <v>932</v>
      </c>
      <c r="W28" s="449">
        <f t="shared" ref="W28:W40" si="14">J28</f>
        <v>100</v>
      </c>
      <c r="X28" s="443"/>
      <c r="Y28" s="3348"/>
      <c r="Z28" s="442">
        <f t="shared" ref="Z28:Z40" si="15">Q28</f>
        <v>111</v>
      </c>
      <c r="AA28" s="454">
        <f t="shared" si="3"/>
        <v>1</v>
      </c>
      <c r="AB28" s="454">
        <f t="shared" si="4"/>
        <v>1</v>
      </c>
      <c r="AC28" s="454">
        <f t="shared" si="5"/>
        <v>1</v>
      </c>
    </row>
    <row r="29" spans="1:29" ht="15">
      <c r="A29" s="283" t="s">
        <v>951</v>
      </c>
      <c r="B29" s="284" t="s">
        <v>2482</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9" t="s">
        <v>950</v>
      </c>
      <c r="Q29" s="383" t="str">
        <f t="shared" si="11"/>
        <v>建筑类型</v>
      </c>
      <c r="R29" s="448" t="s">
        <v>932</v>
      </c>
      <c r="S29" s="449">
        <f t="shared" si="12"/>
        <v>100</v>
      </c>
      <c r="T29" s="448" t="s">
        <v>932</v>
      </c>
      <c r="U29" s="449">
        <f t="shared" si="13"/>
        <v>100</v>
      </c>
      <c r="V29" s="448" t="s">
        <v>932</v>
      </c>
      <c r="W29" s="449">
        <f t="shared" si="14"/>
        <v>100</v>
      </c>
      <c r="X29" s="443"/>
      <c r="Y29" s="3350" t="s">
        <v>950</v>
      </c>
      <c r="Z29" s="442" t="str">
        <f t="shared" si="15"/>
        <v>建筑类型</v>
      </c>
      <c r="AA29" s="454">
        <f t="shared" si="3"/>
        <v>1</v>
      </c>
      <c r="AB29" s="454">
        <f t="shared" si="4"/>
        <v>1</v>
      </c>
      <c r="AC29" s="454">
        <f t="shared" si="5"/>
        <v>1</v>
      </c>
    </row>
    <row r="30" spans="1:29" s="192" customFormat="1" ht="15">
      <c r="A30" s="288"/>
      <c r="B30" s="289" t="s">
        <v>2483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0"/>
      <c r="Q30" s="450" t="str">
        <f t="shared" si="11"/>
        <v>项目建筑规模</v>
      </c>
      <c r="R30" s="451" t="s">
        <v>932</v>
      </c>
      <c r="S30" s="452" t="e">
        <f t="shared" si="12"/>
        <v>#N/A</v>
      </c>
      <c r="T30" s="451" t="s">
        <v>932</v>
      </c>
      <c r="U30" s="452" t="e">
        <f t="shared" si="13"/>
        <v>#N/A</v>
      </c>
      <c r="V30" s="451" t="s">
        <v>932</v>
      </c>
      <c r="W30" s="452" t="e">
        <f t="shared" si="14"/>
        <v>#N/A</v>
      </c>
      <c r="X30" s="453"/>
      <c r="Y30" s="3350"/>
      <c r="Z30" s="465" t="str">
        <f t="shared" si="15"/>
        <v>项目建筑规模</v>
      </c>
      <c r="AA30" s="454" t="e">
        <f t="shared" si="3"/>
        <v>#N/A</v>
      </c>
      <c r="AB30" s="454" t="e">
        <f t="shared" si="4"/>
        <v>#N/A</v>
      </c>
      <c r="AC30" s="454" t="e">
        <f t="shared" si="5"/>
        <v>#N/A</v>
      </c>
    </row>
    <row r="31" spans="1:29" ht="15">
      <c r="A31" s="293"/>
      <c r="B31" s="289" t="s">
        <v>2484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0"/>
      <c r="Q31" s="383" t="str">
        <f t="shared" si="11"/>
        <v>建筑结构</v>
      </c>
      <c r="R31" s="448" t="s">
        <v>932</v>
      </c>
      <c r="S31" s="449">
        <f t="shared" si="12"/>
        <v>100</v>
      </c>
      <c r="T31" s="448" t="s">
        <v>932</v>
      </c>
      <c r="U31" s="449">
        <f t="shared" si="13"/>
        <v>100</v>
      </c>
      <c r="V31" s="448" t="s">
        <v>932</v>
      </c>
      <c r="W31" s="449">
        <f t="shared" si="14"/>
        <v>100</v>
      </c>
      <c r="X31" s="443"/>
      <c r="Y31" s="3350"/>
      <c r="Z31" s="442" t="str">
        <f t="shared" si="15"/>
        <v>建筑结构</v>
      </c>
      <c r="AA31" s="454">
        <f t="shared" si="3"/>
        <v>1</v>
      </c>
      <c r="AB31" s="454">
        <f t="shared" si="4"/>
        <v>1</v>
      </c>
      <c r="AC31" s="454">
        <f t="shared" si="5"/>
        <v>1</v>
      </c>
    </row>
    <row r="32" spans="1:29" ht="15">
      <c r="A32" s="293"/>
      <c r="B32" s="289" t="s">
        <v>2486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0"/>
      <c r="Q32" s="383" t="str">
        <f t="shared" si="11"/>
        <v>公共部分装修</v>
      </c>
      <c r="R32" s="448" t="s">
        <v>932</v>
      </c>
      <c r="S32" s="449">
        <f t="shared" si="12"/>
        <v>100</v>
      </c>
      <c r="T32" s="448" t="s">
        <v>932</v>
      </c>
      <c r="U32" s="449">
        <f t="shared" si="13"/>
        <v>100</v>
      </c>
      <c r="V32" s="448" t="s">
        <v>932</v>
      </c>
      <c r="W32" s="449">
        <f t="shared" si="14"/>
        <v>100</v>
      </c>
      <c r="X32" s="443"/>
      <c r="Y32" s="3350"/>
      <c r="Z32" s="442" t="str">
        <f t="shared" si="15"/>
        <v>公共部分装修</v>
      </c>
      <c r="AA32" s="454">
        <f t="shared" si="3"/>
        <v>1</v>
      </c>
      <c r="AB32" s="454">
        <f t="shared" si="4"/>
        <v>1</v>
      </c>
      <c r="AC32" s="454">
        <f t="shared" si="5"/>
        <v>1</v>
      </c>
    </row>
    <row r="33" spans="1:29" ht="15">
      <c r="A33" s="293"/>
      <c r="B33" s="289" t="s">
        <v>2487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0"/>
      <c r="Q33" s="383" t="str">
        <f t="shared" si="11"/>
        <v>成新度</v>
      </c>
      <c r="R33" s="448" t="s">
        <v>932</v>
      </c>
      <c r="S33" s="449" t="e">
        <f t="shared" si="12"/>
        <v>#N/A</v>
      </c>
      <c r="T33" s="448" t="s">
        <v>932</v>
      </c>
      <c r="U33" s="449" t="e">
        <f t="shared" si="13"/>
        <v>#N/A</v>
      </c>
      <c r="V33" s="448" t="s">
        <v>932</v>
      </c>
      <c r="W33" s="449" t="e">
        <f t="shared" si="14"/>
        <v>#N/A</v>
      </c>
      <c r="X33" s="443"/>
      <c r="Y33" s="3350"/>
      <c r="Z33" s="442" t="str">
        <f t="shared" si="15"/>
        <v>成新度</v>
      </c>
      <c r="AA33" s="454" t="e">
        <f t="shared" si="3"/>
        <v>#N/A</v>
      </c>
      <c r="AB33" s="454" t="e">
        <f t="shared" si="4"/>
        <v>#N/A</v>
      </c>
      <c r="AC33" s="454" t="e">
        <f t="shared" si="5"/>
        <v>#N/A</v>
      </c>
    </row>
    <row r="34" spans="1:29" s="190" customFormat="1" ht="15">
      <c r="A34" s="296"/>
      <c r="B34" s="289" t="s">
        <v>2488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0"/>
      <c r="Q34" s="447" t="str">
        <f t="shared" si="11"/>
        <v>物业管理</v>
      </c>
      <c r="R34" s="444" t="s">
        <v>932</v>
      </c>
      <c r="S34" s="445">
        <f t="shared" si="12"/>
        <v>100</v>
      </c>
      <c r="T34" s="444" t="s">
        <v>932</v>
      </c>
      <c r="U34" s="445">
        <f t="shared" si="13"/>
        <v>100</v>
      </c>
      <c r="V34" s="444" t="s">
        <v>932</v>
      </c>
      <c r="W34" s="445">
        <f t="shared" si="14"/>
        <v>100</v>
      </c>
      <c r="X34" s="446"/>
      <c r="Y34" s="3350"/>
      <c r="Z34" s="464" t="str">
        <f t="shared" si="15"/>
        <v>物业管理</v>
      </c>
      <c r="AA34" s="463">
        <f t="shared" si="3"/>
        <v>1</v>
      </c>
      <c r="AB34" s="463">
        <f t="shared" si="4"/>
        <v>1</v>
      </c>
      <c r="AC34" s="463">
        <f t="shared" si="5"/>
        <v>1</v>
      </c>
    </row>
    <row r="35" spans="1:29" ht="15">
      <c r="A35" s="293"/>
      <c r="B35" s="544" t="s">
        <v>2489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0" t="s">
        <v>950</v>
      </c>
      <c r="Q35" s="383" t="str">
        <f t="shared" si="11"/>
        <v>市政基础设施</v>
      </c>
      <c r="R35" s="448" t="s">
        <v>932</v>
      </c>
      <c r="S35" s="449">
        <f t="shared" si="12"/>
        <v>100</v>
      </c>
      <c r="T35" s="448" t="s">
        <v>932</v>
      </c>
      <c r="U35" s="449">
        <f t="shared" si="13"/>
        <v>100</v>
      </c>
      <c r="V35" s="448" t="s">
        <v>932</v>
      </c>
      <c r="W35" s="449">
        <f t="shared" si="14"/>
        <v>100</v>
      </c>
      <c r="X35" s="443"/>
      <c r="Y35" s="3350" t="s">
        <v>950</v>
      </c>
      <c r="Z35" s="442" t="str">
        <f t="shared" si="15"/>
        <v>市政基础设施</v>
      </c>
      <c r="AA35" s="454">
        <f t="shared" si="3"/>
        <v>1</v>
      </c>
      <c r="AB35" s="454">
        <f t="shared" si="4"/>
        <v>1</v>
      </c>
      <c r="AC35" s="454">
        <f t="shared" si="5"/>
        <v>1</v>
      </c>
    </row>
    <row r="36" spans="1:29" ht="15">
      <c r="A36" s="293"/>
      <c r="B36" s="289" t="s">
        <v>2492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0"/>
      <c r="Q36" s="383" t="str">
        <f t="shared" si="11"/>
        <v>内部装修</v>
      </c>
      <c r="R36" s="448" t="s">
        <v>932</v>
      </c>
      <c r="S36" s="449">
        <f t="shared" si="12"/>
        <v>100</v>
      </c>
      <c r="T36" s="448" t="s">
        <v>932</v>
      </c>
      <c r="U36" s="449">
        <f t="shared" si="13"/>
        <v>100</v>
      </c>
      <c r="V36" s="448" t="s">
        <v>932</v>
      </c>
      <c r="W36" s="449">
        <f t="shared" si="14"/>
        <v>100</v>
      </c>
      <c r="X36" s="443"/>
      <c r="Y36" s="3350"/>
      <c r="Z36" s="442" t="str">
        <f t="shared" si="15"/>
        <v>内部装修</v>
      </c>
      <c r="AA36" s="454">
        <f t="shared" si="3"/>
        <v>1</v>
      </c>
      <c r="AB36" s="454">
        <f t="shared" si="4"/>
        <v>1</v>
      </c>
      <c r="AC36" s="454">
        <f t="shared" si="5"/>
        <v>1</v>
      </c>
    </row>
    <row r="37" spans="1:29" ht="15">
      <c r="A37" s="293"/>
      <c r="B37" s="289" t="s">
        <v>2534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0"/>
      <c r="Q37" s="383" t="str">
        <f t="shared" si="11"/>
        <v>内部装修状况</v>
      </c>
      <c r="R37" s="448" t="s">
        <v>932</v>
      </c>
      <c r="S37" s="449">
        <f t="shared" si="12"/>
        <v>100</v>
      </c>
      <c r="T37" s="448" t="s">
        <v>932</v>
      </c>
      <c r="U37" s="449">
        <f t="shared" si="13"/>
        <v>100</v>
      </c>
      <c r="V37" s="448" t="s">
        <v>932</v>
      </c>
      <c r="W37" s="449">
        <f t="shared" si="14"/>
        <v>100</v>
      </c>
      <c r="X37" s="443"/>
      <c r="Y37" s="3350"/>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0"/>
      <c r="Q38" s="450">
        <f t="shared" si="11"/>
        <v>111</v>
      </c>
      <c r="R38" s="451" t="s">
        <v>932</v>
      </c>
      <c r="S38" s="452">
        <f t="shared" si="12"/>
        <v>100</v>
      </c>
      <c r="T38" s="451" t="s">
        <v>932</v>
      </c>
      <c r="U38" s="452">
        <f t="shared" si="13"/>
        <v>100</v>
      </c>
      <c r="V38" s="451" t="s">
        <v>932</v>
      </c>
      <c r="W38" s="452">
        <f t="shared" si="14"/>
        <v>100</v>
      </c>
      <c r="X38" s="453"/>
      <c r="Y38" s="3350"/>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0"/>
      <c r="Q39" s="383">
        <f t="shared" si="11"/>
        <v>111</v>
      </c>
      <c r="R39" s="448" t="s">
        <v>932</v>
      </c>
      <c r="S39" s="449">
        <f t="shared" si="12"/>
        <v>100</v>
      </c>
      <c r="T39" s="448" t="s">
        <v>932</v>
      </c>
      <c r="U39" s="449">
        <f t="shared" si="13"/>
        <v>100</v>
      </c>
      <c r="V39" s="448" t="s">
        <v>932</v>
      </c>
      <c r="W39" s="449">
        <f t="shared" si="14"/>
        <v>100</v>
      </c>
      <c r="X39" s="443"/>
      <c r="Y39" s="3350"/>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0"/>
      <c r="Q40" s="383">
        <f t="shared" si="11"/>
        <v>111</v>
      </c>
      <c r="R40" s="448" t="s">
        <v>932</v>
      </c>
      <c r="S40" s="449">
        <f t="shared" si="12"/>
        <v>100</v>
      </c>
      <c r="T40" s="448" t="s">
        <v>932</v>
      </c>
      <c r="U40" s="449">
        <f t="shared" si="13"/>
        <v>100</v>
      </c>
      <c r="V40" s="448" t="s">
        <v>932</v>
      </c>
      <c r="W40" s="449">
        <f t="shared" si="14"/>
        <v>100</v>
      </c>
      <c r="X40" s="443"/>
      <c r="Y40" s="3450"/>
      <c r="Z40" s="442">
        <f t="shared" si="15"/>
        <v>111</v>
      </c>
      <c r="AA40" s="454">
        <f t="shared" si="3"/>
        <v>1</v>
      </c>
      <c r="AB40" s="454">
        <f t="shared" si="4"/>
        <v>1</v>
      </c>
      <c r="AC40" s="454">
        <f t="shared" si="5"/>
        <v>1</v>
      </c>
    </row>
    <row r="41" spans="1:29" ht="15">
      <c r="A41" s="303" t="s">
        <v>2493</v>
      </c>
      <c r="B41" s="304"/>
      <c r="C41" s="305" t="s">
        <v>138</v>
      </c>
      <c r="D41" s="306"/>
      <c r="E41" s="307"/>
      <c r="F41" s="308"/>
      <c r="G41" s="309"/>
      <c r="H41" s="310"/>
      <c r="I41" s="307"/>
      <c r="J41" s="310"/>
      <c r="K41" s="397"/>
      <c r="L41" s="398"/>
      <c r="M41" s="319"/>
      <c r="N41" s="378"/>
      <c r="O41" s="319"/>
      <c r="P41" s="3340" t="str">
        <f>A41</f>
        <v>成交单价（元/平方米）</v>
      </c>
      <c r="Q41" s="3340"/>
      <c r="R41" s="3448">
        <f>E41</f>
        <v>0</v>
      </c>
      <c r="S41" s="3448"/>
      <c r="T41" s="3448">
        <f>G41</f>
        <v>0</v>
      </c>
      <c r="U41" s="3448"/>
      <c r="V41" s="3448">
        <f>I41</f>
        <v>0</v>
      </c>
      <c r="W41" s="3448"/>
      <c r="X41" s="330"/>
      <c r="Y41" s="466"/>
      <c r="Z41" s="330"/>
      <c r="AA41" s="330"/>
      <c r="AB41" s="330"/>
      <c r="AC41" s="330"/>
    </row>
    <row r="42" spans="1:29" ht="15">
      <c r="A42" s="311" t="s">
        <v>959</v>
      </c>
      <c r="B42" s="312"/>
      <c r="C42" s="313" t="e">
        <f>R43</f>
        <v>#DIV/0!</v>
      </c>
      <c r="D42" s="314"/>
      <c r="E42" s="315" t="e">
        <f>R42</f>
        <v>#DIV/0!</v>
      </c>
      <c r="F42" s="315"/>
      <c r="G42" s="313" t="e">
        <f>T42</f>
        <v>#DIV/0!</v>
      </c>
      <c r="H42" s="314"/>
      <c r="I42" s="315" t="e">
        <f>V42</f>
        <v>#DIV/0!</v>
      </c>
      <c r="J42" s="314"/>
      <c r="K42" s="399"/>
      <c r="L42" s="398"/>
      <c r="M42" s="319"/>
      <c r="N42" s="378"/>
      <c r="O42" s="319"/>
      <c r="P42" s="3340" t="str">
        <f>A42</f>
        <v>比较价格（元/平方米）</v>
      </c>
      <c r="Q42" s="3340"/>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330"/>
      <c r="Y42" s="330"/>
      <c r="Z42" s="330"/>
      <c r="AA42" s="330"/>
      <c r="AB42" s="330"/>
      <c r="AC42" s="330"/>
    </row>
    <row r="43" spans="1:29" ht="15">
      <c r="A43" s="316" t="s">
        <v>960</v>
      </c>
      <c r="B43" s="317"/>
      <c r="C43" s="318" t="e">
        <f>R43</f>
        <v>#DIV/0!</v>
      </c>
      <c r="D43" s="318"/>
      <c r="E43" s="318"/>
      <c r="F43" s="318"/>
      <c r="G43" s="318"/>
      <c r="H43" s="318"/>
      <c r="I43" s="318"/>
      <c r="J43" s="318"/>
      <c r="K43" s="400"/>
      <c r="L43" s="398"/>
      <c r="M43" s="319"/>
      <c r="N43" s="319"/>
      <c r="O43" s="319"/>
      <c r="P43" s="3343" t="str">
        <f>A43</f>
        <v>估价对象XX用房的比较价格（楼面单价，元/平方米）</v>
      </c>
      <c r="Q43" s="3344"/>
      <c r="R43" s="3449" t="e">
        <f>IF(F1="售价",ROUND(AVERAGE(R42:V42),0),ROUND(AVERAGE(R42:V42),1))</f>
        <v>#DIV/0!</v>
      </c>
      <c r="S43" s="3449"/>
      <c r="T43" s="3449"/>
      <c r="U43" s="3449"/>
      <c r="V43" s="3449"/>
      <c r="W43" s="344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961</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962</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963</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985</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930</v>
      </c>
      <c r="B52" s="334"/>
      <c r="C52" s="335" t="str">
        <f>YEAR(C7)&amp;"-"&amp;MONTH(C7)</f>
        <v>2020-3</v>
      </c>
      <c r="D52" s="336">
        <f>EDATE(C52,-1)</f>
        <v>43862</v>
      </c>
      <c r="E52" s="336">
        <f t="shared" ref="E52:O52" si="16">EDATE(D52,-1)</f>
        <v>43831</v>
      </c>
      <c r="F52" s="336">
        <f t="shared" si="16"/>
        <v>43800</v>
      </c>
      <c r="G52" s="336">
        <f t="shared" si="16"/>
        <v>43770</v>
      </c>
      <c r="H52" s="336">
        <f t="shared" si="16"/>
        <v>43739</v>
      </c>
      <c r="I52" s="336">
        <f t="shared" si="16"/>
        <v>43709</v>
      </c>
      <c r="J52" s="336">
        <f t="shared" si="16"/>
        <v>43678</v>
      </c>
      <c r="K52" s="336">
        <f t="shared" si="16"/>
        <v>43647</v>
      </c>
      <c r="L52" s="336">
        <f t="shared" si="16"/>
        <v>43617</v>
      </c>
      <c r="M52" s="336">
        <f t="shared" si="16"/>
        <v>43586</v>
      </c>
      <c r="N52" s="336">
        <f t="shared" si="16"/>
        <v>43556</v>
      </c>
      <c r="O52" s="336">
        <f t="shared" si="16"/>
        <v>43525</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1371</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933</v>
      </c>
      <c r="B55" s="338"/>
      <c r="C55" s="346" t="s">
        <v>934</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989</v>
      </c>
      <c r="B57" s="349" t="s">
        <v>990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991</v>
      </c>
      <c r="C59" s="356" t="s">
        <v>2494</v>
      </c>
      <c r="D59" s="356" t="s">
        <v>2495</v>
      </c>
      <c r="E59" s="356" t="s">
        <v>2496</v>
      </c>
      <c r="F59" s="356" t="s">
        <v>2497</v>
      </c>
      <c r="G59" s="356" t="s">
        <v>2498</v>
      </c>
      <c r="H59" s="356" t="s">
        <v>2499</v>
      </c>
      <c r="I59" s="356" t="s">
        <v>2500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984</v>
      </c>
      <c r="D60" s="358" t="s">
        <v>984</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992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993</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998</v>
      </c>
      <c r="B88" s="349" t="s">
        <v>2482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2483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2484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2486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2487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2488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2489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2492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2535</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199"/>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IF(B37="元/平方米",C39,ROUND(B2*10000/D3,0))</f>
        <v>#DIV/0!</v>
      </c>
      <c r="C3" s="212" t="s">
        <v>2477</v>
      </c>
      <c r="D3" s="213">
        <f>SUMIF('数据-汇总表'!$C19:$C33,D1,'数据-汇总表'!$E19:$E33)</f>
        <v>0</v>
      </c>
      <c r="E3" s="496" t="s">
        <v>2536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920</v>
      </c>
      <c r="B4" s="215"/>
      <c r="C4" s="3329" t="s">
        <v>921</v>
      </c>
      <c r="D4" s="3330"/>
      <c r="E4" s="3329" t="s">
        <v>922</v>
      </c>
      <c r="F4" s="3330"/>
      <c r="G4" s="3329" t="s">
        <v>923</v>
      </c>
      <c r="H4" s="3330"/>
      <c r="I4" s="3329" t="s">
        <v>924</v>
      </c>
      <c r="J4" s="3330"/>
      <c r="K4" s="376" t="s">
        <v>925</v>
      </c>
      <c r="L4" s="377"/>
      <c r="M4" s="378"/>
      <c r="N4" s="378"/>
      <c r="O4" s="378"/>
      <c r="P4" s="3358" t="s">
        <v>926</v>
      </c>
      <c r="Q4" s="3359"/>
      <c r="R4" s="3364" t="s">
        <v>922</v>
      </c>
      <c r="S4" s="3365"/>
      <c r="T4" s="3364" t="s">
        <v>923</v>
      </c>
      <c r="U4" s="3365"/>
      <c r="V4" s="3341" t="s">
        <v>924</v>
      </c>
      <c r="W4" s="3341"/>
      <c r="X4" s="443"/>
      <c r="Y4" s="3364" t="s">
        <v>926</v>
      </c>
      <c r="Z4" s="3365"/>
      <c r="AA4" s="3351" t="s">
        <v>922</v>
      </c>
      <c r="AB4" s="3352" t="s">
        <v>923</v>
      </c>
      <c r="AC4" s="3351" t="s">
        <v>924</v>
      </c>
    </row>
    <row r="5" spans="1:29" ht="15">
      <c r="A5" s="216"/>
      <c r="B5" s="217"/>
      <c r="C5" s="3331" t="s">
        <v>927</v>
      </c>
      <c r="D5" s="3332"/>
      <c r="E5" s="3331" t="s">
        <v>1366</v>
      </c>
      <c r="F5" s="3332"/>
      <c r="G5" s="3331" t="s">
        <v>1367</v>
      </c>
      <c r="H5" s="3332"/>
      <c r="I5" s="3331" t="s">
        <v>1368</v>
      </c>
      <c r="J5" s="3332"/>
      <c r="K5" s="376"/>
      <c r="L5" s="377"/>
      <c r="M5" s="378"/>
      <c r="N5" s="378"/>
      <c r="O5" s="378"/>
      <c r="P5" s="3360"/>
      <c r="Q5" s="3361"/>
      <c r="R5" s="3366"/>
      <c r="S5" s="3367"/>
      <c r="T5" s="3366"/>
      <c r="U5" s="3367"/>
      <c r="V5" s="3341"/>
      <c r="W5" s="3341"/>
      <c r="X5" s="443"/>
      <c r="Y5" s="3366"/>
      <c r="Z5" s="3367"/>
      <c r="AA5" s="3352"/>
      <c r="AB5" s="3352"/>
      <c r="AC5" s="3352"/>
    </row>
    <row r="6" spans="1:29" ht="15">
      <c r="A6" s="218"/>
      <c r="B6" s="219"/>
      <c r="C6" s="3335" t="s">
        <v>928</v>
      </c>
      <c r="D6" s="3336"/>
      <c r="E6" s="3333" t="s">
        <v>928</v>
      </c>
      <c r="F6" s="3334"/>
      <c r="G6" s="3335" t="s">
        <v>928</v>
      </c>
      <c r="H6" s="3336"/>
      <c r="I6" s="3335" t="s">
        <v>928</v>
      </c>
      <c r="J6" s="3336"/>
      <c r="K6" s="376" t="s">
        <v>929</v>
      </c>
      <c r="L6" s="377"/>
      <c r="M6" s="378"/>
      <c r="N6" s="378"/>
      <c r="O6" s="378"/>
      <c r="P6" s="3362"/>
      <c r="Q6" s="3363"/>
      <c r="R6" s="3366"/>
      <c r="S6" s="3367"/>
      <c r="T6" s="3368"/>
      <c r="U6" s="3369"/>
      <c r="V6" s="3341"/>
      <c r="W6" s="3341"/>
      <c r="X6" s="443"/>
      <c r="Y6" s="3368"/>
      <c r="Z6" s="3369"/>
      <c r="AA6" s="3353"/>
      <c r="AB6" s="3353"/>
      <c r="AC6" s="3353"/>
    </row>
    <row r="7" spans="1:29" s="190" customFormat="1" ht="15">
      <c r="A7" s="220"/>
      <c r="B7" s="221" t="s">
        <v>930</v>
      </c>
      <c r="C7" s="222">
        <f>'数据-取费表'!B2</f>
        <v>43900</v>
      </c>
      <c r="D7" s="223">
        <v>100</v>
      </c>
      <c r="E7" s="224"/>
      <c r="F7" s="225">
        <f>SUMIF(48:48,YEAR(E7)&amp;"-"&amp;MONTH(E7),49:49)</f>
        <v>0</v>
      </c>
      <c r="G7" s="226"/>
      <c r="H7" s="223">
        <f>SUMIF(48:48,YEAR(G7)&amp;"-"&amp;MONTH(G7),49:49)</f>
        <v>0</v>
      </c>
      <c r="I7" s="226"/>
      <c r="J7" s="223">
        <f>SUMIF(48:48,YEAR(I7)&amp;"-"&amp;MONTH(I7),49:49)</f>
        <v>0</v>
      </c>
      <c r="K7" s="379"/>
      <c r="L7" s="380"/>
      <c r="M7" s="381"/>
      <c r="N7" s="381"/>
      <c r="O7" s="381"/>
      <c r="P7" s="3337" t="s">
        <v>931</v>
      </c>
      <c r="Q7" s="3338"/>
      <c r="R7" s="444" t="s">
        <v>932</v>
      </c>
      <c r="S7" s="445">
        <f t="shared" ref="S7:S14" si="0">F7</f>
        <v>0</v>
      </c>
      <c r="T7" s="444" t="s">
        <v>932</v>
      </c>
      <c r="U7" s="445">
        <f t="shared" ref="U7:U14" si="1">H7</f>
        <v>0</v>
      </c>
      <c r="V7" s="444" t="s">
        <v>932</v>
      </c>
      <c r="W7" s="445">
        <f t="shared" ref="W7:W14" si="2">J7</f>
        <v>0</v>
      </c>
      <c r="X7" s="446"/>
      <c r="Y7" s="3337" t="s">
        <v>931</v>
      </c>
      <c r="Z7" s="3339"/>
      <c r="AA7" s="463" t="e">
        <f>D7/F7</f>
        <v>#DIV/0!</v>
      </c>
      <c r="AB7" s="463" t="e">
        <f>D7/H7</f>
        <v>#DIV/0!</v>
      </c>
      <c r="AC7" s="463" t="e">
        <f>D7/J7</f>
        <v>#DIV/0!</v>
      </c>
    </row>
    <row r="8" spans="1:29" s="190" customFormat="1" ht="15">
      <c r="A8" s="227"/>
      <c r="B8" s="228" t="s">
        <v>933</v>
      </c>
      <c r="C8" s="229" t="s">
        <v>934</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7" t="s">
        <v>936</v>
      </c>
      <c r="Q8" s="3339"/>
      <c r="R8" s="444" t="s">
        <v>932</v>
      </c>
      <c r="S8" s="445">
        <f t="shared" si="0"/>
        <v>0</v>
      </c>
      <c r="T8" s="444" t="s">
        <v>932</v>
      </c>
      <c r="U8" s="445">
        <f t="shared" si="1"/>
        <v>0</v>
      </c>
      <c r="V8" s="444" t="s">
        <v>932</v>
      </c>
      <c r="W8" s="445">
        <f t="shared" si="2"/>
        <v>0</v>
      </c>
      <c r="X8" s="446"/>
      <c r="Y8" s="3337" t="s">
        <v>936</v>
      </c>
      <c r="Z8" s="3339"/>
      <c r="AA8" s="463" t="e">
        <f t="shared" ref="AA8:AA36" si="3">D8/F8</f>
        <v>#DIV/0!</v>
      </c>
      <c r="AB8" s="463" t="e">
        <f t="shared" ref="AB8:AB36" si="4">D8/H8</f>
        <v>#DIV/0!</v>
      </c>
      <c r="AC8" s="463" t="e">
        <f t="shared" ref="AC8:AC36" si="5">D8/J8</f>
        <v>#DIV/0!</v>
      </c>
    </row>
    <row r="9" spans="1:29" s="190" customFormat="1" ht="15">
      <c r="A9" s="230"/>
      <c r="B9" s="231" t="s">
        <v>937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0" t="s">
        <v>938</v>
      </c>
      <c r="Q9" s="447" t="str">
        <f t="shared" ref="Q9:Q14" si="6">B9</f>
        <v>用途</v>
      </c>
      <c r="R9" s="444" t="s">
        <v>932</v>
      </c>
      <c r="S9" s="445">
        <f t="shared" si="0"/>
        <v>100</v>
      </c>
      <c r="T9" s="444" t="s">
        <v>932</v>
      </c>
      <c r="U9" s="445">
        <f t="shared" si="1"/>
        <v>100</v>
      </c>
      <c r="V9" s="444" t="s">
        <v>932</v>
      </c>
      <c r="W9" s="445">
        <f t="shared" si="2"/>
        <v>100</v>
      </c>
      <c r="X9" s="446"/>
      <c r="Y9" s="3312"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0"/>
      <c r="Q11" s="447">
        <f t="shared" si="6"/>
        <v>111</v>
      </c>
      <c r="R11" s="444" t="s">
        <v>932</v>
      </c>
      <c r="S11" s="445">
        <f t="shared" si="0"/>
        <v>100</v>
      </c>
      <c r="T11" s="444" t="s">
        <v>932</v>
      </c>
      <c r="U11" s="445">
        <f t="shared" si="1"/>
        <v>100</v>
      </c>
      <c r="V11" s="444" t="s">
        <v>932</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85.5">
      <c r="A14" s="248" t="s">
        <v>943</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7" t="s">
        <v>944</v>
      </c>
      <c r="Q14" s="383" t="str">
        <f t="shared" si="6"/>
        <v>交通便捷度</v>
      </c>
      <c r="R14" s="448" t="s">
        <v>932</v>
      </c>
      <c r="S14" s="449">
        <f t="shared" si="0"/>
        <v>100</v>
      </c>
      <c r="T14" s="448" t="s">
        <v>932</v>
      </c>
      <c r="U14" s="449">
        <f t="shared" si="1"/>
        <v>100</v>
      </c>
      <c r="V14" s="448" t="s">
        <v>932</v>
      </c>
      <c r="W14" s="449">
        <f t="shared" si="2"/>
        <v>100</v>
      </c>
      <c r="X14" s="443"/>
      <c r="Y14" s="3347" t="s">
        <v>944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16"/>
      <c r="B16" s="261" t="s">
        <v>231</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8"/>
      <c r="Q16" s="383" t="str">
        <f>B16</f>
        <v>公共配套设施</v>
      </c>
      <c r="R16" s="448" t="s">
        <v>932</v>
      </c>
      <c r="S16" s="449">
        <f>F16</f>
        <v>100</v>
      </c>
      <c r="T16" s="448" t="s">
        <v>932</v>
      </c>
      <c r="U16" s="449">
        <f>H16</f>
        <v>100</v>
      </c>
      <c r="V16" s="448" t="s">
        <v>932</v>
      </c>
      <c r="W16" s="449">
        <f>J16</f>
        <v>100</v>
      </c>
      <c r="X16" s="443"/>
      <c r="Y16" s="3348"/>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28.5">
      <c r="A18" s="216"/>
      <c r="B18" s="269" t="s">
        <v>232</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8"/>
      <c r="Q18" s="383" t="str">
        <f>B18</f>
        <v>基础设施水平</v>
      </c>
      <c r="R18" s="448" t="s">
        <v>932</v>
      </c>
      <c r="S18" s="449">
        <f>F18</f>
        <v>100</v>
      </c>
      <c r="T18" s="448" t="s">
        <v>932</v>
      </c>
      <c r="U18" s="449">
        <f>H18</f>
        <v>100</v>
      </c>
      <c r="V18" s="448" t="s">
        <v>932</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57">
      <c r="A20" s="216"/>
      <c r="B20" s="500" t="s">
        <v>2478</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8"/>
      <c r="Q20" s="383" t="str">
        <f>B20</f>
        <v>自然及人文环境</v>
      </c>
      <c r="R20" s="448" t="s">
        <v>932</v>
      </c>
      <c r="S20" s="449">
        <f>F20</f>
        <v>100</v>
      </c>
      <c r="T20" s="448" t="s">
        <v>932</v>
      </c>
      <c r="U20" s="449">
        <f>H20</f>
        <v>100</v>
      </c>
      <c r="V20" s="448" t="s">
        <v>932</v>
      </c>
      <c r="W20" s="449">
        <f>J20</f>
        <v>100</v>
      </c>
      <c r="X20" s="443"/>
      <c r="Y20" s="3348"/>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16"/>
      <c r="B22" s="500" t="s">
        <v>2523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8"/>
      <c r="Q22" s="383" t="str">
        <f>B22</f>
        <v>楼层</v>
      </c>
      <c r="R22" s="448" t="s">
        <v>932</v>
      </c>
      <c r="S22" s="449">
        <f>F22</f>
        <v>100</v>
      </c>
      <c r="T22" s="448" t="s">
        <v>932</v>
      </c>
      <c r="U22" s="449">
        <f>H22</f>
        <v>100</v>
      </c>
      <c r="V22" s="448" t="s">
        <v>932</v>
      </c>
      <c r="W22" s="449">
        <f>J22</f>
        <v>100</v>
      </c>
      <c r="X22" s="443"/>
      <c r="Y22" s="3348"/>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8"/>
      <c r="Q23" s="383">
        <f>B23</f>
        <v>111</v>
      </c>
      <c r="R23" s="448" t="s">
        <v>932</v>
      </c>
      <c r="S23" s="449">
        <f>F23</f>
        <v>100</v>
      </c>
      <c r="T23" s="448" t="s">
        <v>932</v>
      </c>
      <c r="U23" s="449">
        <f>H23</f>
        <v>100</v>
      </c>
      <c r="V23" s="448" t="s">
        <v>932</v>
      </c>
      <c r="W23" s="449">
        <f>J23</f>
        <v>100</v>
      </c>
      <c r="X23" s="443"/>
      <c r="Y23" s="3348"/>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8"/>
      <c r="Q24" s="383">
        <f t="shared" ref="Q24:Q36" si="11">B24</f>
        <v>111</v>
      </c>
      <c r="R24" s="448" t="s">
        <v>932</v>
      </c>
      <c r="S24" s="449">
        <f>F24</f>
        <v>100</v>
      </c>
      <c r="T24" s="448" t="s">
        <v>932</v>
      </c>
      <c r="U24" s="449">
        <f>H24</f>
        <v>100</v>
      </c>
      <c r="V24" s="448" t="s">
        <v>932</v>
      </c>
      <c r="W24" s="449">
        <f>J24</f>
        <v>100</v>
      </c>
      <c r="X24" s="443"/>
      <c r="Y24" s="3348"/>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8"/>
      <c r="Q25" s="447">
        <f t="shared" si="11"/>
        <v>111</v>
      </c>
      <c r="R25" s="444" t="s">
        <v>932</v>
      </c>
      <c r="S25" s="445">
        <f>F25</f>
        <v>100</v>
      </c>
      <c r="T25" s="444" t="s">
        <v>932</v>
      </c>
      <c r="U25" s="445">
        <f>H25</f>
        <v>100</v>
      </c>
      <c r="V25" s="444" t="s">
        <v>932</v>
      </c>
      <c r="W25" s="445">
        <f>J25</f>
        <v>100</v>
      </c>
      <c r="X25" s="446"/>
      <c r="Y25" s="3348"/>
      <c r="Z25" s="464">
        <f>Q25</f>
        <v>111</v>
      </c>
      <c r="AA25" s="454">
        <f t="shared" si="3"/>
        <v>1</v>
      </c>
      <c r="AB25" s="454">
        <f t="shared" si="4"/>
        <v>1</v>
      </c>
      <c r="AC25" s="454">
        <f t="shared" si="5"/>
        <v>1</v>
      </c>
    </row>
    <row r="26" spans="1:29" ht="15">
      <c r="A26" s="283" t="s">
        <v>951</v>
      </c>
      <c r="B26" s="507" t="s">
        <v>2537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9" t="s">
        <v>950</v>
      </c>
      <c r="Q26" s="383" t="str">
        <f t="shared" si="11"/>
        <v>配套类型</v>
      </c>
      <c r="R26" s="448" t="s">
        <v>932</v>
      </c>
      <c r="S26" s="449">
        <f t="shared" ref="S26:S36" si="12">F26</f>
        <v>100</v>
      </c>
      <c r="T26" s="448" t="s">
        <v>932</v>
      </c>
      <c r="U26" s="449">
        <f t="shared" ref="U26:U36" si="13">H26</f>
        <v>100</v>
      </c>
      <c r="V26" s="448" t="s">
        <v>932</v>
      </c>
      <c r="W26" s="449">
        <f t="shared" ref="W26:W36" si="14">J26</f>
        <v>100</v>
      </c>
      <c r="X26" s="443"/>
      <c r="Y26" s="3350" t="s">
        <v>950</v>
      </c>
      <c r="Z26" s="442" t="str">
        <f t="shared" ref="Z26:Z36" si="15">Q26</f>
        <v>配套类型</v>
      </c>
      <c r="AA26" s="454">
        <f t="shared" si="3"/>
        <v>1</v>
      </c>
      <c r="AB26" s="454">
        <f t="shared" si="4"/>
        <v>1</v>
      </c>
      <c r="AC26" s="454">
        <f t="shared" si="5"/>
        <v>1</v>
      </c>
    </row>
    <row r="27" spans="1:29" s="192" customFormat="1" ht="15">
      <c r="A27" s="509"/>
      <c r="B27" s="510" t="s">
        <v>2538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0"/>
      <c r="Q27" s="450" t="str">
        <f t="shared" si="11"/>
        <v>项目停车位配比</v>
      </c>
      <c r="R27" s="451" t="s">
        <v>932</v>
      </c>
      <c r="S27" s="452">
        <f t="shared" si="12"/>
        <v>100</v>
      </c>
      <c r="T27" s="451" t="s">
        <v>932</v>
      </c>
      <c r="U27" s="452">
        <f t="shared" si="13"/>
        <v>100</v>
      </c>
      <c r="V27" s="451" t="s">
        <v>932</v>
      </c>
      <c r="W27" s="452">
        <f t="shared" si="14"/>
        <v>100</v>
      </c>
      <c r="X27" s="453"/>
      <c r="Y27" s="3350"/>
      <c r="Z27" s="465" t="str">
        <f t="shared" si="15"/>
        <v>项目停车位配比</v>
      </c>
      <c r="AA27" s="454">
        <f t="shared" si="3"/>
        <v>1</v>
      </c>
      <c r="AB27" s="454">
        <f t="shared" si="4"/>
        <v>1</v>
      </c>
      <c r="AC27" s="454">
        <f t="shared" si="5"/>
        <v>1</v>
      </c>
    </row>
    <row r="28" spans="1:29" ht="15">
      <c r="A28" s="512"/>
      <c r="B28" s="510" t="s">
        <v>2486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0"/>
      <c r="Q28" s="383" t="str">
        <f t="shared" si="11"/>
        <v>公共部分装修</v>
      </c>
      <c r="R28" s="448" t="s">
        <v>932</v>
      </c>
      <c r="S28" s="449">
        <f t="shared" si="12"/>
        <v>100</v>
      </c>
      <c r="T28" s="448" t="s">
        <v>932</v>
      </c>
      <c r="U28" s="449">
        <f t="shared" si="13"/>
        <v>100</v>
      </c>
      <c r="V28" s="448" t="s">
        <v>932</v>
      </c>
      <c r="W28" s="449">
        <f t="shared" si="14"/>
        <v>100</v>
      </c>
      <c r="X28" s="443"/>
      <c r="Y28" s="3350"/>
      <c r="Z28" s="442" t="str">
        <f t="shared" si="15"/>
        <v>公共部分装修</v>
      </c>
      <c r="AA28" s="454">
        <f t="shared" si="3"/>
        <v>1</v>
      </c>
      <c r="AB28" s="454">
        <f t="shared" si="4"/>
        <v>1</v>
      </c>
      <c r="AC28" s="454">
        <f t="shared" si="5"/>
        <v>1</v>
      </c>
    </row>
    <row r="29" spans="1:29" ht="15">
      <c r="A29" s="512"/>
      <c r="B29" s="510" t="s">
        <v>2539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0"/>
      <c r="Q29" s="383" t="str">
        <f t="shared" si="11"/>
        <v>成新率</v>
      </c>
      <c r="R29" s="448" t="s">
        <v>932</v>
      </c>
      <c r="S29" s="449" t="e">
        <f t="shared" si="12"/>
        <v>#N/A</v>
      </c>
      <c r="T29" s="448" t="s">
        <v>932</v>
      </c>
      <c r="U29" s="449" t="e">
        <f t="shared" si="13"/>
        <v>#N/A</v>
      </c>
      <c r="V29" s="448" t="s">
        <v>932</v>
      </c>
      <c r="W29" s="449" t="e">
        <f t="shared" si="14"/>
        <v>#N/A</v>
      </c>
      <c r="X29" s="443"/>
      <c r="Y29" s="3350"/>
      <c r="Z29" s="442" t="str">
        <f t="shared" si="15"/>
        <v>成新率</v>
      </c>
      <c r="AA29" s="454" t="e">
        <f t="shared" si="3"/>
        <v>#N/A</v>
      </c>
      <c r="AB29" s="454" t="e">
        <f t="shared" si="4"/>
        <v>#N/A</v>
      </c>
      <c r="AC29" s="454" t="e">
        <f t="shared" si="5"/>
        <v>#N/A</v>
      </c>
    </row>
    <row r="30" spans="1:29" ht="15">
      <c r="A30" s="512"/>
      <c r="B30" s="510" t="s">
        <v>2540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0"/>
      <c r="Q30" s="383" t="str">
        <f t="shared" si="11"/>
        <v>物业等级</v>
      </c>
      <c r="R30" s="448" t="s">
        <v>932</v>
      </c>
      <c r="S30" s="449">
        <f t="shared" si="12"/>
        <v>100</v>
      </c>
      <c r="T30" s="448" t="s">
        <v>932</v>
      </c>
      <c r="U30" s="449">
        <f t="shared" si="13"/>
        <v>100</v>
      </c>
      <c r="V30" s="448" t="s">
        <v>932</v>
      </c>
      <c r="W30" s="449">
        <f t="shared" si="14"/>
        <v>100</v>
      </c>
      <c r="X30" s="443"/>
      <c r="Y30" s="3350"/>
      <c r="Z30" s="442" t="str">
        <f t="shared" si="15"/>
        <v>物业等级</v>
      </c>
      <c r="AA30" s="454">
        <f t="shared" si="3"/>
        <v>1</v>
      </c>
      <c r="AB30" s="454">
        <f t="shared" si="4"/>
        <v>1</v>
      </c>
      <c r="AC30" s="454">
        <f t="shared" si="5"/>
        <v>1</v>
      </c>
    </row>
    <row r="31" spans="1:29" s="190" customFormat="1" ht="15">
      <c r="A31" s="513"/>
      <c r="B31" s="510" t="s">
        <v>2541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0"/>
      <c r="Q31" s="447" t="str">
        <f t="shared" si="11"/>
        <v>停车位面积</v>
      </c>
      <c r="R31" s="444" t="s">
        <v>932</v>
      </c>
      <c r="S31" s="445" t="e">
        <f t="shared" si="12"/>
        <v>#N/A</v>
      </c>
      <c r="T31" s="444" t="s">
        <v>932</v>
      </c>
      <c r="U31" s="445" t="e">
        <f t="shared" si="13"/>
        <v>#N/A</v>
      </c>
      <c r="V31" s="444" t="s">
        <v>932</v>
      </c>
      <c r="W31" s="445" t="e">
        <f t="shared" si="14"/>
        <v>#N/A</v>
      </c>
      <c r="X31" s="446"/>
      <c r="Y31" s="3350"/>
      <c r="Z31" s="464" t="str">
        <f t="shared" si="15"/>
        <v>停车位面积</v>
      </c>
      <c r="AA31" s="463" t="e">
        <f t="shared" si="3"/>
        <v>#N/A</v>
      </c>
      <c r="AB31" s="463" t="e">
        <f t="shared" si="4"/>
        <v>#N/A</v>
      </c>
      <c r="AC31" s="463" t="e">
        <f t="shared" si="5"/>
        <v>#N/A</v>
      </c>
    </row>
    <row r="32" spans="1:29" ht="15">
      <c r="A32" s="512"/>
      <c r="B32" s="510" t="s">
        <v>2542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0" t="s">
        <v>950</v>
      </c>
      <c r="Q32" s="383" t="str">
        <f t="shared" si="11"/>
        <v>车位类型</v>
      </c>
      <c r="R32" s="448" t="s">
        <v>932</v>
      </c>
      <c r="S32" s="449">
        <f t="shared" si="12"/>
        <v>100</v>
      </c>
      <c r="T32" s="448" t="s">
        <v>932</v>
      </c>
      <c r="U32" s="449">
        <f t="shared" si="13"/>
        <v>100</v>
      </c>
      <c r="V32" s="448" t="s">
        <v>932</v>
      </c>
      <c r="W32" s="449">
        <f t="shared" si="14"/>
        <v>100</v>
      </c>
      <c r="X32" s="443"/>
      <c r="Y32" s="3350" t="s">
        <v>950</v>
      </c>
      <c r="Z32" s="442" t="str">
        <f t="shared" si="15"/>
        <v>车位类型</v>
      </c>
      <c r="AA32" s="454">
        <f t="shared" si="3"/>
        <v>1</v>
      </c>
      <c r="AB32" s="454">
        <f t="shared" si="4"/>
        <v>1</v>
      </c>
      <c r="AC32" s="454">
        <f t="shared" si="5"/>
        <v>1</v>
      </c>
    </row>
    <row r="33" spans="1:29" ht="15">
      <c r="A33" s="512"/>
      <c r="B33" s="510" t="s">
        <v>2543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0"/>
      <c r="Q33" s="383" t="str">
        <f t="shared" si="11"/>
        <v>是否直接入户</v>
      </c>
      <c r="R33" s="448" t="s">
        <v>932</v>
      </c>
      <c r="S33" s="449">
        <f t="shared" si="12"/>
        <v>100</v>
      </c>
      <c r="T33" s="448" t="s">
        <v>932</v>
      </c>
      <c r="U33" s="449">
        <f t="shared" si="13"/>
        <v>100</v>
      </c>
      <c r="V33" s="448" t="s">
        <v>932</v>
      </c>
      <c r="W33" s="449">
        <f t="shared" si="14"/>
        <v>100</v>
      </c>
      <c r="X33" s="443"/>
      <c r="Y33" s="3350"/>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0"/>
      <c r="Q34" s="383">
        <f t="shared" si="11"/>
        <v>111</v>
      </c>
      <c r="R34" s="448" t="s">
        <v>932</v>
      </c>
      <c r="S34" s="449">
        <f t="shared" si="12"/>
        <v>100</v>
      </c>
      <c r="T34" s="448" t="s">
        <v>932</v>
      </c>
      <c r="U34" s="449">
        <f t="shared" si="13"/>
        <v>100</v>
      </c>
      <c r="V34" s="448" t="s">
        <v>932</v>
      </c>
      <c r="W34" s="449">
        <f t="shared" si="14"/>
        <v>100</v>
      </c>
      <c r="X34" s="443"/>
      <c r="Y34" s="3350"/>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0"/>
      <c r="Q35" s="450">
        <f t="shared" si="11"/>
        <v>111</v>
      </c>
      <c r="R35" s="451" t="s">
        <v>932</v>
      </c>
      <c r="S35" s="452">
        <f t="shared" si="12"/>
        <v>100</v>
      </c>
      <c r="T35" s="451" t="s">
        <v>932</v>
      </c>
      <c r="U35" s="452">
        <f t="shared" si="13"/>
        <v>100</v>
      </c>
      <c r="V35" s="451" t="s">
        <v>932</v>
      </c>
      <c r="W35" s="452">
        <f t="shared" si="14"/>
        <v>100</v>
      </c>
      <c r="X35" s="453"/>
      <c r="Y35" s="3350"/>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0"/>
      <c r="Q36" s="383">
        <f t="shared" si="11"/>
        <v>111</v>
      </c>
      <c r="R36" s="448" t="s">
        <v>932</v>
      </c>
      <c r="S36" s="449">
        <f t="shared" si="12"/>
        <v>100</v>
      </c>
      <c r="T36" s="448" t="s">
        <v>932</v>
      </c>
      <c r="U36" s="449">
        <f t="shared" si="13"/>
        <v>100</v>
      </c>
      <c r="V36" s="448" t="s">
        <v>932</v>
      </c>
      <c r="W36" s="449">
        <f t="shared" si="14"/>
        <v>100</v>
      </c>
      <c r="X36" s="443"/>
      <c r="Y36" s="3350"/>
      <c r="Z36" s="442">
        <f t="shared" si="15"/>
        <v>111</v>
      </c>
      <c r="AA36" s="454">
        <f t="shared" si="3"/>
        <v>1</v>
      </c>
      <c r="AB36" s="454">
        <f t="shared" si="4"/>
        <v>1</v>
      </c>
      <c r="AC36" s="454">
        <f t="shared" si="5"/>
        <v>1</v>
      </c>
    </row>
    <row r="37" spans="1:29" ht="15">
      <c r="A37" s="515" t="s">
        <v>2544</v>
      </c>
      <c r="B37" s="516" t="s">
        <v>1380</v>
      </c>
      <c r="C37" s="305" t="s">
        <v>138</v>
      </c>
      <c r="D37" s="306"/>
      <c r="E37" s="307"/>
      <c r="F37" s="308"/>
      <c r="G37" s="309"/>
      <c r="H37" s="310"/>
      <c r="I37" s="307"/>
      <c r="J37" s="310"/>
      <c r="K37" s="397"/>
      <c r="L37" s="398"/>
      <c r="M37" s="319"/>
      <c r="N37" s="378"/>
      <c r="O37" s="319"/>
      <c r="P37" s="3340" t="str">
        <f>A37</f>
        <v>成交单价</v>
      </c>
      <c r="Q37" s="3340"/>
      <c r="R37" s="3448">
        <f>E37</f>
        <v>0</v>
      </c>
      <c r="S37" s="3448"/>
      <c r="T37" s="3448">
        <f>G37</f>
        <v>0</v>
      </c>
      <c r="U37" s="3448"/>
      <c r="V37" s="3448">
        <f>I37</f>
        <v>0</v>
      </c>
      <c r="W37" s="3448"/>
      <c r="X37" s="330"/>
      <c r="Y37" s="466"/>
      <c r="Z37" s="330"/>
      <c r="AA37" s="330"/>
      <c r="AB37" s="330"/>
      <c r="AC37" s="330"/>
    </row>
    <row r="38" spans="1:29" ht="15">
      <c r="A38" s="311" t="s">
        <v>959</v>
      </c>
      <c r="B38" s="312"/>
      <c r="C38" s="313" t="e">
        <f>R39</f>
        <v>#DIV/0!</v>
      </c>
      <c r="D38" s="314"/>
      <c r="E38" s="315" t="e">
        <f>R38</f>
        <v>#DIV/0!</v>
      </c>
      <c r="F38" s="315"/>
      <c r="G38" s="313" t="e">
        <f>T38</f>
        <v>#DIV/0!</v>
      </c>
      <c r="H38" s="314"/>
      <c r="I38" s="315" t="e">
        <f>V38</f>
        <v>#DIV/0!</v>
      </c>
      <c r="J38" s="314"/>
      <c r="K38" s="399"/>
      <c r="L38" s="398"/>
      <c r="M38" s="319"/>
      <c r="N38" s="319"/>
      <c r="O38" s="319"/>
      <c r="P38" s="3340" t="str">
        <f>A38</f>
        <v>比较价格（元/平方米）</v>
      </c>
      <c r="Q38" s="3340"/>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330"/>
      <c r="Y38" s="330"/>
      <c r="Z38" s="330"/>
      <c r="AA38" s="330"/>
      <c r="AB38" s="330"/>
      <c r="AC38" s="330"/>
    </row>
    <row r="39" spans="1:29" ht="15">
      <c r="A39" s="316" t="s">
        <v>960</v>
      </c>
      <c r="B39" s="317"/>
      <c r="C39" s="318" t="e">
        <f>R39</f>
        <v>#DIV/0!</v>
      </c>
      <c r="D39" s="318"/>
      <c r="E39" s="318"/>
      <c r="F39" s="318"/>
      <c r="G39" s="318"/>
      <c r="H39" s="318"/>
      <c r="I39" s="318"/>
      <c r="J39" s="318"/>
      <c r="K39" s="400"/>
      <c r="L39" s="398"/>
      <c r="M39" s="319"/>
      <c r="N39" s="319"/>
      <c r="O39" s="319"/>
      <c r="P39" s="3343" t="str">
        <f>A39</f>
        <v>估价对象XX用房的比较价格（楼面单价，元/平方米）</v>
      </c>
      <c r="Q39" s="3344"/>
      <c r="R39" s="3449" t="e">
        <f>IF(F1="售价",ROUND(AVERAGE(R38:V38),0),ROUND(AVERAGE(R38:V38),1))</f>
        <v>#DIV/0!</v>
      </c>
      <c r="S39" s="3449"/>
      <c r="T39" s="3449"/>
      <c r="U39" s="3449"/>
      <c r="V39" s="3449"/>
      <c r="W39" s="344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961</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962</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963</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985</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930</v>
      </c>
      <c r="B48" s="334"/>
      <c r="C48" s="335" t="str">
        <f>YEAR(C7)&amp;"-"&amp;MONTH(C7)</f>
        <v>2020-3</v>
      </c>
      <c r="D48" s="336">
        <f>EDATE(C48,-1)</f>
        <v>43862</v>
      </c>
      <c r="E48" s="336">
        <f t="shared" ref="E48:O48" si="16">EDATE(D48,-1)</f>
        <v>43831</v>
      </c>
      <c r="F48" s="336">
        <f t="shared" si="16"/>
        <v>43800</v>
      </c>
      <c r="G48" s="336">
        <f t="shared" si="16"/>
        <v>43770</v>
      </c>
      <c r="H48" s="336">
        <f t="shared" si="16"/>
        <v>43739</v>
      </c>
      <c r="I48" s="336">
        <f t="shared" si="16"/>
        <v>43709</v>
      </c>
      <c r="J48" s="336">
        <f t="shared" si="16"/>
        <v>43678</v>
      </c>
      <c r="K48" s="336">
        <f t="shared" si="16"/>
        <v>43647</v>
      </c>
      <c r="L48" s="336">
        <f t="shared" si="16"/>
        <v>43617</v>
      </c>
      <c r="M48" s="336">
        <f t="shared" si="16"/>
        <v>43586</v>
      </c>
      <c r="N48" s="336">
        <f t="shared" si="16"/>
        <v>43556</v>
      </c>
      <c r="O48" s="336">
        <f t="shared" si="16"/>
        <v>43525</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1371</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933</v>
      </c>
      <c r="B51" s="338"/>
      <c r="C51" s="346" t="s">
        <v>934</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989</v>
      </c>
      <c r="B53" s="349" t="s">
        <v>990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991</v>
      </c>
      <c r="C55" s="356" t="s">
        <v>2494</v>
      </c>
      <c r="D55" s="356" t="s">
        <v>2495</v>
      </c>
      <c r="E55" s="356" t="s">
        <v>2496</v>
      </c>
      <c r="F55" s="356" t="s">
        <v>2497</v>
      </c>
      <c r="G55" s="356" t="s">
        <v>2498</v>
      </c>
      <c r="H55" s="356" t="s">
        <v>2499</v>
      </c>
      <c r="I55" s="356" t="s">
        <v>2500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984</v>
      </c>
      <c r="D56" s="358" t="s">
        <v>984</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993</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2478</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2523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998</v>
      </c>
      <c r="B79" s="349" t="s">
        <v>2545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2538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2486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2539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2540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2541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2542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2543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66881平方米。根据《建设工程规划许可证》[]、《出让合同》[]，估价对象规划建筑面积为128526.97平方米。</v>
      </c>
    </row>
    <row r="7" spans="1:4" ht="93.75">
      <c r="A7" s="3119" t="s">
        <v>95</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2020年3月10日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根据《国有土地使用证》[]，估价对象（分摊）出让国有建设用地使用权面积为66881平方米。根据《建设工程规划许可证》[]、《出让合同》[]，估价对象规划建筑面积为128526.97平方米。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2473</v>
      </c>
      <c r="B1" s="199"/>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C37</f>
        <v>#DIV/0!</v>
      </c>
      <c r="C3" s="212" t="s">
        <v>2477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920</v>
      </c>
      <c r="B4" s="215"/>
      <c r="C4" s="3329" t="s">
        <v>921</v>
      </c>
      <c r="D4" s="3330"/>
      <c r="E4" s="3370" t="s">
        <v>922</v>
      </c>
      <c r="F4" s="3371"/>
      <c r="G4" s="3329" t="s">
        <v>923</v>
      </c>
      <c r="H4" s="3330"/>
      <c r="I4" s="3329" t="s">
        <v>924</v>
      </c>
      <c r="J4" s="3330"/>
      <c r="K4" s="376" t="s">
        <v>925</v>
      </c>
      <c r="L4" s="377"/>
      <c r="M4" s="378"/>
      <c r="N4" s="378"/>
      <c r="O4" s="378"/>
      <c r="P4" s="3358" t="s">
        <v>926</v>
      </c>
      <c r="Q4" s="3359"/>
      <c r="R4" s="3364" t="s">
        <v>922</v>
      </c>
      <c r="S4" s="3365"/>
      <c r="T4" s="3364" t="s">
        <v>923</v>
      </c>
      <c r="U4" s="3365"/>
      <c r="V4" s="3341" t="s">
        <v>924</v>
      </c>
      <c r="W4" s="3341"/>
      <c r="X4" s="443"/>
      <c r="Y4" s="3364" t="s">
        <v>926</v>
      </c>
      <c r="Z4" s="3365"/>
      <c r="AA4" s="3351" t="s">
        <v>922</v>
      </c>
      <c r="AB4" s="3352" t="s">
        <v>923</v>
      </c>
      <c r="AC4" s="3351" t="s">
        <v>924</v>
      </c>
    </row>
    <row r="5" spans="1:29" ht="15">
      <c r="A5" s="216"/>
      <c r="B5" s="217"/>
      <c r="C5" s="3331" t="s">
        <v>927</v>
      </c>
      <c r="D5" s="3332"/>
      <c r="E5" s="3372" t="s">
        <v>1366</v>
      </c>
      <c r="F5" s="3373"/>
      <c r="G5" s="3331" t="s">
        <v>1367</v>
      </c>
      <c r="H5" s="3332"/>
      <c r="I5" s="3331" t="s">
        <v>1368</v>
      </c>
      <c r="J5" s="3332"/>
      <c r="K5" s="376"/>
      <c r="L5" s="377"/>
      <c r="M5" s="378"/>
      <c r="N5" s="378"/>
      <c r="O5" s="378"/>
      <c r="P5" s="3360"/>
      <c r="Q5" s="3361"/>
      <c r="R5" s="3366"/>
      <c r="S5" s="3367"/>
      <c r="T5" s="3366"/>
      <c r="U5" s="3367"/>
      <c r="V5" s="3341"/>
      <c r="W5" s="3341"/>
      <c r="X5" s="443"/>
      <c r="Y5" s="3366"/>
      <c r="Z5" s="3367"/>
      <c r="AA5" s="3352"/>
      <c r="AB5" s="3352"/>
      <c r="AC5" s="3352"/>
    </row>
    <row r="6" spans="1:29" ht="15">
      <c r="A6" s="218"/>
      <c r="B6" s="219"/>
      <c r="C6" s="3335" t="s">
        <v>928</v>
      </c>
      <c r="D6" s="3336"/>
      <c r="E6" s="3374" t="s">
        <v>928</v>
      </c>
      <c r="F6" s="3375"/>
      <c r="G6" s="3335" t="s">
        <v>928</v>
      </c>
      <c r="H6" s="3336"/>
      <c r="I6" s="3335" t="s">
        <v>928</v>
      </c>
      <c r="J6" s="3336"/>
      <c r="K6" s="376" t="s">
        <v>929</v>
      </c>
      <c r="L6" s="377"/>
      <c r="M6" s="378"/>
      <c r="N6" s="378"/>
      <c r="O6" s="378"/>
      <c r="P6" s="3362"/>
      <c r="Q6" s="3363"/>
      <c r="R6" s="3366"/>
      <c r="S6" s="3367"/>
      <c r="T6" s="3368"/>
      <c r="U6" s="3369"/>
      <c r="V6" s="3341"/>
      <c r="W6" s="3341"/>
      <c r="X6" s="443"/>
      <c r="Y6" s="3368"/>
      <c r="Z6" s="3369"/>
      <c r="AA6" s="3353"/>
      <c r="AB6" s="3353"/>
      <c r="AC6" s="3353"/>
    </row>
    <row r="7" spans="1:29" s="190" customFormat="1" ht="15">
      <c r="A7" s="220"/>
      <c r="B7" s="221" t="s">
        <v>930</v>
      </c>
      <c r="C7" s="222">
        <f>'数据-取费表'!B2</f>
        <v>43900</v>
      </c>
      <c r="D7" s="223">
        <v>100</v>
      </c>
      <c r="E7" s="224"/>
      <c r="F7" s="225">
        <f>SUMIF(46:46,YEAR(E7)&amp;"-"&amp;MONTH(E7),47:47)</f>
        <v>0</v>
      </c>
      <c r="G7" s="226"/>
      <c r="H7" s="223">
        <f>SUMIF(46:46,YEAR(G7)&amp;"-"&amp;MONTH(G7),47:47)</f>
        <v>0</v>
      </c>
      <c r="I7" s="226"/>
      <c r="J7" s="223">
        <f>SUMIF(46:46,YEAR(I7)&amp;"-"&amp;MONTH(I7),47:47)</f>
        <v>0</v>
      </c>
      <c r="K7" s="379"/>
      <c r="L7" s="380"/>
      <c r="M7" s="381"/>
      <c r="N7" s="381"/>
      <c r="O7" s="381"/>
      <c r="P7" s="3337" t="s">
        <v>931</v>
      </c>
      <c r="Q7" s="3338"/>
      <c r="R7" s="444" t="s">
        <v>932</v>
      </c>
      <c r="S7" s="445">
        <f t="shared" ref="S7:S14" si="0">F7</f>
        <v>0</v>
      </c>
      <c r="T7" s="444" t="s">
        <v>932</v>
      </c>
      <c r="U7" s="445">
        <f t="shared" ref="U7:U14" si="1">H7</f>
        <v>0</v>
      </c>
      <c r="V7" s="444" t="s">
        <v>932</v>
      </c>
      <c r="W7" s="445">
        <f t="shared" ref="W7:W14" si="2">J7</f>
        <v>0</v>
      </c>
      <c r="X7" s="446"/>
      <c r="Y7" s="3337" t="s">
        <v>931</v>
      </c>
      <c r="Z7" s="3339"/>
      <c r="AA7" s="463" t="e">
        <f>D7/F7</f>
        <v>#DIV/0!</v>
      </c>
      <c r="AB7" s="463" t="e">
        <f>D7/H7</f>
        <v>#DIV/0!</v>
      </c>
      <c r="AC7" s="463" t="e">
        <f>D7/J7</f>
        <v>#DIV/0!</v>
      </c>
    </row>
    <row r="8" spans="1:29" s="190" customFormat="1" ht="15">
      <c r="A8" s="227"/>
      <c r="B8" s="228" t="s">
        <v>933</v>
      </c>
      <c r="C8" s="229" t="s">
        <v>934</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7" t="s">
        <v>936</v>
      </c>
      <c r="Q8" s="3339"/>
      <c r="R8" s="444" t="s">
        <v>932</v>
      </c>
      <c r="S8" s="445">
        <f t="shared" si="0"/>
        <v>0</v>
      </c>
      <c r="T8" s="444" t="s">
        <v>932</v>
      </c>
      <c r="U8" s="445">
        <f t="shared" si="1"/>
        <v>0</v>
      </c>
      <c r="V8" s="444" t="s">
        <v>932</v>
      </c>
      <c r="W8" s="445">
        <f t="shared" si="2"/>
        <v>0</v>
      </c>
      <c r="X8" s="446"/>
      <c r="Y8" s="3337" t="s">
        <v>936</v>
      </c>
      <c r="Z8" s="3339"/>
      <c r="AA8" s="463" t="e">
        <f t="shared" ref="AA8:AA34" si="3">D8/F8</f>
        <v>#DIV/0!</v>
      </c>
      <c r="AB8" s="463" t="e">
        <f t="shared" ref="AB8:AB34" si="4">D8/H8</f>
        <v>#DIV/0!</v>
      </c>
      <c r="AC8" s="463" t="e">
        <f t="shared" ref="AC8:AC34" si="5">D8/J8</f>
        <v>#DIV/0!</v>
      </c>
    </row>
    <row r="9" spans="1:29" s="190" customFormat="1" ht="15">
      <c r="A9" s="230"/>
      <c r="B9" s="231" t="s">
        <v>937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0" t="s">
        <v>938</v>
      </c>
      <c r="Q9" s="447" t="str">
        <f t="shared" ref="Q9:Q14" si="6">B9</f>
        <v>用途</v>
      </c>
      <c r="R9" s="444" t="s">
        <v>932</v>
      </c>
      <c r="S9" s="445">
        <f t="shared" si="0"/>
        <v>100</v>
      </c>
      <c r="T9" s="444" t="s">
        <v>932</v>
      </c>
      <c r="U9" s="445">
        <f t="shared" si="1"/>
        <v>100</v>
      </c>
      <c r="V9" s="444" t="s">
        <v>932</v>
      </c>
      <c r="W9" s="445">
        <f t="shared" si="2"/>
        <v>100</v>
      </c>
      <c r="X9" s="446"/>
      <c r="Y9" s="3312"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0"/>
      <c r="Q10" s="447" t="str">
        <f t="shared" si="6"/>
        <v>土地使用年限（年）</v>
      </c>
      <c r="R10" s="444" t="s">
        <v>932</v>
      </c>
      <c r="S10" s="445">
        <f t="shared" si="0"/>
        <v>100</v>
      </c>
      <c r="T10" s="444" t="s">
        <v>932</v>
      </c>
      <c r="U10" s="445">
        <f t="shared" si="1"/>
        <v>100</v>
      </c>
      <c r="V10" s="444" t="s">
        <v>932</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0"/>
      <c r="Q11" s="447">
        <f t="shared" si="6"/>
        <v>111</v>
      </c>
      <c r="R11" s="444" t="s">
        <v>932</v>
      </c>
      <c r="S11" s="445">
        <f t="shared" si="0"/>
        <v>100</v>
      </c>
      <c r="T11" s="444" t="s">
        <v>932</v>
      </c>
      <c r="U11" s="445">
        <f t="shared" si="1"/>
        <v>100</v>
      </c>
      <c r="V11" s="444" t="s">
        <v>932</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0"/>
      <c r="Q12" s="447">
        <f t="shared" si="6"/>
        <v>111</v>
      </c>
      <c r="R12" s="444" t="s">
        <v>932</v>
      </c>
      <c r="S12" s="445">
        <f t="shared" si="0"/>
        <v>100</v>
      </c>
      <c r="T12" s="444" t="s">
        <v>932</v>
      </c>
      <c r="U12" s="445">
        <f t="shared" si="1"/>
        <v>100</v>
      </c>
      <c r="V12" s="444" t="s">
        <v>932</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0"/>
      <c r="Q13" s="447">
        <f t="shared" si="6"/>
        <v>111</v>
      </c>
      <c r="R13" s="444" t="s">
        <v>932</v>
      </c>
      <c r="S13" s="445">
        <f t="shared" si="0"/>
        <v>100</v>
      </c>
      <c r="T13" s="444" t="s">
        <v>932</v>
      </c>
      <c r="U13" s="445">
        <f t="shared" si="1"/>
        <v>100</v>
      </c>
      <c r="V13" s="444" t="s">
        <v>932</v>
      </c>
      <c r="W13" s="445">
        <f t="shared" si="2"/>
        <v>100</v>
      </c>
      <c r="X13" s="446"/>
      <c r="Y13" s="3312"/>
      <c r="Z13" s="464">
        <f t="shared" si="7"/>
        <v>111</v>
      </c>
      <c r="AA13" s="463">
        <f t="shared" si="3"/>
        <v>1</v>
      </c>
      <c r="AB13" s="463">
        <f t="shared" si="4"/>
        <v>1</v>
      </c>
      <c r="AC13" s="463">
        <f t="shared" si="5"/>
        <v>1</v>
      </c>
    </row>
    <row r="14" spans="1:29" ht="85.5">
      <c r="A14" s="248" t="s">
        <v>943</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7" t="s">
        <v>944</v>
      </c>
      <c r="Q14" s="383" t="str">
        <f t="shared" si="6"/>
        <v>交通便捷度</v>
      </c>
      <c r="R14" s="448" t="s">
        <v>932</v>
      </c>
      <c r="S14" s="449">
        <f t="shared" si="0"/>
        <v>100</v>
      </c>
      <c r="T14" s="448" t="s">
        <v>932</v>
      </c>
      <c r="U14" s="449">
        <f t="shared" si="1"/>
        <v>100</v>
      </c>
      <c r="V14" s="448" t="s">
        <v>932</v>
      </c>
      <c r="W14" s="449">
        <f t="shared" si="2"/>
        <v>100</v>
      </c>
      <c r="X14" s="443"/>
      <c r="Y14" s="3347" t="s">
        <v>944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55"/>
      <c r="B16" s="261" t="s">
        <v>231</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8"/>
      <c r="Q16" s="383" t="str">
        <f>B16</f>
        <v>公共配套设施</v>
      </c>
      <c r="R16" s="448" t="s">
        <v>932</v>
      </c>
      <c r="S16" s="449">
        <f>F16</f>
        <v>100</v>
      </c>
      <c r="T16" s="448" t="s">
        <v>932</v>
      </c>
      <c r="U16" s="449">
        <f>H16</f>
        <v>100</v>
      </c>
      <c r="V16" s="448" t="s">
        <v>932</v>
      </c>
      <c r="W16" s="449">
        <f>J16</f>
        <v>100</v>
      </c>
      <c r="X16" s="443"/>
      <c r="Y16" s="3348"/>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28.5">
      <c r="A18" s="255"/>
      <c r="B18" s="269" t="s">
        <v>232</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8"/>
      <c r="Q18" s="383" t="str">
        <f>B18</f>
        <v>基础设施水平</v>
      </c>
      <c r="R18" s="448" t="s">
        <v>932</v>
      </c>
      <c r="S18" s="449">
        <f>F18</f>
        <v>100</v>
      </c>
      <c r="T18" s="448" t="s">
        <v>932</v>
      </c>
      <c r="U18" s="449">
        <f>H18</f>
        <v>100</v>
      </c>
      <c r="V18" s="448" t="s">
        <v>932</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57">
      <c r="A20" s="255"/>
      <c r="B20" s="274" t="s">
        <v>2478</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8"/>
      <c r="Q20" s="383" t="str">
        <f>B20</f>
        <v>自然及人文环境</v>
      </c>
      <c r="R20" s="448" t="s">
        <v>932</v>
      </c>
      <c r="S20" s="449">
        <f>F20</f>
        <v>100</v>
      </c>
      <c r="T20" s="448" t="s">
        <v>932</v>
      </c>
      <c r="U20" s="449">
        <f>H20</f>
        <v>100</v>
      </c>
      <c r="V20" s="448" t="s">
        <v>932</v>
      </c>
      <c r="W20" s="449">
        <f>J20</f>
        <v>100</v>
      </c>
      <c r="X20" s="443"/>
      <c r="Y20" s="3348"/>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55"/>
      <c r="B22" s="274" t="s">
        <v>2523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8"/>
      <c r="Q22" s="383" t="str">
        <f>B22</f>
        <v>楼层</v>
      </c>
      <c r="R22" s="448" t="s">
        <v>932</v>
      </c>
      <c r="S22" s="449">
        <f>F22</f>
        <v>100</v>
      </c>
      <c r="T22" s="448" t="s">
        <v>932</v>
      </c>
      <c r="U22" s="449">
        <f>H22</f>
        <v>100</v>
      </c>
      <c r="V22" s="448" t="s">
        <v>932</v>
      </c>
      <c r="W22" s="449">
        <f>J22</f>
        <v>100</v>
      </c>
      <c r="X22" s="443"/>
      <c r="Y22" s="3348"/>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8"/>
      <c r="Q23" s="383">
        <f>B23</f>
        <v>111</v>
      </c>
      <c r="R23" s="448" t="s">
        <v>932</v>
      </c>
      <c r="S23" s="449">
        <f>F23</f>
        <v>100</v>
      </c>
      <c r="T23" s="448" t="s">
        <v>932</v>
      </c>
      <c r="U23" s="449">
        <f>H23</f>
        <v>100</v>
      </c>
      <c r="V23" s="448" t="s">
        <v>932</v>
      </c>
      <c r="W23" s="449">
        <f>J23</f>
        <v>100</v>
      </c>
      <c r="X23" s="443"/>
      <c r="Y23" s="3348"/>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8"/>
      <c r="Q24" s="383">
        <f t="shared" ref="Q24:Q34" si="11">B24</f>
        <v>111</v>
      </c>
      <c r="R24" s="448" t="s">
        <v>932</v>
      </c>
      <c r="S24" s="449">
        <f>F24</f>
        <v>100</v>
      </c>
      <c r="T24" s="448" t="s">
        <v>932</v>
      </c>
      <c r="U24" s="449">
        <f>H24</f>
        <v>100</v>
      </c>
      <c r="V24" s="448" t="s">
        <v>932</v>
      </c>
      <c r="W24" s="449">
        <f>J24</f>
        <v>100</v>
      </c>
      <c r="X24" s="443"/>
      <c r="Y24" s="3348"/>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8"/>
      <c r="Q25" s="447">
        <f t="shared" si="11"/>
        <v>111</v>
      </c>
      <c r="R25" s="444" t="s">
        <v>932</v>
      </c>
      <c r="S25" s="445">
        <f>F25</f>
        <v>100</v>
      </c>
      <c r="T25" s="444" t="s">
        <v>932</v>
      </c>
      <c r="U25" s="445">
        <f>H25</f>
        <v>100</v>
      </c>
      <c r="V25" s="444" t="s">
        <v>932</v>
      </c>
      <c r="W25" s="445">
        <f>J25</f>
        <v>100</v>
      </c>
      <c r="X25" s="446"/>
      <c r="Y25" s="3348"/>
      <c r="Z25" s="464">
        <f>Q25</f>
        <v>111</v>
      </c>
      <c r="AA25" s="454">
        <f t="shared" si="3"/>
        <v>1</v>
      </c>
      <c r="AB25" s="454">
        <f t="shared" si="4"/>
        <v>1</v>
      </c>
      <c r="AC25" s="454">
        <f t="shared" si="5"/>
        <v>1</v>
      </c>
    </row>
    <row r="26" spans="1:29" ht="15">
      <c r="A26" s="283" t="s">
        <v>951</v>
      </c>
      <c r="B26" s="284" t="s">
        <v>2486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9" t="s">
        <v>950</v>
      </c>
      <c r="Q26" s="383" t="str">
        <f t="shared" si="11"/>
        <v>公共部分装修</v>
      </c>
      <c r="R26" s="448" t="s">
        <v>932</v>
      </c>
      <c r="S26" s="449">
        <f t="shared" ref="S26:S34" si="12">F26</f>
        <v>100</v>
      </c>
      <c r="T26" s="448" t="s">
        <v>932</v>
      </c>
      <c r="U26" s="449">
        <f t="shared" ref="U26:U34" si="13">H26</f>
        <v>100</v>
      </c>
      <c r="V26" s="448" t="s">
        <v>932</v>
      </c>
      <c r="W26" s="449">
        <f t="shared" ref="W26:W34" si="14">J26</f>
        <v>100</v>
      </c>
      <c r="X26" s="443"/>
      <c r="Y26" s="3350" t="s">
        <v>950</v>
      </c>
      <c r="Z26" s="442" t="str">
        <f t="shared" ref="Z26:Z34" si="15">Q26</f>
        <v>公共部分装修</v>
      </c>
      <c r="AA26" s="454">
        <f t="shared" si="3"/>
        <v>1</v>
      </c>
      <c r="AB26" s="454">
        <f t="shared" si="4"/>
        <v>1</v>
      </c>
      <c r="AC26" s="454">
        <f t="shared" si="5"/>
        <v>1</v>
      </c>
    </row>
    <row r="27" spans="1:29" s="192" customFormat="1" ht="15">
      <c r="A27" s="288"/>
      <c r="B27" s="289" t="s">
        <v>2539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0"/>
      <c r="Q27" s="450" t="str">
        <f t="shared" si="11"/>
        <v>成新率</v>
      </c>
      <c r="R27" s="451" t="s">
        <v>932</v>
      </c>
      <c r="S27" s="452" t="e">
        <f t="shared" si="12"/>
        <v>#N/A</v>
      </c>
      <c r="T27" s="451" t="s">
        <v>932</v>
      </c>
      <c r="U27" s="452" t="e">
        <f t="shared" si="13"/>
        <v>#N/A</v>
      </c>
      <c r="V27" s="451" t="s">
        <v>932</v>
      </c>
      <c r="W27" s="452" t="e">
        <f t="shared" si="14"/>
        <v>#N/A</v>
      </c>
      <c r="X27" s="453"/>
      <c r="Y27" s="3350"/>
      <c r="Z27" s="465" t="str">
        <f t="shared" si="15"/>
        <v>成新率</v>
      </c>
      <c r="AA27" s="454" t="e">
        <f t="shared" si="3"/>
        <v>#N/A</v>
      </c>
      <c r="AB27" s="454" t="e">
        <f t="shared" si="4"/>
        <v>#N/A</v>
      </c>
      <c r="AC27" s="454" t="e">
        <f t="shared" si="5"/>
        <v>#N/A</v>
      </c>
    </row>
    <row r="28" spans="1:29" ht="15">
      <c r="A28" s="293"/>
      <c r="B28" s="289" t="s">
        <v>2540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0"/>
      <c r="Q28" s="383" t="str">
        <f t="shared" si="11"/>
        <v>物业等级</v>
      </c>
      <c r="R28" s="448" t="s">
        <v>932</v>
      </c>
      <c r="S28" s="449">
        <f t="shared" si="12"/>
        <v>100</v>
      </c>
      <c r="T28" s="448" t="s">
        <v>932</v>
      </c>
      <c r="U28" s="449">
        <f t="shared" si="13"/>
        <v>100</v>
      </c>
      <c r="V28" s="448" t="s">
        <v>932</v>
      </c>
      <c r="W28" s="449">
        <f t="shared" si="14"/>
        <v>100</v>
      </c>
      <c r="X28" s="443"/>
      <c r="Y28" s="3350"/>
      <c r="Z28" s="442" t="str">
        <f t="shared" si="15"/>
        <v>物业等级</v>
      </c>
      <c r="AA28" s="454">
        <f t="shared" si="3"/>
        <v>1</v>
      </c>
      <c r="AB28" s="454">
        <f t="shared" si="4"/>
        <v>1</v>
      </c>
      <c r="AC28" s="454">
        <f t="shared" si="5"/>
        <v>1</v>
      </c>
    </row>
    <row r="29" spans="1:29" ht="15">
      <c r="A29" s="293"/>
      <c r="B29" s="289" t="s">
        <v>2546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0"/>
      <c r="Q29" s="383" t="str">
        <f t="shared" si="11"/>
        <v>有无电梯</v>
      </c>
      <c r="R29" s="448" t="s">
        <v>932</v>
      </c>
      <c r="S29" s="449">
        <f t="shared" si="12"/>
        <v>100</v>
      </c>
      <c r="T29" s="448" t="s">
        <v>932</v>
      </c>
      <c r="U29" s="449">
        <f t="shared" si="13"/>
        <v>100</v>
      </c>
      <c r="V29" s="448" t="s">
        <v>932</v>
      </c>
      <c r="W29" s="449">
        <f t="shared" si="14"/>
        <v>100</v>
      </c>
      <c r="X29" s="443"/>
      <c r="Y29" s="3350"/>
      <c r="Z29" s="442" t="str">
        <f t="shared" si="15"/>
        <v>有无电梯</v>
      </c>
      <c r="AA29" s="454">
        <f t="shared" si="3"/>
        <v>1</v>
      </c>
      <c r="AB29" s="454">
        <f t="shared" si="4"/>
        <v>1</v>
      </c>
      <c r="AC29" s="454">
        <f t="shared" si="5"/>
        <v>1</v>
      </c>
    </row>
    <row r="30" spans="1:29" ht="15">
      <c r="A30" s="293"/>
      <c r="B30" s="289" t="s">
        <v>548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0"/>
      <c r="Q30" s="383" t="str">
        <f t="shared" si="11"/>
        <v>建筑面积</v>
      </c>
      <c r="R30" s="448" t="s">
        <v>932</v>
      </c>
      <c r="S30" s="449" t="e">
        <f t="shared" si="12"/>
        <v>#N/A</v>
      </c>
      <c r="T30" s="448" t="s">
        <v>932</v>
      </c>
      <c r="U30" s="449" t="e">
        <f t="shared" si="13"/>
        <v>#N/A</v>
      </c>
      <c r="V30" s="448" t="s">
        <v>932</v>
      </c>
      <c r="W30" s="449" t="e">
        <f t="shared" si="14"/>
        <v>#N/A</v>
      </c>
      <c r="X30" s="443"/>
      <c r="Y30" s="3350"/>
      <c r="Z30" s="442" t="str">
        <f t="shared" si="15"/>
        <v>建筑面积</v>
      </c>
      <c r="AA30" s="454" t="e">
        <f t="shared" si="3"/>
        <v>#N/A</v>
      </c>
      <c r="AB30" s="454" t="e">
        <f t="shared" si="4"/>
        <v>#N/A</v>
      </c>
      <c r="AC30" s="454" t="e">
        <f t="shared" si="5"/>
        <v>#N/A</v>
      </c>
    </row>
    <row r="31" spans="1:29" s="190" customFormat="1" ht="15">
      <c r="A31" s="296"/>
      <c r="B31" s="289" t="s">
        <v>2547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0"/>
      <c r="Q31" s="447" t="str">
        <f t="shared" si="11"/>
        <v>是否封闭</v>
      </c>
      <c r="R31" s="444" t="s">
        <v>932</v>
      </c>
      <c r="S31" s="445">
        <f t="shared" si="12"/>
        <v>100</v>
      </c>
      <c r="T31" s="444" t="s">
        <v>932</v>
      </c>
      <c r="U31" s="445">
        <f t="shared" si="13"/>
        <v>100</v>
      </c>
      <c r="V31" s="444" t="s">
        <v>932</v>
      </c>
      <c r="W31" s="445">
        <f t="shared" si="14"/>
        <v>100</v>
      </c>
      <c r="X31" s="446"/>
      <c r="Y31" s="3350"/>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0" t="s">
        <v>950</v>
      </c>
      <c r="Q32" s="383">
        <f t="shared" si="11"/>
        <v>111</v>
      </c>
      <c r="R32" s="448" t="s">
        <v>932</v>
      </c>
      <c r="S32" s="449">
        <f t="shared" si="12"/>
        <v>100</v>
      </c>
      <c r="T32" s="448" t="s">
        <v>932</v>
      </c>
      <c r="U32" s="449">
        <f t="shared" si="13"/>
        <v>100</v>
      </c>
      <c r="V32" s="448" t="s">
        <v>932</v>
      </c>
      <c r="W32" s="449">
        <f t="shared" si="14"/>
        <v>100</v>
      </c>
      <c r="X32" s="443"/>
      <c r="Y32" s="3350" t="s">
        <v>950</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0"/>
      <c r="Q33" s="383">
        <f t="shared" si="11"/>
        <v>111</v>
      </c>
      <c r="R33" s="448" t="s">
        <v>932</v>
      </c>
      <c r="S33" s="449">
        <f t="shared" si="12"/>
        <v>100</v>
      </c>
      <c r="T33" s="448" t="s">
        <v>932</v>
      </c>
      <c r="U33" s="449">
        <f t="shared" si="13"/>
        <v>100</v>
      </c>
      <c r="V33" s="448" t="s">
        <v>932</v>
      </c>
      <c r="W33" s="449">
        <f t="shared" si="14"/>
        <v>100</v>
      </c>
      <c r="X33" s="443"/>
      <c r="Y33" s="3350"/>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0"/>
      <c r="Q34" s="383">
        <f t="shared" si="11"/>
        <v>111</v>
      </c>
      <c r="R34" s="448" t="s">
        <v>932</v>
      </c>
      <c r="S34" s="449">
        <f t="shared" si="12"/>
        <v>100</v>
      </c>
      <c r="T34" s="448" t="s">
        <v>932</v>
      </c>
      <c r="U34" s="449">
        <f t="shared" si="13"/>
        <v>100</v>
      </c>
      <c r="V34" s="448" t="s">
        <v>932</v>
      </c>
      <c r="W34" s="449">
        <f t="shared" si="14"/>
        <v>100</v>
      </c>
      <c r="X34" s="443"/>
      <c r="Y34" s="3350"/>
      <c r="Z34" s="442">
        <f t="shared" si="15"/>
        <v>111</v>
      </c>
      <c r="AA34" s="454">
        <f t="shared" si="3"/>
        <v>1</v>
      </c>
      <c r="AB34" s="454">
        <f t="shared" si="4"/>
        <v>1</v>
      </c>
      <c r="AC34" s="454">
        <f t="shared" si="5"/>
        <v>1</v>
      </c>
    </row>
    <row r="35" spans="1:29" ht="15">
      <c r="A35" s="303" t="s">
        <v>2493</v>
      </c>
      <c r="B35" s="304"/>
      <c r="C35" s="305" t="s">
        <v>138</v>
      </c>
      <c r="D35" s="306"/>
      <c r="E35" s="307"/>
      <c r="F35" s="308"/>
      <c r="G35" s="309"/>
      <c r="H35" s="310"/>
      <c r="I35" s="307"/>
      <c r="J35" s="310"/>
      <c r="K35" s="397"/>
      <c r="L35" s="398"/>
      <c r="M35" s="319"/>
      <c r="N35" s="378"/>
      <c r="O35" s="319"/>
      <c r="P35" s="3340" t="str">
        <f>A35</f>
        <v>成交单价（元/平方米）</v>
      </c>
      <c r="Q35" s="3340"/>
      <c r="R35" s="3448">
        <f>E35</f>
        <v>0</v>
      </c>
      <c r="S35" s="3448"/>
      <c r="T35" s="3448">
        <f>G35</f>
        <v>0</v>
      </c>
      <c r="U35" s="3448"/>
      <c r="V35" s="3448">
        <f>I35</f>
        <v>0</v>
      </c>
      <c r="W35" s="3448"/>
      <c r="X35" s="330"/>
      <c r="Y35" s="466"/>
      <c r="Z35" s="330"/>
      <c r="AA35" s="330"/>
      <c r="AB35" s="330"/>
      <c r="AC35" s="330"/>
    </row>
    <row r="36" spans="1:29" ht="15">
      <c r="A36" s="311" t="s">
        <v>959</v>
      </c>
      <c r="B36" s="312"/>
      <c r="C36" s="313" t="e">
        <f>R37</f>
        <v>#DIV/0!</v>
      </c>
      <c r="D36" s="314"/>
      <c r="E36" s="315" t="e">
        <f>R36</f>
        <v>#DIV/0!</v>
      </c>
      <c r="F36" s="315"/>
      <c r="G36" s="313" t="e">
        <f>T36</f>
        <v>#DIV/0!</v>
      </c>
      <c r="H36" s="314"/>
      <c r="I36" s="315" t="e">
        <f>V36</f>
        <v>#DIV/0!</v>
      </c>
      <c r="J36" s="314"/>
      <c r="K36" s="399"/>
      <c r="L36" s="398"/>
      <c r="M36" s="319"/>
      <c r="N36" s="378"/>
      <c r="O36" s="319"/>
      <c r="P36" s="3340" t="str">
        <f>A36</f>
        <v>比较价格（元/平方米）</v>
      </c>
      <c r="Q36" s="3340"/>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330"/>
      <c r="Y36" s="330"/>
      <c r="Z36" s="330"/>
      <c r="AA36" s="330"/>
      <c r="AB36" s="330"/>
      <c r="AC36" s="330"/>
    </row>
    <row r="37" spans="1:29" ht="15">
      <c r="A37" s="316" t="s">
        <v>960</v>
      </c>
      <c r="B37" s="317"/>
      <c r="C37" s="318" t="e">
        <f>R37</f>
        <v>#DIV/0!</v>
      </c>
      <c r="D37" s="318"/>
      <c r="E37" s="318"/>
      <c r="F37" s="318"/>
      <c r="G37" s="318"/>
      <c r="H37" s="318"/>
      <c r="I37" s="318"/>
      <c r="J37" s="318"/>
      <c r="K37" s="400"/>
      <c r="L37" s="398"/>
      <c r="M37" s="319"/>
      <c r="N37" s="319"/>
      <c r="O37" s="319"/>
      <c r="P37" s="3343" t="str">
        <f>A37</f>
        <v>估价对象XX用房的比较价格（楼面单价，元/平方米）</v>
      </c>
      <c r="Q37" s="3344"/>
      <c r="R37" s="3449" t="e">
        <f>IF(F1="售价",ROUND(AVERAGE(R36:V36),0),ROUND(AVERAGE(R36:V36),1))</f>
        <v>#DIV/0!</v>
      </c>
      <c r="S37" s="3449"/>
      <c r="T37" s="3449"/>
      <c r="U37" s="3449"/>
      <c r="V37" s="3449"/>
      <c r="W37" s="344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961</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962</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963</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985</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930</v>
      </c>
      <c r="B46" s="334"/>
      <c r="C46" s="335" t="str">
        <f>YEAR(C7)&amp;"-"&amp;MONTH(C7)</f>
        <v>2020-3</v>
      </c>
      <c r="D46" s="336">
        <f>EDATE(C46,-1)</f>
        <v>43862</v>
      </c>
      <c r="E46" s="336">
        <f t="shared" ref="E46:O46" si="16">EDATE(D46,-1)</f>
        <v>43831</v>
      </c>
      <c r="F46" s="336">
        <f t="shared" si="16"/>
        <v>43800</v>
      </c>
      <c r="G46" s="336">
        <f t="shared" si="16"/>
        <v>43770</v>
      </c>
      <c r="H46" s="336">
        <f t="shared" si="16"/>
        <v>43739</v>
      </c>
      <c r="I46" s="336">
        <f t="shared" si="16"/>
        <v>43709</v>
      </c>
      <c r="J46" s="336">
        <f t="shared" si="16"/>
        <v>43678</v>
      </c>
      <c r="K46" s="336">
        <f t="shared" si="16"/>
        <v>43647</v>
      </c>
      <c r="L46" s="336">
        <f t="shared" si="16"/>
        <v>43617</v>
      </c>
      <c r="M46" s="336">
        <f t="shared" si="16"/>
        <v>43586</v>
      </c>
      <c r="N46" s="336">
        <f t="shared" si="16"/>
        <v>43556</v>
      </c>
      <c r="O46" s="336">
        <f t="shared" si="16"/>
        <v>43525</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1371</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933</v>
      </c>
      <c r="B49" s="338"/>
      <c r="C49" s="346" t="s">
        <v>934</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989</v>
      </c>
      <c r="B51" s="349" t="s">
        <v>990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991</v>
      </c>
      <c r="C53" s="356" t="s">
        <v>2494</v>
      </c>
      <c r="D53" s="356" t="s">
        <v>2495</v>
      </c>
      <c r="E53" s="356" t="s">
        <v>2496</v>
      </c>
      <c r="F53" s="356" t="s">
        <v>2497</v>
      </c>
      <c r="G53" s="356" t="s">
        <v>2498</v>
      </c>
      <c r="H53" s="356" t="s">
        <v>2499</v>
      </c>
      <c r="I53" s="356" t="s">
        <v>2500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984</v>
      </c>
      <c r="D54" s="358" t="s">
        <v>984</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993</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2478</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2523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998</v>
      </c>
      <c r="B77" s="349" t="s">
        <v>2486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2539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2540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2546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2547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2548</v>
      </c>
      <c r="C1" s="3455" t="s">
        <v>2549</v>
      </c>
      <c r="D1" s="3456"/>
      <c r="E1" s="3456"/>
      <c r="F1" s="3456"/>
      <c r="G1" s="3456"/>
      <c r="H1" s="3456"/>
      <c r="I1" s="3456"/>
      <c r="J1" s="3456"/>
      <c r="K1" s="3456"/>
      <c r="L1" s="3456"/>
      <c r="M1" s="3456"/>
      <c r="N1" s="3456"/>
      <c r="O1" s="3456"/>
      <c r="P1" s="3456"/>
      <c r="Q1" s="3456"/>
      <c r="R1" s="3456"/>
      <c r="S1" s="3457"/>
      <c r="T1" s="79" t="s">
        <v>2550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2551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2552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2553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2554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2555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2556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2557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2558</v>
      </c>
      <c r="B17" s="108" t="s">
        <v>1382</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2559</v>
      </c>
      <c r="B20" s="119">
        <f>S22</f>
        <v>0</v>
      </c>
      <c r="C20" s="117"/>
      <c r="D20" s="117"/>
      <c r="E20" s="117"/>
      <c r="F20" s="117"/>
      <c r="G20" s="117"/>
      <c r="H20" s="117"/>
      <c r="I20" s="117"/>
      <c r="J20" s="117"/>
      <c r="K20" s="117"/>
      <c r="L20" s="117"/>
      <c r="M20" s="117"/>
      <c r="N20" s="117"/>
      <c r="O20" s="117"/>
      <c r="P20" s="117"/>
      <c r="Q20" s="117"/>
      <c r="R20" s="179"/>
      <c r="S20" s="180"/>
    </row>
    <row r="21" spans="1:45" ht="15.75">
      <c r="A21" s="118" t="s">
        <v>2560</v>
      </c>
      <c r="B21" s="119" t="e">
        <f>R22</f>
        <v>#DIV/0!</v>
      </c>
      <c r="C21" s="117"/>
      <c r="D21" s="117"/>
      <c r="E21" s="117"/>
      <c r="F21" s="117"/>
      <c r="G21" s="117"/>
      <c r="H21" s="117"/>
      <c r="I21" s="117"/>
      <c r="J21" s="117"/>
      <c r="K21" s="117"/>
      <c r="L21" s="117"/>
      <c r="M21" s="117"/>
      <c r="N21" s="117"/>
      <c r="O21" s="117"/>
      <c r="P21" s="117"/>
      <c r="Q21" s="117"/>
      <c r="R21" s="179"/>
      <c r="S21" s="180"/>
    </row>
    <row r="22" spans="1:45">
      <c r="A22" s="120" t="s">
        <v>2561</v>
      </c>
      <c r="B22" s="121">
        <f>SUM(B24:B10000)</f>
        <v>0</v>
      </c>
      <c r="C22" s="3458" t="s">
        <v>138</v>
      </c>
      <c r="D22" s="3459"/>
      <c r="E22" s="3459"/>
      <c r="F22" s="3459"/>
      <c r="G22" s="3459"/>
      <c r="H22" s="3459"/>
      <c r="I22" s="3459"/>
      <c r="J22" s="3459"/>
      <c r="K22" s="3459"/>
      <c r="L22" s="3459"/>
      <c r="M22" s="3459"/>
      <c r="N22" s="3459"/>
      <c r="O22" s="3459"/>
      <c r="P22" s="3459"/>
      <c r="Q22" s="3460"/>
      <c r="R22" s="182" t="e">
        <f>ROUND(S22*10000/B22,0)</f>
        <v>#DIV/0!</v>
      </c>
      <c r="S22" s="121">
        <f>SUM(S24:S10000)</f>
        <v>0</v>
      </c>
    </row>
    <row r="23" spans="1:45" s="73" customFormat="1" ht="24">
      <c r="A23" s="124" t="s">
        <v>2562</v>
      </c>
      <c r="B23" s="124" t="s">
        <v>442</v>
      </c>
      <c r="C23" s="124" t="s">
        <v>1442</v>
      </c>
      <c r="D23" s="124" t="str">
        <f>B5</f>
        <v>修正项2</v>
      </c>
      <c r="E23" s="124" t="s">
        <v>1442</v>
      </c>
      <c r="F23" s="124" t="str">
        <f>B7</f>
        <v>修正项3</v>
      </c>
      <c r="G23" s="124" t="s">
        <v>1442</v>
      </c>
      <c r="H23" s="124" t="str">
        <f>B9</f>
        <v>修正项4</v>
      </c>
      <c r="I23" s="124" t="s">
        <v>1442</v>
      </c>
      <c r="J23" s="124" t="str">
        <f>B11</f>
        <v>修正项5</v>
      </c>
      <c r="K23" s="124" t="s">
        <v>1442</v>
      </c>
      <c r="L23" s="124" t="str">
        <f>B13</f>
        <v>修正项6</v>
      </c>
      <c r="M23" s="124" t="s">
        <v>1442</v>
      </c>
      <c r="N23" s="124" t="str">
        <f>B15</f>
        <v>修正项7</v>
      </c>
      <c r="O23" s="124" t="s">
        <v>1442</v>
      </c>
      <c r="P23" s="124" t="str">
        <f>B17</f>
        <v>楼层</v>
      </c>
      <c r="Q23" s="124" t="s">
        <v>1442</v>
      </c>
      <c r="R23" s="183" t="s">
        <v>2563</v>
      </c>
      <c r="S23" s="124" t="s">
        <v>2564</v>
      </c>
      <c r="T23" s="184"/>
      <c r="U23" s="184"/>
      <c r="V23" s="184"/>
      <c r="W23" s="184"/>
      <c r="X23" s="184"/>
      <c r="Y23" s="184"/>
      <c r="Z23" s="184"/>
      <c r="AA23" s="184"/>
      <c r="AB23" s="184"/>
      <c r="AC23" s="184"/>
      <c r="AD23" s="184"/>
      <c r="AE23" s="184"/>
      <c r="AF23" s="184"/>
      <c r="AG23" s="184"/>
      <c r="AH23" s="184"/>
      <c r="AI23" s="184"/>
    </row>
    <row r="24" spans="1:45" s="74" customFormat="1">
      <c r="A24" s="125" t="s">
        <v>2565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2566</v>
      </c>
      <c r="C1" s="8">
        <f>项目基本情况!D3</f>
        <v>43900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2567</v>
      </c>
      <c r="C2" s="12">
        <f>'数据-取费表'!B22</f>
        <v>2</v>
      </c>
      <c r="D2" s="7" t="s">
        <v>2568</v>
      </c>
      <c r="E2" s="13">
        <f ca="1">INDIRECT("I"&amp;$I$1)/100</f>
        <v>4.7500000000000001E-2</v>
      </c>
      <c r="G2" s="10"/>
      <c r="H2" s="10"/>
      <c r="I2" s="10" t="s">
        <v>2568</v>
      </c>
      <c r="K2" s="10"/>
      <c r="L2" s="10"/>
      <c r="M2" s="10"/>
      <c r="N2" s="10" t="s">
        <v>2569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2570</v>
      </c>
      <c r="C3" s="14">
        <f>'数据-取费表'!B19</f>
        <v>0</v>
      </c>
      <c r="D3" s="7" t="s">
        <v>2568</v>
      </c>
      <c r="E3" s="13">
        <f ca="1">INDIRECT("J"&amp;$J$1)/100</f>
        <v>0</v>
      </c>
      <c r="G3" s="15" t="s">
        <v>2571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2572</v>
      </c>
      <c r="C4" s="13">
        <f ca="1">N4/100</f>
        <v>1.4999999999999999E-2</v>
      </c>
      <c r="G4" s="17" t="s">
        <v>2573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2574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2575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2576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2577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2578</v>
      </c>
      <c r="C10" s="28"/>
      <c r="D10" s="28"/>
      <c r="E10" s="28"/>
      <c r="F10" s="28"/>
      <c r="G10" s="28"/>
      <c r="H10" s="28"/>
      <c r="I10" s="3"/>
      <c r="J10" s="3"/>
      <c r="K10" s="28"/>
      <c r="L10" s="29" t="s">
        <v>2579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2580</v>
      </c>
      <c r="C11" s="32" t="s">
        <v>2581</v>
      </c>
      <c r="D11" s="33" t="s">
        <v>2582</v>
      </c>
      <c r="E11" s="34"/>
      <c r="F11" s="33" t="s">
        <v>2583</v>
      </c>
      <c r="G11" s="35"/>
      <c r="H11" s="34"/>
      <c r="I11" s="33" t="s">
        <v>2584</v>
      </c>
      <c r="J11" s="34"/>
      <c r="K11" s="30"/>
      <c r="L11" s="31" t="s">
        <v>2580</v>
      </c>
      <c r="M11" s="32" t="s">
        <v>2581</v>
      </c>
      <c r="N11" s="31" t="s">
        <v>2585</v>
      </c>
      <c r="O11" s="33" t="s">
        <v>2586</v>
      </c>
      <c r="P11" s="35"/>
      <c r="Q11" s="35"/>
      <c r="R11" s="35"/>
      <c r="S11" s="35"/>
      <c r="T11" s="34"/>
      <c r="U11" s="33" t="s">
        <v>2587</v>
      </c>
      <c r="V11" s="35"/>
      <c r="W11" s="34"/>
      <c r="X11" s="31" t="s">
        <v>2588</v>
      </c>
      <c r="Y11" s="31" t="s">
        <v>2589</v>
      </c>
      <c r="Z11" s="31" t="s">
        <v>2590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2591</v>
      </c>
      <c r="E12" s="39" t="s">
        <v>2573</v>
      </c>
      <c r="F12" s="39" t="s">
        <v>2574</v>
      </c>
      <c r="G12" s="39" t="s">
        <v>2575</v>
      </c>
      <c r="H12" s="39" t="s">
        <v>2576</v>
      </c>
      <c r="I12" s="59" t="s">
        <v>2592</v>
      </c>
      <c r="J12" s="59" t="s">
        <v>2592</v>
      </c>
      <c r="K12" s="36"/>
      <c r="L12" s="37"/>
      <c r="M12" s="38"/>
      <c r="N12" s="37"/>
      <c r="O12" s="59" t="s">
        <v>2593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2594</v>
      </c>
      <c r="C13" s="42">
        <v>42301</v>
      </c>
      <c r="D13" s="43">
        <v>4.3499999999999996</v>
      </c>
      <c r="E13" s="43">
        <v>4.3499999999999996</v>
      </c>
      <c r="F13" s="43">
        <v>4.75</v>
      </c>
      <c r="G13" s="43">
        <v>4.75</v>
      </c>
      <c r="H13" s="43">
        <v>4.9000000000000004</v>
      </c>
      <c r="I13" s="43">
        <v>2.75</v>
      </c>
      <c r="J13" s="43">
        <v>3.25</v>
      </c>
      <c r="K13" s="40"/>
      <c r="L13" s="41" t="s">
        <v>2594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2595</v>
      </c>
      <c r="Y42" s="44" t="s">
        <v>2595</v>
      </c>
      <c r="Z42" s="44" t="s">
        <v>2595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2595</v>
      </c>
      <c r="Y43" s="44" t="s">
        <v>2595</v>
      </c>
      <c r="Z43" s="44" t="s">
        <v>2595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2595</v>
      </c>
      <c r="Y44" s="44" t="s">
        <v>2595</v>
      </c>
      <c r="Z44" s="44" t="s">
        <v>2595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2595</v>
      </c>
      <c r="Y45" s="44" t="s">
        <v>2595</v>
      </c>
      <c r="Z45" s="44" t="s">
        <v>2595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2595</v>
      </c>
      <c r="Y46" s="44" t="s">
        <v>2595</v>
      </c>
      <c r="Z46" s="44" t="s">
        <v>2595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2595</v>
      </c>
      <c r="Y47" s="44" t="s">
        <v>2595</v>
      </c>
      <c r="Z47" s="44" t="s">
        <v>2595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2595</v>
      </c>
      <c r="Y48" s="44" t="s">
        <v>2595</v>
      </c>
      <c r="Z48" s="44" t="s">
        <v>2595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2595</v>
      </c>
      <c r="Y49" s="44" t="s">
        <v>2595</v>
      </c>
      <c r="Z49" s="44" t="s">
        <v>2595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2595</v>
      </c>
      <c r="Y50" s="44" t="s">
        <v>2595</v>
      </c>
      <c r="Z50" s="44" t="s">
        <v>2595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2595</v>
      </c>
      <c r="V51" s="44" t="s">
        <v>2595</v>
      </c>
      <c r="W51" s="44" t="s">
        <v>2595</v>
      </c>
      <c r="X51" s="44" t="s">
        <v>2595</v>
      </c>
      <c r="Y51" s="44" t="s">
        <v>2595</v>
      </c>
      <c r="Z51" s="44" t="s">
        <v>2595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2595</v>
      </c>
      <c r="J55" s="44" t="s">
        <v>2595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1" sqref="O1"/>
    </sheetView>
  </sheetViews>
  <sheetFormatPr defaultColWidth="9" defaultRowHeight="13.5"/>
  <sheetData/>
  <phoneticPr fontId="227"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5" t="s">
        <v>98</v>
      </c>
      <c r="B1" s="3165"/>
      <c r="C1" s="3165"/>
      <c r="D1" s="3165"/>
      <c r="E1" s="3165"/>
      <c r="F1" s="3165"/>
      <c r="G1" s="3165"/>
      <c r="H1" s="3165"/>
      <c r="I1" s="3165"/>
      <c r="J1" s="3165"/>
      <c r="K1" s="3165"/>
      <c r="L1" s="3165"/>
      <c r="M1" s="3165"/>
      <c r="N1" s="3165"/>
      <c r="O1" s="3165"/>
      <c r="P1" s="3165"/>
      <c r="Q1" s="3165"/>
      <c r="R1" s="3165"/>
    </row>
    <row r="2" spans="1:18">
      <c r="A2" s="3096" t="s">
        <v>99</v>
      </c>
      <c r="B2" s="3096"/>
      <c r="C2" s="3096"/>
      <c r="D2" s="3096"/>
      <c r="E2" s="3096"/>
      <c r="F2" s="3096"/>
      <c r="G2" s="3096"/>
      <c r="H2" s="3096"/>
      <c r="I2" s="3109"/>
      <c r="J2" s="3109"/>
      <c r="K2" s="3110" t="str">
        <f>"估价期日："&amp;TEXT(项目基本情况!D3,"yyyy年m月d日;;")</f>
        <v>估价期日：2020年3月10日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70" t="s">
        <v>100</v>
      </c>
      <c r="B3" s="3170" t="s">
        <v>101</v>
      </c>
      <c r="C3" s="3171" t="s">
        <v>102</v>
      </c>
      <c r="D3" s="3170" t="s">
        <v>103</v>
      </c>
      <c r="E3" s="3166" t="s">
        <v>104</v>
      </c>
      <c r="F3" s="3166"/>
      <c r="G3" s="3166"/>
      <c r="H3" s="3166" t="s">
        <v>105</v>
      </c>
      <c r="I3" s="3166"/>
      <c r="J3" s="3166"/>
      <c r="K3" s="3171" t="s">
        <v>106</v>
      </c>
      <c r="L3" s="3171" t="s">
        <v>107</v>
      </c>
      <c r="M3" s="3170" t="s">
        <v>108</v>
      </c>
      <c r="N3" s="3172" t="str">
        <f>"（分摊）"&amp;项目基本情况!B16&amp;"国有建设用地使用权面积/㎡"</f>
        <v>（分摊）出让国有建设用地使用权面积/㎡</v>
      </c>
      <c r="O3" s="3170" t="s">
        <v>109</v>
      </c>
      <c r="P3" s="3171" t="s">
        <v>110</v>
      </c>
      <c r="Q3" s="3171" t="s">
        <v>111</v>
      </c>
      <c r="R3" s="3171" t="s">
        <v>112</v>
      </c>
    </row>
    <row r="4" spans="1:18" ht="36.75" customHeight="1">
      <c r="A4" s="3170"/>
      <c r="B4" s="3170"/>
      <c r="C4" s="3171"/>
      <c r="D4" s="3170"/>
      <c r="E4" s="3098" t="s">
        <v>113</v>
      </c>
      <c r="F4" s="3098" t="s">
        <v>114</v>
      </c>
      <c r="G4" s="3098" t="s">
        <v>115</v>
      </c>
      <c r="H4" s="3098" t="s">
        <v>116</v>
      </c>
      <c r="I4" s="3098" t="s">
        <v>117</v>
      </c>
      <c r="J4" s="3098" t="s">
        <v>115</v>
      </c>
      <c r="K4" s="3171"/>
      <c r="L4" s="3171"/>
      <c r="M4" s="3170"/>
      <c r="N4" s="3172"/>
      <c r="O4" s="3170"/>
      <c r="P4" s="3171"/>
      <c r="Q4" s="3171"/>
      <c r="R4" s="3171"/>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66881</v>
      </c>
      <c r="O5" s="3102">
        <f>项目基本情况!C21</f>
        <v>128526.97</v>
      </c>
      <c r="P5" s="3102">
        <f ca="1">结果表!E42</f>
        <v>12263</v>
      </c>
      <c r="Q5" s="3102">
        <f ca="1">结果表!D42</f>
        <v>6381</v>
      </c>
      <c r="R5" s="3111">
        <f ca="1">结果表!C42</f>
        <v>82019</v>
      </c>
    </row>
    <row r="6" spans="1:18">
      <c r="A6" s="3167" t="str">
        <f>IF(项目基本情况!B9="市场价格","——","抵押价格")</f>
        <v>抵押价格</v>
      </c>
      <c r="B6" s="3168"/>
      <c r="C6" s="3168"/>
      <c r="D6" s="3168"/>
      <c r="E6" s="3168"/>
      <c r="F6" s="3168"/>
      <c r="G6" s="3168"/>
      <c r="H6" s="3168"/>
      <c r="I6" s="3168"/>
      <c r="J6" s="3168"/>
      <c r="K6" s="3168"/>
      <c r="L6" s="3168"/>
      <c r="M6" s="3168"/>
      <c r="N6" s="3168"/>
      <c r="O6" s="3168"/>
      <c r="P6" s="3168"/>
      <c r="Q6" s="3169"/>
      <c r="R6" s="3112">
        <f ca="1">结果表!O39</f>
        <v>82019</v>
      </c>
    </row>
    <row r="7" spans="1:18">
      <c r="A7" s="3167" t="str">
        <f>IF(项目基本情况!B9="市场价格","——",IF(项目基本情况!E8="已注销及未注销","抵押担保权已注销时的抵押价格","——"))</f>
        <v>——</v>
      </c>
      <c r="B7" s="3168"/>
      <c r="C7" s="3168"/>
      <c r="D7" s="3168"/>
      <c r="E7" s="3168"/>
      <c r="F7" s="3168"/>
      <c r="G7" s="3168"/>
      <c r="H7" s="3168"/>
      <c r="I7" s="3168"/>
      <c r="J7" s="3168"/>
      <c r="K7" s="3168"/>
      <c r="L7" s="3168"/>
      <c r="M7" s="3168"/>
      <c r="N7" s="3168"/>
      <c r="O7" s="3168"/>
      <c r="P7" s="3168"/>
      <c r="Q7" s="3169"/>
      <c r="R7" s="3112" t="str">
        <f>结果表!O40</f>
        <v>——</v>
      </c>
    </row>
    <row r="8" spans="1:18">
      <c r="A8" s="3167">
        <f>IF(项目基本情况!B9="市场价格","——",项目基本情况!E9)</f>
        <v>0</v>
      </c>
      <c r="B8" s="3168"/>
      <c r="C8" s="3168"/>
      <c r="D8" s="3168"/>
      <c r="E8" s="3168"/>
      <c r="F8" s="3168"/>
      <c r="G8" s="3168"/>
      <c r="H8" s="3168"/>
      <c r="I8" s="3168"/>
      <c r="J8" s="3168"/>
      <c r="K8" s="3168"/>
      <c r="L8" s="3168"/>
      <c r="M8" s="3168"/>
      <c r="N8" s="3168"/>
      <c r="O8" s="3168"/>
      <c r="P8" s="3168"/>
      <c r="Q8" s="3169"/>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73" t="s">
        <v>122</v>
      </c>
      <c r="B1" s="3173"/>
      <c r="C1" s="3173"/>
      <c r="D1" s="3173"/>
    </row>
    <row r="2" spans="1:4" ht="47.25" customHeight="1">
      <c r="A2" s="3174" t="str">
        <f>"1.权利限制："&amp;项目基本情况!L24&amp;"未设定租赁等其他他项权利。"</f>
        <v>1.权利限制：根据估价对象《不动产权证书》原件、《国有土地使用权》复印件，截至估价期日，估价对象抵押权未见登记。未设定租赁等其他他项权利。</v>
      </c>
      <c r="B2" s="3174"/>
      <c r="C2" s="3174"/>
      <c r="D2" s="3174"/>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5" t="s">
        <v>123</v>
      </c>
      <c r="B5" s="3175"/>
      <c r="C5" s="3175"/>
      <c r="D5" s="3175"/>
    </row>
    <row r="6" spans="1:4">
      <c r="A6" s="3173" t="s">
        <v>124</v>
      </c>
      <c r="B6" s="3173"/>
      <c r="C6" s="3173"/>
      <c r="D6" s="3173"/>
    </row>
    <row r="7" spans="1:4" ht="33" customHeight="1">
      <c r="A7" s="3173" t="s">
        <v>125</v>
      </c>
      <c r="B7" s="3173"/>
      <c r="C7" s="3173"/>
      <c r="D7" s="3173"/>
    </row>
    <row r="8" spans="1:4" ht="32.25" customHeight="1">
      <c r="A8" s="31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3"/>
      <c r="C8" s="3173"/>
      <c r="D8" s="3173"/>
    </row>
    <row r="9" spans="1:4" ht="33.75" customHeight="1">
      <c r="A9" s="31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3"/>
      <c r="C9" s="3173"/>
      <c r="D9" s="3173"/>
    </row>
    <row r="10" spans="1:4">
      <c r="A10" s="3173" t="str">
        <f>IF(项目基本情况!B8="抵押","4.估价师所知悉的法定优先受偿款情况为：","——")</f>
        <v>4.估价师所知悉的法定优先受偿款情况为：</v>
      </c>
      <c r="B10" s="3173"/>
      <c r="C10" s="3173"/>
      <c r="D10" s="3173"/>
    </row>
    <row r="11" spans="1:4" ht="37.5" customHeight="1">
      <c r="A11" s="31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6"/>
      <c r="C11" s="3176"/>
      <c r="D11" s="3176"/>
    </row>
    <row r="12" spans="1:4" ht="168" customHeight="1">
      <c r="A12" s="3175" t="s">
        <v>126</v>
      </c>
      <c r="B12" s="3175"/>
      <c r="C12" s="3175"/>
      <c r="D12" s="3175"/>
    </row>
    <row r="13" spans="1:4">
      <c r="A13" s="3177" t="s">
        <v>127</v>
      </c>
      <c r="B13" s="3177"/>
      <c r="C13" s="3177"/>
      <c r="D13" s="3177"/>
    </row>
    <row r="14" spans="1:4">
      <c r="A14" s="3176" t="str">
        <f>IF(项目基本情况!B8="抵押","综上，"&amp;结果表!K47,"——")</f>
        <v>综上，本次评估不存在估价师知悉的法定优先受偿款</v>
      </c>
      <c r="B14" s="3176"/>
      <c r="C14" s="3176"/>
      <c r="D14" s="3176"/>
    </row>
    <row r="15" spans="1:4" ht="58.5" customHeight="1">
      <c r="A15" s="31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128</v>
      </c>
      <c r="B17" s="3173"/>
      <c r="C17" s="3173"/>
      <c r="D17" s="3173"/>
    </row>
    <row r="18" spans="1:4">
      <c r="A18" s="3173" t="s">
        <v>129</v>
      </c>
      <c r="B18" s="3173"/>
      <c r="C18" s="3173"/>
      <c r="D18" s="3173"/>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73" t="s">
        <v>135</v>
      </c>
      <c r="B23" s="3173"/>
      <c r="C23" s="3173"/>
      <c r="D23" s="3173"/>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181" t="s">
        <v>151</v>
      </c>
      <c r="B15" s="3178" t="s">
        <v>152</v>
      </c>
      <c r="C15" s="3179"/>
    </row>
    <row r="16" spans="1:7" ht="14.25">
      <c r="A16" s="3181"/>
      <c r="B16" s="3183" t="s">
        <v>153</v>
      </c>
      <c r="C16" s="3078" t="s">
        <v>151</v>
      </c>
    </row>
    <row r="17" spans="1:3" ht="14.25">
      <c r="A17" s="3181"/>
      <c r="B17" s="3183"/>
      <c r="C17" s="3078" t="s">
        <v>154</v>
      </c>
    </row>
    <row r="18" spans="1:3" ht="14.25">
      <c r="A18" s="3181"/>
      <c r="B18" s="3183"/>
      <c r="C18" s="3078" t="s">
        <v>155</v>
      </c>
    </row>
    <row r="19" spans="1:3" ht="14.25">
      <c r="A19" s="3181"/>
      <c r="B19" s="3180" t="s">
        <v>156</v>
      </c>
      <c r="C19" s="3179"/>
    </row>
    <row r="20" spans="1:3" ht="14.25">
      <c r="A20" s="3079" t="s">
        <v>157</v>
      </c>
      <c r="B20" s="3080"/>
      <c r="C20" s="3081"/>
    </row>
    <row r="21" spans="1:3" ht="14.25">
      <c r="A21" s="3182" t="s">
        <v>158</v>
      </c>
      <c r="B21" s="3180" t="s">
        <v>159</v>
      </c>
      <c r="C21" s="3179"/>
    </row>
    <row r="22" spans="1:3" ht="14.25">
      <c r="A22" s="3182"/>
      <c r="B22" s="3180" t="s">
        <v>160</v>
      </c>
      <c r="C22" s="3179"/>
    </row>
    <row r="23" spans="1:3" ht="14.25">
      <c r="A23" s="3182"/>
      <c r="B23" s="3180" t="s">
        <v>161</v>
      </c>
      <c r="C23" s="3179"/>
    </row>
    <row r="24" spans="1:3" ht="14.25">
      <c r="A24" s="3182"/>
      <c r="B24" s="3184" t="s">
        <v>162</v>
      </c>
      <c r="C24" s="3082" t="s">
        <v>163</v>
      </c>
    </row>
    <row r="25" spans="1:3" ht="14.25">
      <c r="A25" s="3182"/>
      <c r="B25" s="3185"/>
      <c r="C25" s="3082" t="s">
        <v>164</v>
      </c>
    </row>
    <row r="26" spans="1:3" ht="14.25">
      <c r="A26" s="3182"/>
      <c r="B26" s="3185"/>
      <c r="C26" s="3082" t="s">
        <v>165</v>
      </c>
    </row>
    <row r="27" spans="1:3" ht="14.25">
      <c r="A27" s="3182"/>
      <c r="B27" s="3185"/>
      <c r="C27" s="3082" t="s">
        <v>166</v>
      </c>
    </row>
    <row r="28" spans="1:3" ht="14.25">
      <c r="A28" s="3182"/>
      <c r="B28" s="3185"/>
      <c r="C28" s="3082" t="s">
        <v>167</v>
      </c>
    </row>
    <row r="29" spans="1:3" ht="14.25">
      <c r="A29" s="3182"/>
      <c r="B29" s="3185"/>
      <c r="C29" s="3082" t="s">
        <v>168</v>
      </c>
    </row>
    <row r="30" spans="1:3" ht="14.25">
      <c r="A30" s="3182"/>
      <c r="B30" s="3185"/>
      <c r="C30" s="3082" t="s">
        <v>169</v>
      </c>
    </row>
    <row r="31" spans="1:3" ht="14.25">
      <c r="A31" s="3182"/>
      <c r="B31" s="3185"/>
      <c r="C31" s="3082" t="s">
        <v>170</v>
      </c>
    </row>
    <row r="32" spans="1:3" ht="14.25">
      <c r="A32" s="3182"/>
      <c r="B32" s="3185"/>
      <c r="C32" s="3082" t="s">
        <v>171</v>
      </c>
    </row>
    <row r="33" spans="1:3" ht="14.25">
      <c r="A33" s="3182"/>
      <c r="B33" s="3186" t="s">
        <v>172</v>
      </c>
      <c r="C33" s="3082" t="s">
        <v>173</v>
      </c>
    </row>
    <row r="34" spans="1:3" ht="14.25">
      <c r="A34" s="3182"/>
      <c r="B34" s="3187"/>
      <c r="C34" s="3083" t="s">
        <v>174</v>
      </c>
    </row>
    <row r="35" spans="1:3" ht="14.25">
      <c r="A35" s="3182"/>
      <c r="B35" s="3187"/>
      <c r="C35" s="3084" t="s">
        <v>175</v>
      </c>
    </row>
    <row r="36" spans="1:3" ht="14.25">
      <c r="A36" s="3182"/>
      <c r="B36" s="3187"/>
      <c r="C36" s="3084" t="s">
        <v>176</v>
      </c>
    </row>
    <row r="37" spans="1:3" ht="14.25">
      <c r="A37" s="3182"/>
      <c r="B37" s="3188"/>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43903</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44876</v>
      </c>
      <c r="D4" s="3053" t="s">
        <v>191</v>
      </c>
      <c r="E4" s="3053">
        <f ca="1">IF(F4&lt;B2,"已过期",96010014)</f>
        <v>96010014</v>
      </c>
      <c r="F4" s="3056">
        <v>47118</v>
      </c>
    </row>
    <row r="5" spans="1:6" ht="20.25" customHeight="1">
      <c r="A5" s="3053"/>
      <c r="B5" s="3053"/>
      <c r="C5" s="3055"/>
      <c r="D5" s="3053"/>
      <c r="E5" s="3053"/>
      <c r="F5" s="3056"/>
    </row>
    <row r="6" spans="1:6" ht="20.25" customHeight="1">
      <c r="A6" s="3053" t="s">
        <v>192</v>
      </c>
      <c r="B6" s="3053">
        <f ca="1">IF(C6&lt;B2,"已过期",1119970111)</f>
        <v>1119970111</v>
      </c>
      <c r="C6" s="3055">
        <v>44876</v>
      </c>
      <c r="D6" s="3053" t="s">
        <v>192</v>
      </c>
      <c r="E6" s="3053">
        <f ca="1">IF(F6&lt;B2,"已过期",94010078)</f>
        <v>94010078</v>
      </c>
      <c r="F6" s="3056">
        <v>46387</v>
      </c>
    </row>
    <row r="7" spans="1:6" ht="20.25" customHeight="1">
      <c r="A7" s="3053" t="s">
        <v>193</v>
      </c>
      <c r="B7" s="3053">
        <f ca="1">IF(C7&lt;B2,"已过期",1120050019)</f>
        <v>1120050019</v>
      </c>
      <c r="C7" s="3055">
        <v>44395</v>
      </c>
      <c r="D7" s="3053" t="s">
        <v>193</v>
      </c>
      <c r="E7" s="3053">
        <f ca="1">IF(F7&lt;B2,"已过期",2002110030)</f>
        <v>2002110030</v>
      </c>
      <c r="F7" s="3056">
        <v>46387</v>
      </c>
    </row>
    <row r="8" spans="1:6" ht="20.25" customHeight="1">
      <c r="A8" s="3053" t="s">
        <v>194</v>
      </c>
      <c r="B8" s="3053">
        <f ca="1">IF(C8&lt;B2,"已过期",1120000080)</f>
        <v>1120000080</v>
      </c>
      <c r="C8" s="3055">
        <v>44876</v>
      </c>
      <c r="D8" s="3053" t="s">
        <v>194</v>
      </c>
      <c r="E8" s="3053">
        <f ca="1">IF(F8&lt;B2,"已过期",2000110082)</f>
        <v>2000110082</v>
      </c>
      <c r="F8" s="3056">
        <v>46387</v>
      </c>
    </row>
    <row r="9" spans="1:6" ht="20.25" customHeight="1">
      <c r="A9" s="3053" t="s">
        <v>195</v>
      </c>
      <c r="B9" s="3053">
        <f ca="1">IF(C9&lt;B2,"已过期",1419970001)</f>
        <v>1419970001</v>
      </c>
      <c r="C9" s="3055">
        <v>44899</v>
      </c>
      <c r="D9" s="3053" t="s">
        <v>195</v>
      </c>
      <c r="E9" s="3053">
        <f ca="1">IF(F9&lt;B2,"已过期",2002110125)</f>
        <v>2002110125</v>
      </c>
      <c r="F9" s="3056">
        <v>47118</v>
      </c>
    </row>
    <row r="10" spans="1:6" ht="20.25" customHeight="1">
      <c r="A10" s="3053" t="s">
        <v>196</v>
      </c>
      <c r="B10" s="3053">
        <f ca="1">IF(C10&lt;B2,"已过期",1120060040)</f>
        <v>1120060040</v>
      </c>
      <c r="C10" s="3055">
        <v>44554</v>
      </c>
      <c r="D10" s="3053" t="s">
        <v>196</v>
      </c>
      <c r="E10" s="3053">
        <f ca="1">IF(F10&lt;B2,"已过期",2004110096)</f>
        <v>2004110096</v>
      </c>
      <c r="F10" s="3056">
        <v>47118</v>
      </c>
    </row>
    <row r="11" spans="1:6" ht="20.25" customHeight="1">
      <c r="A11" s="3053" t="s">
        <v>197</v>
      </c>
      <c r="B11" s="3053">
        <f ca="1">IF(C11&lt;B2,"已过期",1120100036)</f>
        <v>1120100036</v>
      </c>
      <c r="C11" s="3055">
        <v>44675</v>
      </c>
      <c r="D11" s="3053" t="s">
        <v>197</v>
      </c>
      <c r="E11" s="3053">
        <f ca="1">IF(F11&lt;B2,"已过期",2010110070)</f>
        <v>2010110070</v>
      </c>
      <c r="F11" s="3056">
        <v>47907</v>
      </c>
    </row>
    <row r="12" spans="1:6" ht="20.25" customHeight="1">
      <c r="A12" s="3053"/>
      <c r="B12" s="3053"/>
      <c r="C12" s="3055"/>
      <c r="D12" s="3053"/>
      <c r="E12" s="3053"/>
      <c r="F12" s="3056"/>
    </row>
    <row r="13" spans="1:6" ht="20.25" customHeight="1">
      <c r="A13" s="3053" t="s">
        <v>198</v>
      </c>
      <c r="B13" s="3053">
        <f ca="1">IF(C13&lt;B2,"已过期",1120070131)</f>
        <v>1120070131</v>
      </c>
      <c r="C13" s="3055">
        <v>44849</v>
      </c>
      <c r="D13" s="3053" t="s">
        <v>198</v>
      </c>
      <c r="E13" s="3053">
        <f ca="1">IF(F13&lt;B2,"已过期",2014110011)</f>
        <v>2014110011</v>
      </c>
      <c r="F13" s="3056">
        <v>49302</v>
      </c>
    </row>
    <row r="14" spans="1:6" ht="20.25" customHeight="1">
      <c r="A14" s="3053" t="s">
        <v>199</v>
      </c>
      <c r="B14" s="3053">
        <f ca="1">IF(C14&lt;B2,"已过期",1120040230)</f>
        <v>1120040230</v>
      </c>
      <c r="C14" s="3057">
        <v>44864</v>
      </c>
      <c r="D14" s="3058" t="s">
        <v>199</v>
      </c>
      <c r="E14" s="3053">
        <f ca="1">IF(F14&lt;B2,"已过期",98030020)</f>
        <v>98030020</v>
      </c>
      <c r="F14" s="3056">
        <v>47118</v>
      </c>
    </row>
    <row r="15" spans="1:6" ht="20.25" customHeight="1">
      <c r="A15" s="3053"/>
      <c r="B15" s="3053"/>
      <c r="C15" s="3057"/>
      <c r="D15" s="3053"/>
      <c r="E15" s="3053"/>
      <c r="F15" s="3059"/>
    </row>
    <row r="16" spans="1:6" ht="20.25" customHeight="1">
      <c r="A16" s="3053"/>
      <c r="B16" s="3053"/>
      <c r="C16" s="3055"/>
      <c r="D16" s="3053"/>
      <c r="E16" s="3053"/>
      <c r="F16" s="3056"/>
    </row>
    <row r="17" spans="1:7" ht="20.25" customHeight="1">
      <c r="A17" s="3053"/>
      <c r="B17" s="3053"/>
      <c r="C17" s="3055"/>
      <c r="D17" s="3058"/>
      <c r="E17" s="3053"/>
      <c r="F17" s="3056"/>
    </row>
    <row r="18" spans="1:7" ht="20.25" customHeight="1">
      <c r="A18" s="3053" t="s">
        <v>200</v>
      </c>
      <c r="B18" s="3053">
        <v>1120190079</v>
      </c>
      <c r="C18" s="3055">
        <v>44826</v>
      </c>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201</v>
      </c>
      <c r="E21" s="3053">
        <f ca="1">IF(F21&lt;B2,"已过期",2011110090)</f>
        <v>2011110090</v>
      </c>
      <c r="F21" s="3056">
        <v>48302</v>
      </c>
    </row>
    <row r="22" spans="1:7" ht="20.25" customHeight="1">
      <c r="A22" s="3053" t="s">
        <v>202</v>
      </c>
      <c r="B22" s="3053">
        <f ca="1">IF(C22&lt;B2,"已过期",1120020033)</f>
        <v>1120020033</v>
      </c>
      <c r="C22" s="3055">
        <v>44339</v>
      </c>
      <c r="D22" s="3053" t="s">
        <v>202</v>
      </c>
      <c r="E22" s="3053">
        <f ca="1">IF(F22&lt;B2,"已过期",2000110137)</f>
        <v>2000110137</v>
      </c>
      <c r="F22" s="3056">
        <v>46387</v>
      </c>
    </row>
    <row r="23" spans="1:7" ht="20.25" customHeight="1">
      <c r="A23" s="3053" t="s">
        <v>203</v>
      </c>
      <c r="B23" s="3053">
        <v>1119980106</v>
      </c>
      <c r="C23" s="3055">
        <v>43916</v>
      </c>
      <c r="D23" s="3053" t="s">
        <v>203</v>
      </c>
      <c r="E23" s="3053">
        <v>96010063</v>
      </c>
      <c r="F23" s="3056">
        <v>47118</v>
      </c>
    </row>
    <row r="24" spans="1:7" s="3047" customFormat="1" ht="20.25" customHeight="1">
      <c r="A24" s="3052" t="s">
        <v>138</v>
      </c>
      <c r="B24" s="3052" t="s">
        <v>138</v>
      </c>
      <c r="C24" s="3055"/>
      <c r="D24" s="3060" t="s">
        <v>138</v>
      </c>
      <c r="E24" s="3052" t="s">
        <v>138</v>
      </c>
      <c r="F24" s="3059"/>
    </row>
    <row r="25" spans="1:7" ht="20.25" customHeight="1">
      <c r="A25" s="3189" t="s">
        <v>204</v>
      </c>
      <c r="B25" s="3189"/>
      <c r="C25" s="3189"/>
      <c r="D25" s="3189"/>
      <c r="E25" s="3189"/>
      <c r="F25" s="3189"/>
      <c r="G25" s="3189"/>
    </row>
    <row r="26" spans="1:7" ht="20.25" customHeight="1">
      <c r="A26" s="3190" t="s">
        <v>205</v>
      </c>
      <c r="B26" s="3190"/>
      <c r="C26" s="3190"/>
      <c r="D26" s="3190" t="s">
        <v>206</v>
      </c>
      <c r="E26" s="3190"/>
      <c r="F26" s="3190"/>
    </row>
    <row r="27" spans="1:7" s="3048" customFormat="1" ht="20.25" customHeight="1">
      <c r="A27" s="3061" t="s">
        <v>207</v>
      </c>
      <c r="B27" s="3062" t="s">
        <v>208</v>
      </c>
      <c r="C27" s="3062" t="s">
        <v>188</v>
      </c>
      <c r="D27" s="3053" t="s">
        <v>207</v>
      </c>
      <c r="E27" s="3062" t="s">
        <v>208</v>
      </c>
      <c r="F27" s="3062" t="s">
        <v>188</v>
      </c>
    </row>
    <row r="28" spans="1:7" s="3048" customFormat="1" ht="20.25" customHeight="1">
      <c r="A28" s="3063" t="s">
        <v>209</v>
      </c>
      <c r="B28" s="3063" t="s">
        <v>210</v>
      </c>
      <c r="C28" s="3056">
        <v>44820</v>
      </c>
      <c r="D28" s="3063" t="s">
        <v>211</v>
      </c>
      <c r="E28" s="3063" t="s">
        <v>212</v>
      </c>
      <c r="F28" s="3064">
        <v>44377</v>
      </c>
    </row>
    <row r="29" spans="1:7" s="3048" customFormat="1" ht="20.25" customHeight="1">
      <c r="A29" s="3063"/>
      <c r="B29" s="3063"/>
      <c r="C29" s="3065"/>
      <c r="D29" s="3063" t="s">
        <v>213</v>
      </c>
      <c r="E29" s="3063" t="s">
        <v>214</v>
      </c>
      <c r="F29" s="3064">
        <v>44012</v>
      </c>
    </row>
    <row r="30" spans="1:7" ht="20.25" customHeight="1">
      <c r="C30" s="3066"/>
      <c r="D30" s="3066"/>
    </row>
  </sheetData>
  <sheetProtection sheet="1" objects="1" scenarios="1"/>
  <mergeCells count="3">
    <mergeCell ref="A25:G25"/>
    <mergeCell ref="A26:C26"/>
    <mergeCell ref="D26:F26"/>
  </mergeCells>
  <phoneticPr fontId="227" type="noConversion"/>
  <conditionalFormatting sqref="C4">
    <cfRule type="expression" dxfId="224" priority="11">
      <formula>AND($C4-TODAY()&lt;30,TODAY()&lt;$C4)</formula>
    </cfRule>
    <cfRule type="cellIs" dxfId="223" priority="12" stopIfTrue="1" operator="lessThan">
      <formula>$B$2</formula>
    </cfRule>
  </conditionalFormatting>
  <conditionalFormatting sqref="C5">
    <cfRule type="expression" dxfId="222" priority="105">
      <formula>AND($C5-TODAY()&lt;30,TODAY()&lt;$C5)</formula>
    </cfRule>
    <cfRule type="cellIs" dxfId="221" priority="106" stopIfTrue="1" operator="lessThan">
      <formula>$B$2</formula>
    </cfRule>
  </conditionalFormatting>
  <conditionalFormatting sqref="F5">
    <cfRule type="cellIs" dxfId="220" priority="148" stopIfTrue="1" operator="lessThan">
      <formula>$B$2</formula>
    </cfRule>
  </conditionalFormatting>
  <conditionalFormatting sqref="C7">
    <cfRule type="expression" dxfId="219" priority="84">
      <formula>AND($C7-TODAY()&lt;30,TODAY()&lt;$C7)</formula>
    </cfRule>
    <cfRule type="cellIs" dxfId="218" priority="85" stopIfTrue="1" operator="lessThan">
      <formula>$B$2</formula>
    </cfRule>
  </conditionalFormatting>
  <conditionalFormatting sqref="C12">
    <cfRule type="expression" dxfId="217" priority="70">
      <formula>AND($C12-TODAY()&lt;30,TODAY()&lt;$C12)</formula>
    </cfRule>
    <cfRule type="cellIs" dxfId="216" priority="71" stopIfTrue="1" operator="lessThan">
      <formula>$B$2</formula>
    </cfRule>
  </conditionalFormatting>
  <conditionalFormatting sqref="F12">
    <cfRule type="cellIs" dxfId="215" priority="73" stopIfTrue="1" operator="lessThan">
      <formula>$B$2</formula>
    </cfRule>
  </conditionalFormatting>
  <conditionalFormatting sqref="F13">
    <cfRule type="cellIs" dxfId="214" priority="81" stopIfTrue="1" operator="lessThan">
      <formula>$B$2</formula>
    </cfRule>
  </conditionalFormatting>
  <conditionalFormatting sqref="B14">
    <cfRule type="cellIs" dxfId="213" priority="50" stopIfTrue="1" operator="equal">
      <formula>"已过期"</formula>
    </cfRule>
  </conditionalFormatting>
  <conditionalFormatting sqref="C14">
    <cfRule type="expression" dxfId="212" priority="53">
      <formula>AND($C14-TODAY()&lt;30,TODAY()&lt;$C14)</formula>
    </cfRule>
    <cfRule type="cellIs" dxfId="211" priority="54" stopIfTrue="1" operator="lessThan">
      <formula>$B$2</formula>
    </cfRule>
  </conditionalFormatting>
  <conditionalFormatting sqref="E14">
    <cfRule type="cellIs" dxfId="210" priority="40" stopIfTrue="1" operator="equal">
      <formula>"已过期"</formula>
    </cfRule>
  </conditionalFormatting>
  <conditionalFormatting sqref="F14">
    <cfRule type="cellIs" dxfId="209" priority="39" stopIfTrue="1" operator="lessThan">
      <formula>$B$2</formula>
    </cfRule>
  </conditionalFormatting>
  <conditionalFormatting sqref="A15">
    <cfRule type="cellIs" dxfId="208" priority="48" stopIfTrue="1" operator="equal">
      <formula>"已过期"</formula>
    </cfRule>
  </conditionalFormatting>
  <conditionalFormatting sqref="B15">
    <cfRule type="cellIs" dxfId="207" priority="49" stopIfTrue="1" operator="equal">
      <formula>"已过期"</formula>
    </cfRule>
  </conditionalFormatting>
  <conditionalFormatting sqref="C15">
    <cfRule type="expression" dxfId="206" priority="51">
      <formula>AND($C15-TODAY()&lt;30,TODAY()&lt;$C15)</formula>
    </cfRule>
    <cfRule type="cellIs" dxfId="205" priority="52" stopIfTrue="1" operator="lessThan">
      <formula>$B$2</formula>
    </cfRule>
    <cfRule type="expression" dxfId="204" priority="47">
      <formula>AND($C15-TODAY()&lt;30,TODAY()&lt;$C15)</formula>
    </cfRule>
  </conditionalFormatting>
  <conditionalFormatting sqref="D15">
    <cfRule type="cellIs" dxfId="203" priority="43" stopIfTrue="1" operator="equal">
      <formula>"已过期"</formula>
    </cfRule>
  </conditionalFormatting>
  <conditionalFormatting sqref="E15">
    <cfRule type="cellIs" dxfId="202" priority="44" stopIfTrue="1" operator="equal">
      <formula>"已过期"</formula>
    </cfRule>
  </conditionalFormatting>
  <conditionalFormatting sqref="B16">
    <cfRule type="cellIs" dxfId="201" priority="57" stopIfTrue="1" operator="equal">
      <formula>"已过期"</formula>
    </cfRule>
  </conditionalFormatting>
  <conditionalFormatting sqref="C16">
    <cfRule type="expression" dxfId="200" priority="60">
      <formula>AND($C16-TODAY()&lt;30,TODAY()&lt;$C16)</formula>
    </cfRule>
    <cfRule type="cellIs" dxfId="199" priority="61" stopIfTrue="1" operator="lessThan">
      <formula>$B$2</formula>
    </cfRule>
    <cfRule type="expression" dxfId="198" priority="58">
      <formula>AND($C16-TODAY()&lt;30,TODAY()&lt;$C16)</formula>
    </cfRule>
    <cfRule type="cellIs" dxfId="197" priority="59" stopIfTrue="1" operator="lessThan">
      <formula>$B$2</formula>
    </cfRule>
  </conditionalFormatting>
  <conditionalFormatting sqref="E16">
    <cfRule type="cellIs" dxfId="196" priority="45" stopIfTrue="1" operator="equal">
      <formula>"已过期"</formula>
    </cfRule>
  </conditionalFormatting>
  <conditionalFormatting sqref="F16">
    <cfRule type="cellIs" dxfId="195" priority="46" stopIfTrue="1" operator="lessThan">
      <formula>$B$2</formula>
    </cfRule>
  </conditionalFormatting>
  <conditionalFormatting sqref="E17">
    <cfRule type="cellIs" dxfId="194" priority="41" stopIfTrue="1" operator="equal">
      <formula>"已过期"</formula>
    </cfRule>
  </conditionalFormatting>
  <conditionalFormatting sqref="F17">
    <cfRule type="cellIs" dxfId="193" priority="42" stopIfTrue="1" operator="lessThan">
      <formula>$B$2</formula>
    </cfRule>
  </conditionalFormatting>
  <conditionalFormatting sqref="B18">
    <cfRule type="cellIs" dxfId="192" priority="21" stopIfTrue="1" operator="equal">
      <formula>"已过期"</formula>
    </cfRule>
  </conditionalFormatting>
  <conditionalFormatting sqref="C18">
    <cfRule type="expression" dxfId="191" priority="24">
      <formula>AND($C18-TODAY()&lt;30,TODAY()&lt;$C18)</formula>
    </cfRule>
    <cfRule type="cellIs" dxfId="190" priority="25" stopIfTrue="1" operator="lessThan">
      <formula>$B$2</formula>
    </cfRule>
    <cfRule type="expression" dxfId="189" priority="22">
      <formula>AND($C18-TODAY()&lt;30,TODAY()&lt;$C18)</formula>
    </cfRule>
    <cfRule type="cellIs" dxfId="188" priority="23" stopIfTrue="1" operator="lessThan">
      <formula>$B$2</formula>
    </cfRule>
  </conditionalFormatting>
  <conditionalFormatting sqref="E18">
    <cfRule type="cellIs" dxfId="187" priority="19" stopIfTrue="1" operator="equal">
      <formula>"已过期"</formula>
    </cfRule>
  </conditionalFormatting>
  <conditionalFormatting sqref="F18">
    <cfRule type="cellIs" dxfId="186" priority="20" stopIfTrue="1" operator="lessThan">
      <formula>$B$2</formula>
    </cfRule>
  </conditionalFormatting>
  <conditionalFormatting sqref="F21">
    <cfRule type="cellIs" dxfId="185" priority="115" stopIfTrue="1" operator="lessThan">
      <formula>$B$2</formula>
    </cfRule>
  </conditionalFormatting>
  <conditionalFormatting sqref="C22">
    <cfRule type="expression" dxfId="184" priority="62">
      <formula>AND($C22-TODAY()&lt;30,TODAY()&lt;$C22)</formula>
    </cfRule>
    <cfRule type="cellIs" dxfId="183" priority="63" stopIfTrue="1" operator="lessThan">
      <formula>$B$2</formula>
    </cfRule>
  </conditionalFormatting>
  <conditionalFormatting sqref="F22">
    <cfRule type="cellIs" dxfId="182" priority="116" stopIfTrue="1" operator="lessThan">
      <formula>$B$2</formula>
    </cfRule>
  </conditionalFormatting>
  <conditionalFormatting sqref="E23">
    <cfRule type="cellIs" dxfId="181" priority="1" stopIfTrue="1" operator="equal">
      <formula>"已过期"</formula>
    </cfRule>
  </conditionalFormatting>
  <conditionalFormatting sqref="F23">
    <cfRule type="cellIs" dxfId="180" priority="2" stopIfTrue="1" operator="lessThan">
      <formula>$B$2</formula>
    </cfRule>
  </conditionalFormatting>
  <conditionalFormatting sqref="C24:D24">
    <cfRule type="expression" dxfId="179" priority="151">
      <formula>AND($C24-TODAY()&lt;30,TODAY()&lt;$C24)</formula>
    </cfRule>
    <cfRule type="expression" dxfId="178" priority="144">
      <formula>AND($C24-TODAY()&lt;30,TODAY()&lt;$C24)</formula>
    </cfRule>
  </conditionalFormatting>
  <conditionalFormatting sqref="C28">
    <cfRule type="expression" dxfId="177" priority="150">
      <formula>AND($C28-TODAY()&lt;30,TODAY()&lt;$C28)</formula>
    </cfRule>
  </conditionalFormatting>
  <conditionalFormatting sqref="F28">
    <cfRule type="cellIs" dxfId="176" priority="110" stopIfTrue="1" operator="lessThan">
      <formula>$B$2</formula>
    </cfRule>
    <cfRule type="expression" dxfId="175" priority="154">
      <formula>AND($E28-TODAY()&lt;30,TODAY()&lt;$E28)</formula>
    </cfRule>
  </conditionalFormatting>
  <conditionalFormatting sqref="F29">
    <cfRule type="cellIs" dxfId="174" priority="15" stopIfTrue="1" operator="lessThan">
      <formula>$B$2</formula>
    </cfRule>
    <cfRule type="expression" dxfId="173" priority="16">
      <formula>AND($E29-TODAY()&lt;30,TODAY()&lt;$E29)</formula>
    </cfRule>
  </conditionalFormatting>
  <conditionalFormatting sqref="C5:C6">
    <cfRule type="expression" dxfId="172" priority="103">
      <formula>AND($C5-TODAY()&lt;30,TODAY()&lt;$C5)</formula>
    </cfRule>
    <cfRule type="cellIs" dxfId="171" priority="104" stopIfTrue="1" operator="lessThan">
      <formula>$B$2</formula>
    </cfRule>
  </conditionalFormatting>
  <conditionalFormatting sqref="C8:C9">
    <cfRule type="expression" dxfId="170" priority="5">
      <formula>AND($C8-TODAY()&lt;30,TODAY()&lt;$C8)</formula>
    </cfRule>
    <cfRule type="cellIs" dxfId="169" priority="6" stopIfTrue="1" operator="lessThan">
      <formula>$B$2</formula>
    </cfRule>
  </conditionalFormatting>
  <conditionalFormatting sqref="C10:C11">
    <cfRule type="expression" dxfId="168" priority="35">
      <formula>AND($C10-TODAY()&lt;30,TODAY()&lt;$C10)</formula>
    </cfRule>
    <cfRule type="cellIs" dxfId="167" priority="36" stopIfTrue="1" operator="lessThan">
      <formula>$B$2</formula>
    </cfRule>
  </conditionalFormatting>
  <conditionalFormatting sqref="C14:C15">
    <cfRule type="expression" dxfId="166" priority="55">
      <formula>AND($C14-TODAY()&lt;30,TODAY()&lt;$C14)</formula>
    </cfRule>
    <cfRule type="cellIs" dxfId="165" priority="56" stopIfTrue="1" operator="lessThan">
      <formula>$B$2</formula>
    </cfRule>
  </conditionalFormatting>
  <conditionalFormatting sqref="B4:B11 E4:E11 E19:E22 B17 B13 E13 B19:B23">
    <cfRule type="cellIs" dxfId="164" priority="113" stopIfTrue="1" operator="equal">
      <formula>"已过期"</formula>
    </cfRule>
  </conditionalFormatting>
  <conditionalFormatting sqref="C28 F4">
    <cfRule type="cellIs" dxfId="163" priority="152" stopIfTrue="1" operator="lessThan">
      <formula>$B$2</formula>
    </cfRule>
  </conditionalFormatting>
  <conditionalFormatting sqref="F6 F8 F10">
    <cfRule type="cellIs" dxfId="162" priority="146" stopIfTrue="1" operator="lessThan">
      <formula>$B$2</formula>
    </cfRule>
  </conditionalFormatting>
  <conditionalFormatting sqref="F7 F9 F11 C24:D24">
    <cfRule type="cellIs" dxfId="161" priority="145" stopIfTrue="1" operator="lessThan">
      <formula>$B$2</formula>
    </cfRule>
  </conditionalFormatting>
  <conditionalFormatting sqref="B12 E12">
    <cfRule type="cellIs" dxfId="160" priority="72" stopIfTrue="1" operator="equal">
      <formula>"已过期"</formula>
    </cfRule>
  </conditionalFormatting>
  <conditionalFormatting sqref="C13 C23 C17 C19:C21">
    <cfRule type="expression" dxfId="159" priority="82">
      <formula>AND($C13-TODAY()&lt;30,TODAY()&lt;$C13)</formula>
    </cfRule>
    <cfRule type="cellIs" dxfId="158" priority="8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4" customWidth="1"/>
    <col min="2" max="2" width="18.875" style="3025" customWidth="1"/>
    <col min="3" max="3" width="18.875" style="2226" hidden="1" customWidth="1"/>
    <col min="4" max="4" width="5.5" style="3026" hidden="1" customWidth="1"/>
    <col min="5" max="5" width="7.125" style="3026" hidden="1" customWidth="1"/>
    <col min="6" max="6" width="10.625" style="3026" hidden="1" customWidth="1"/>
    <col min="7" max="7" width="7.5" style="3026" hidden="1" customWidth="1"/>
    <col min="8" max="8" width="9" style="2226" hidden="1" customWidth="1"/>
    <col min="9" max="9" width="11.625" style="2226" hidden="1" customWidth="1"/>
    <col min="10" max="10" width="9" style="2226" hidden="1" customWidth="1"/>
    <col min="11" max="19" width="9" style="3026" hidden="1" customWidth="1"/>
    <col min="20" max="22" width="9" style="2226" hidden="1" customWidth="1"/>
    <col min="23" max="23" width="9" style="2226" customWidth="1"/>
    <col min="24" max="24" width="14.625" style="3025" customWidth="1"/>
    <col min="25" max="25" width="7.25" style="3025" customWidth="1"/>
    <col min="26" max="16384" width="9" style="3025"/>
  </cols>
  <sheetData>
    <row r="1" spans="1:23" s="3023" customFormat="1" ht="27">
      <c r="A1" s="3027" t="s">
        <v>215</v>
      </c>
      <c r="B1" s="3028" t="s">
        <v>216</v>
      </c>
      <c r="C1" s="3029" t="s">
        <v>217</v>
      </c>
      <c r="D1" s="3030" t="s">
        <v>218</v>
      </c>
      <c r="E1" s="3030" t="s">
        <v>219</v>
      </c>
      <c r="F1" s="3030" t="s">
        <v>220</v>
      </c>
      <c r="G1" s="3030" t="s">
        <v>221</v>
      </c>
      <c r="H1" s="3030" t="s">
        <v>222</v>
      </c>
      <c r="I1" s="3030" t="s">
        <v>223</v>
      </c>
      <c r="J1" s="3030" t="s">
        <v>224</v>
      </c>
      <c r="K1" s="3030" t="s">
        <v>225</v>
      </c>
      <c r="L1" s="3030" t="s">
        <v>226</v>
      </c>
      <c r="M1" s="3030" t="s">
        <v>227</v>
      </c>
      <c r="N1" s="3030" t="s">
        <v>228</v>
      </c>
      <c r="O1" s="3030" t="s">
        <v>229</v>
      </c>
      <c r="P1" s="3030" t="s">
        <v>230</v>
      </c>
      <c r="Q1" s="3043" t="s">
        <v>231</v>
      </c>
      <c r="R1" s="3044" t="s">
        <v>232</v>
      </c>
      <c r="S1" s="3030" t="s">
        <v>233</v>
      </c>
      <c r="T1" s="3045" t="s">
        <v>234</v>
      </c>
      <c r="U1" s="3030" t="s">
        <v>235</v>
      </c>
      <c r="V1" s="3030" t="s">
        <v>236</v>
      </c>
      <c r="W1" s="3046" t="s">
        <v>237</v>
      </c>
    </row>
    <row r="2" spans="1:23">
      <c r="A2" s="3031" t="s">
        <v>238</v>
      </c>
      <c r="B2" s="3031" t="s">
        <v>239</v>
      </c>
      <c r="C2" s="3032" t="s">
        <v>240</v>
      </c>
      <c r="D2" s="3026" t="s">
        <v>241</v>
      </c>
      <c r="E2" s="3026" t="s">
        <v>242</v>
      </c>
      <c r="F2" s="3026" t="s">
        <v>243</v>
      </c>
      <c r="G2" s="3026">
        <v>40</v>
      </c>
      <c r="H2" s="3026" t="s">
        <v>243</v>
      </c>
      <c r="I2" s="3026" t="s">
        <v>244</v>
      </c>
      <c r="J2" s="3026" t="s">
        <v>245</v>
      </c>
      <c r="K2" s="3026" t="s">
        <v>246</v>
      </c>
      <c r="L2" s="3026" t="s">
        <v>246</v>
      </c>
      <c r="M2" s="3026" t="s">
        <v>246</v>
      </c>
      <c r="N2" s="3026" t="s">
        <v>246</v>
      </c>
      <c r="O2" s="3026" t="s">
        <v>246</v>
      </c>
      <c r="P2" s="3042" t="s">
        <v>246</v>
      </c>
      <c r="Q2" s="3026" t="s">
        <v>246</v>
      </c>
      <c r="R2" s="3042" t="s">
        <v>247</v>
      </c>
      <c r="S2" s="3026" t="s">
        <v>246</v>
      </c>
      <c r="T2" s="3026" t="s">
        <v>248</v>
      </c>
      <c r="U2" s="3026" t="s">
        <v>246</v>
      </c>
      <c r="V2" s="3026" t="s">
        <v>249</v>
      </c>
      <c r="W2" s="3026" t="s">
        <v>250</v>
      </c>
    </row>
    <row r="3" spans="1:23">
      <c r="A3" s="3031" t="s">
        <v>251</v>
      </c>
      <c r="B3" s="3033" t="s">
        <v>252</v>
      </c>
      <c r="C3" s="2539" t="s">
        <v>253</v>
      </c>
      <c r="D3" s="3026" t="s">
        <v>254</v>
      </c>
      <c r="E3" s="3026" t="s">
        <v>138</v>
      </c>
      <c r="F3" s="3026" t="s">
        <v>255</v>
      </c>
      <c r="G3" s="3026">
        <v>50</v>
      </c>
      <c r="H3" s="3026" t="s">
        <v>255</v>
      </c>
      <c r="I3" s="3026" t="s">
        <v>256</v>
      </c>
      <c r="J3" s="3026" t="s">
        <v>257</v>
      </c>
      <c r="K3" s="3026" t="s">
        <v>258</v>
      </c>
      <c r="L3" s="3026" t="s">
        <v>258</v>
      </c>
      <c r="M3" s="3026" t="s">
        <v>258</v>
      </c>
      <c r="N3" s="3026" t="s">
        <v>258</v>
      </c>
      <c r="O3" s="3026" t="s">
        <v>258</v>
      </c>
      <c r="P3" s="3042" t="s">
        <v>258</v>
      </c>
      <c r="Q3" s="3026" t="s">
        <v>258</v>
      </c>
      <c r="R3" s="3042" t="s">
        <v>259</v>
      </c>
      <c r="S3" s="3026" t="s">
        <v>258</v>
      </c>
      <c r="T3" s="3026" t="s">
        <v>260</v>
      </c>
      <c r="U3" s="3026" t="s">
        <v>258</v>
      </c>
      <c r="V3" s="3026" t="s">
        <v>261</v>
      </c>
      <c r="W3" s="3026" t="s">
        <v>262</v>
      </c>
    </row>
    <row r="4" spans="1:23">
      <c r="A4" s="3031" t="s">
        <v>263</v>
      </c>
      <c r="B4" s="3031" t="s">
        <v>264</v>
      </c>
      <c r="C4" s="3032" t="s">
        <v>265</v>
      </c>
      <c r="D4" s="3026" t="s">
        <v>138</v>
      </c>
      <c r="E4" s="3026" t="s">
        <v>266</v>
      </c>
      <c r="F4" s="3026" t="s">
        <v>267</v>
      </c>
      <c r="G4" s="3026">
        <v>70</v>
      </c>
      <c r="H4" s="3026" t="s">
        <v>267</v>
      </c>
      <c r="I4" s="3026" t="s">
        <v>268</v>
      </c>
      <c r="K4" s="3026" t="s">
        <v>269</v>
      </c>
      <c r="L4" s="3026" t="s">
        <v>269</v>
      </c>
      <c r="M4" s="3026" t="s">
        <v>269</v>
      </c>
      <c r="N4" s="3026" t="s">
        <v>269</v>
      </c>
      <c r="O4" s="3026" t="s">
        <v>269</v>
      </c>
      <c r="P4" s="3042" t="s">
        <v>269</v>
      </c>
      <c r="Q4" s="3026" t="s">
        <v>269</v>
      </c>
      <c r="R4" s="3042" t="s">
        <v>270</v>
      </c>
      <c r="S4" s="3026" t="s">
        <v>269</v>
      </c>
      <c r="T4" s="3026" t="s">
        <v>271</v>
      </c>
      <c r="U4" s="3026" t="s">
        <v>269</v>
      </c>
      <c r="W4" s="3026" t="s">
        <v>272</v>
      </c>
    </row>
    <row r="5" spans="1:23">
      <c r="A5" s="3031" t="s">
        <v>273</v>
      </c>
      <c r="B5" s="3031" t="s">
        <v>274</v>
      </c>
      <c r="C5" s="3032" t="s">
        <v>275</v>
      </c>
      <c r="F5" s="3026" t="s">
        <v>276</v>
      </c>
      <c r="H5" s="3026" t="s">
        <v>277</v>
      </c>
      <c r="I5" s="3026" t="s">
        <v>278</v>
      </c>
      <c r="K5" s="3026" t="s">
        <v>279</v>
      </c>
      <c r="L5" s="3026" t="s">
        <v>279</v>
      </c>
      <c r="M5" s="3026" t="s">
        <v>279</v>
      </c>
      <c r="N5" s="3026" t="s">
        <v>279</v>
      </c>
      <c r="O5" s="3026" t="s">
        <v>279</v>
      </c>
      <c r="P5" s="3042" t="s">
        <v>279</v>
      </c>
      <c r="Q5" s="3026" t="s">
        <v>279</v>
      </c>
      <c r="R5" s="3042" t="s">
        <v>280</v>
      </c>
      <c r="S5" s="3026" t="s">
        <v>279</v>
      </c>
      <c r="T5" s="3026" t="s">
        <v>281</v>
      </c>
      <c r="U5" s="3026" t="s">
        <v>279</v>
      </c>
      <c r="W5" s="3026" t="s">
        <v>282</v>
      </c>
    </row>
    <row r="6" spans="1:23">
      <c r="A6" s="3031" t="s">
        <v>283</v>
      </c>
      <c r="B6" s="3034" t="s">
        <v>173</v>
      </c>
      <c r="C6" s="2427" t="s">
        <v>284</v>
      </c>
      <c r="F6" s="3026" t="s">
        <v>277</v>
      </c>
      <c r="H6" s="3026" t="s">
        <v>285</v>
      </c>
      <c r="I6" s="3026" t="s">
        <v>286</v>
      </c>
      <c r="K6" s="3026" t="s">
        <v>287</v>
      </c>
      <c r="L6" s="3026" t="s">
        <v>287</v>
      </c>
      <c r="M6" s="3026" t="s">
        <v>287</v>
      </c>
      <c r="N6" s="3026" t="s">
        <v>287</v>
      </c>
      <c r="O6" s="3026" t="s">
        <v>287</v>
      </c>
      <c r="P6" s="3042" t="s">
        <v>287</v>
      </c>
      <c r="Q6" s="3026" t="s">
        <v>287</v>
      </c>
      <c r="R6" s="3042" t="s">
        <v>288</v>
      </c>
      <c r="S6" s="3026" t="s">
        <v>287</v>
      </c>
      <c r="T6" s="3026"/>
      <c r="U6" s="3026" t="s">
        <v>287</v>
      </c>
      <c r="W6" s="3026" t="s">
        <v>289</v>
      </c>
    </row>
    <row r="7" spans="1:23">
      <c r="A7" s="3031" t="s">
        <v>290</v>
      </c>
      <c r="B7" s="3031" t="s">
        <v>291</v>
      </c>
      <c r="C7" s="3032" t="s">
        <v>292</v>
      </c>
      <c r="F7" s="3026" t="s">
        <v>293</v>
      </c>
      <c r="H7" s="3026" t="s">
        <v>276</v>
      </c>
      <c r="I7" s="3026" t="s">
        <v>294</v>
      </c>
    </row>
    <row r="8" spans="1:23">
      <c r="A8" s="3031" t="s">
        <v>295</v>
      </c>
      <c r="B8" s="3031" t="s">
        <v>296</v>
      </c>
      <c r="C8" s="3032" t="s">
        <v>297</v>
      </c>
      <c r="F8" s="3026" t="s">
        <v>298</v>
      </c>
      <c r="H8" s="3026"/>
      <c r="I8" s="3026" t="s">
        <v>299</v>
      </c>
    </row>
    <row r="9" spans="1:23">
      <c r="A9" s="3031" t="s">
        <v>300</v>
      </c>
      <c r="B9" s="3031" t="s">
        <v>301</v>
      </c>
      <c r="C9" s="3032" t="s">
        <v>302</v>
      </c>
      <c r="F9" s="3026" t="s">
        <v>285</v>
      </c>
      <c r="H9" s="3026"/>
    </row>
    <row r="10" spans="1:23">
      <c r="A10" s="3031" t="s">
        <v>303</v>
      </c>
      <c r="B10" s="3031" t="s">
        <v>304</v>
      </c>
      <c r="C10" s="3032" t="s">
        <v>305</v>
      </c>
      <c r="F10" s="3026" t="s">
        <v>138</v>
      </c>
    </row>
    <row r="11" spans="1:23">
      <c r="A11" s="3031" t="s">
        <v>306</v>
      </c>
      <c r="B11" s="3031" t="s">
        <v>307</v>
      </c>
      <c r="C11" s="3032" t="s">
        <v>308</v>
      </c>
    </row>
    <row r="12" spans="1:23">
      <c r="A12" s="3031" t="s">
        <v>309</v>
      </c>
      <c r="B12" s="3031" t="s">
        <v>310</v>
      </c>
      <c r="C12" s="3032" t="s">
        <v>311</v>
      </c>
    </row>
    <row r="13" spans="1:23">
      <c r="A13" s="3031" t="s">
        <v>312</v>
      </c>
      <c r="B13" s="3031" t="s">
        <v>313</v>
      </c>
      <c r="C13" s="3032" t="s">
        <v>314</v>
      </c>
    </row>
    <row r="14" spans="1:23">
      <c r="A14" s="3031" t="s">
        <v>315</v>
      </c>
      <c r="B14" s="3031" t="s">
        <v>316</v>
      </c>
      <c r="C14" s="3035" t="s">
        <v>138</v>
      </c>
    </row>
    <row r="15" spans="1:23">
      <c r="A15" s="3031" t="s">
        <v>317</v>
      </c>
      <c r="B15" s="3031" t="s">
        <v>318</v>
      </c>
      <c r="C15" s="3035"/>
    </row>
    <row r="16" spans="1:23">
      <c r="A16" s="3031" t="s">
        <v>319</v>
      </c>
      <c r="B16" s="3031" t="s">
        <v>320</v>
      </c>
      <c r="C16" s="3035"/>
    </row>
    <row r="17" spans="1:3">
      <c r="A17" s="3031" t="s">
        <v>321</v>
      </c>
      <c r="B17" s="3031" t="s">
        <v>322</v>
      </c>
      <c r="C17" s="3035"/>
    </row>
    <row r="18" spans="1:3">
      <c r="A18" s="3031" t="s">
        <v>323</v>
      </c>
      <c r="B18" s="3036" t="s">
        <v>324</v>
      </c>
      <c r="C18" s="3035"/>
    </row>
    <row r="19" spans="1:3">
      <c r="A19" s="3031" t="s">
        <v>325</v>
      </c>
      <c r="B19" s="3036" t="s">
        <v>326</v>
      </c>
      <c r="C19" s="3035"/>
    </row>
    <row r="20" spans="1:3">
      <c r="A20" s="3031" t="s">
        <v>277</v>
      </c>
      <c r="B20" s="3031" t="s">
        <v>327</v>
      </c>
      <c r="C20" s="3035"/>
    </row>
    <row r="21" spans="1:3">
      <c r="A21" s="3031" t="s">
        <v>328</v>
      </c>
      <c r="B21" s="3031" t="s">
        <v>327</v>
      </c>
      <c r="C21" s="3035"/>
    </row>
    <row r="22" spans="1:3">
      <c r="A22" s="3031" t="s">
        <v>329</v>
      </c>
      <c r="B22" s="3031" t="s">
        <v>327</v>
      </c>
      <c r="C22" s="3035"/>
    </row>
    <row r="23" spans="1:3">
      <c r="A23" s="3031" t="s">
        <v>330</v>
      </c>
      <c r="B23" s="3031" t="s">
        <v>327</v>
      </c>
      <c r="C23" s="3035"/>
    </row>
    <row r="24" spans="1:3">
      <c r="A24" s="3031" t="s">
        <v>138</v>
      </c>
      <c r="B24" s="3031" t="s">
        <v>327</v>
      </c>
      <c r="C24" s="3035"/>
    </row>
    <row r="25" spans="1:3">
      <c r="A25" s="3031" t="s">
        <v>331</v>
      </c>
      <c r="B25" s="3031" t="s">
        <v>327</v>
      </c>
      <c r="C25" s="3035"/>
    </row>
    <row r="26" spans="1:3">
      <c r="A26" s="3031" t="s">
        <v>332</v>
      </c>
      <c r="B26" s="3031" t="s">
        <v>327</v>
      </c>
      <c r="C26" s="3035"/>
    </row>
    <row r="27" spans="1:3">
      <c r="A27" s="3031" t="s">
        <v>327</v>
      </c>
      <c r="B27" s="3031" t="s">
        <v>327</v>
      </c>
      <c r="C27" s="3035"/>
    </row>
    <row r="28" spans="1:3">
      <c r="A28" s="3031" t="s">
        <v>327</v>
      </c>
      <c r="B28" s="3031" t="s">
        <v>327</v>
      </c>
      <c r="C28" s="3035"/>
    </row>
    <row r="29" spans="1:3">
      <c r="A29" s="3031" t="s">
        <v>327</v>
      </c>
      <c r="B29" s="3031" t="s">
        <v>327</v>
      </c>
      <c r="C29" s="3035"/>
    </row>
    <row r="30" spans="1:3">
      <c r="A30" s="3031" t="s">
        <v>327</v>
      </c>
      <c r="B30" s="3031" t="s">
        <v>327</v>
      </c>
      <c r="C30" s="3035"/>
    </row>
    <row r="31" spans="1:3">
      <c r="A31" s="3031" t="s">
        <v>327</v>
      </c>
      <c r="B31" s="3031" t="s">
        <v>327</v>
      </c>
      <c r="C31" s="3035"/>
    </row>
    <row r="32" spans="1:3">
      <c r="A32" s="3031" t="s">
        <v>327</v>
      </c>
      <c r="B32" s="3031" t="s">
        <v>327</v>
      </c>
      <c r="C32" s="3035"/>
    </row>
    <row r="33" spans="1:3">
      <c r="A33" s="3031" t="s">
        <v>327</v>
      </c>
      <c r="B33" s="3031" t="s">
        <v>327</v>
      </c>
      <c r="C33" s="3035"/>
    </row>
    <row r="34" spans="1:3">
      <c r="A34" s="3031" t="s">
        <v>327</v>
      </c>
      <c r="B34" s="3031" t="s">
        <v>327</v>
      </c>
      <c r="C34" s="3035"/>
    </row>
    <row r="35" spans="1:3">
      <c r="A35" s="3031" t="s">
        <v>327</v>
      </c>
      <c r="B35" s="3031" t="s">
        <v>327</v>
      </c>
      <c r="C35" s="3035"/>
    </row>
    <row r="36" spans="1:3">
      <c r="A36" s="3031" t="s">
        <v>327</v>
      </c>
      <c r="B36" s="3031" t="s">
        <v>327</v>
      </c>
      <c r="C36" s="3035"/>
    </row>
    <row r="37" spans="1:3">
      <c r="A37" s="3031" t="s">
        <v>327</v>
      </c>
      <c r="B37" s="3031" t="s">
        <v>327</v>
      </c>
      <c r="C37" s="3035"/>
    </row>
    <row r="38" spans="1:3">
      <c r="A38" s="3031" t="s">
        <v>327</v>
      </c>
      <c r="B38" s="3031" t="s">
        <v>327</v>
      </c>
      <c r="C38" s="3035"/>
    </row>
    <row r="39" spans="1:3">
      <c r="A39" s="3031" t="s">
        <v>327</v>
      </c>
      <c r="B39" s="3031" t="s">
        <v>327</v>
      </c>
      <c r="C39" s="3035"/>
    </row>
    <row r="40" spans="1:3">
      <c r="A40" s="3031" t="s">
        <v>327</v>
      </c>
      <c r="B40" s="3031" t="s">
        <v>327</v>
      </c>
      <c r="C40" s="3035"/>
    </row>
    <row r="41" spans="1:3">
      <c r="A41" s="3031" t="s">
        <v>327</v>
      </c>
      <c r="B41" s="3031" t="s">
        <v>327</v>
      </c>
      <c r="C41" s="3035"/>
    </row>
    <row r="42" spans="1:3">
      <c r="A42" s="3031" t="s">
        <v>327</v>
      </c>
      <c r="B42" s="3031" t="s">
        <v>327</v>
      </c>
      <c r="C42" s="3035"/>
    </row>
    <row r="43" spans="1:3">
      <c r="A43" s="3031" t="s">
        <v>327</v>
      </c>
      <c r="B43" s="3031" t="s">
        <v>327</v>
      </c>
      <c r="C43" s="3035"/>
    </row>
    <row r="44" spans="1:3">
      <c r="A44" s="3031" t="s">
        <v>327</v>
      </c>
      <c r="B44" s="3031" t="s">
        <v>327</v>
      </c>
      <c r="C44" s="3035"/>
    </row>
    <row r="45" spans="1:3">
      <c r="A45" s="3031" t="s">
        <v>327</v>
      </c>
      <c r="B45" s="3031" t="s">
        <v>327</v>
      </c>
      <c r="C45" s="3035"/>
    </row>
    <row r="46" spans="1:3">
      <c r="A46" s="3031" t="s">
        <v>327</v>
      </c>
      <c r="B46" s="3031" t="s">
        <v>327</v>
      </c>
      <c r="C46" s="3035"/>
    </row>
    <row r="47" spans="1:3">
      <c r="A47" s="3031" t="s">
        <v>327</v>
      </c>
      <c r="B47" s="3031" t="s">
        <v>327</v>
      </c>
      <c r="C47" s="3035"/>
    </row>
    <row r="48" spans="1:3">
      <c r="A48" s="3031" t="s">
        <v>327</v>
      </c>
      <c r="B48" s="3031" t="s">
        <v>327</v>
      </c>
      <c r="C48" s="3035"/>
    </row>
    <row r="49" spans="1:5">
      <c r="A49" s="3031" t="s">
        <v>327</v>
      </c>
      <c r="B49" s="3031" t="s">
        <v>327</v>
      </c>
      <c r="C49" s="3035"/>
    </row>
    <row r="50" spans="1:5">
      <c r="A50" s="3031" t="s">
        <v>327</v>
      </c>
      <c r="B50" s="3031" t="s">
        <v>327</v>
      </c>
      <c r="C50" s="3035"/>
    </row>
    <row r="51" spans="1:5">
      <c r="A51" s="3037" t="s">
        <v>333</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334</v>
      </c>
      <c r="B52" s="3040" t="s">
        <v>335</v>
      </c>
      <c r="C52" s="3038" t="s">
        <v>336</v>
      </c>
      <c r="D52" s="3038" t="s">
        <v>337</v>
      </c>
      <c r="E52" s="3039"/>
    </row>
    <row r="53" spans="1:5">
      <c r="A53" s="3191" t="s">
        <v>338</v>
      </c>
      <c r="B53" s="3038" t="s">
        <v>339</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c r="D53" s="3039"/>
      <c r="E53" s="3039"/>
    </row>
    <row r="54" spans="1:5">
      <c r="A54" s="3191"/>
      <c r="B54" s="3038" t="s">
        <v>340</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191"/>
      <c r="B55" s="3038" t="s">
        <v>341</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191"/>
      <c r="B56" s="3038" t="s">
        <v>342</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191"/>
      <c r="B57" s="3038" t="s">
        <v>343</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344</v>
      </c>
      <c r="B58" s="3038" t="s">
        <v>345</v>
      </c>
      <c r="C58" s="2226" t="s">
        <v>346</v>
      </c>
      <c r="D58" s="2318"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2020-03-13T03:29:51Z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