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L9" i="1" l="1"/>
  <c r="N9" i="1" l="1"/>
  <c r="N8" i="1"/>
  <c r="N7" i="1"/>
  <c r="C145" i="85" l="1"/>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AC46" i="85"/>
  <c r="W46" i="85"/>
  <c r="Q46" i="85"/>
  <c r="Z46" i="85" s="1"/>
  <c r="J46" i="85"/>
  <c r="H46" i="85"/>
  <c r="AB46" i="85" s="1"/>
  <c r="F46" i="85"/>
  <c r="AA46" i="85" s="1"/>
  <c r="AB45" i="85"/>
  <c r="U45" i="85"/>
  <c r="Q45" i="85"/>
  <c r="Z45" i="85" s="1"/>
  <c r="J45" i="85"/>
  <c r="AC45" i="85" s="1"/>
  <c r="H45" i="85"/>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W8" i="85"/>
  <c r="S8" i="85"/>
  <c r="J8" i="85"/>
  <c r="AC8" i="85" s="1"/>
  <c r="H8" i="85"/>
  <c r="AB8" i="85" s="1"/>
  <c r="F8" i="85"/>
  <c r="AA8" i="85" s="1"/>
  <c r="C7" i="85"/>
  <c r="C58" i="85" s="1"/>
  <c r="D58" i="85" s="1"/>
  <c r="E58" i="85" s="1"/>
  <c r="F58" i="85" s="1"/>
  <c r="G58" i="85" s="1"/>
  <c r="H58" i="85" s="1"/>
  <c r="I58" i="85" s="1"/>
  <c r="J58" i="85" s="1"/>
  <c r="K58" i="85" s="1"/>
  <c r="L58" i="85" s="1"/>
  <c r="M58" i="85" s="1"/>
  <c r="N58" i="85" s="1"/>
  <c r="O58" i="85" s="1"/>
  <c r="D3" i="85"/>
  <c r="I46" i="39"/>
  <c r="G46" i="39"/>
  <c r="E46" i="39"/>
  <c r="F22" i="6"/>
  <c r="G21" i="6"/>
  <c r="Q72" i="84"/>
  <c r="Q59" i="84"/>
  <c r="K59" i="84"/>
  <c r="P74" i="84" s="1"/>
  <c r="F59" i="84"/>
  <c r="Q58" i="84"/>
  <c r="Q51" i="84"/>
  <c r="J50" i="84"/>
  <c r="J51" i="84" s="1"/>
  <c r="M47" i="84"/>
  <c r="D46" i="84"/>
  <c r="F34" i="84"/>
  <c r="F62" i="84" s="1"/>
  <c r="F33" i="84"/>
  <c r="F61" i="84" s="1"/>
  <c r="F32" i="84"/>
  <c r="F60" i="84" s="1"/>
  <c r="F31" i="84"/>
  <c r="F28" i="84"/>
  <c r="C28" i="84" s="1"/>
  <c r="F23" i="84"/>
  <c r="D23" i="84" s="1"/>
  <c r="F21" i="84"/>
  <c r="M20" i="84"/>
  <c r="F20" i="84"/>
  <c r="M19" i="84"/>
  <c r="M18" i="84"/>
  <c r="F18" i="84"/>
  <c r="M17" i="84"/>
  <c r="F17" i="84"/>
  <c r="F15" i="84"/>
  <c r="G1" i="84"/>
  <c r="C22" i="6"/>
  <c r="C21" i="6"/>
  <c r="AD14" i="3"/>
  <c r="C38" i="39"/>
  <c r="I38" i="39"/>
  <c r="G38" i="39"/>
  <c r="E38" i="39"/>
  <c r="I7" i="39"/>
  <c r="G7" i="39"/>
  <c r="E7" i="39"/>
  <c r="I5" i="39"/>
  <c r="G5" i="39"/>
  <c r="E5" i="39"/>
  <c r="D32" i="80"/>
  <c r="I7" i="21"/>
  <c r="E7" i="21"/>
  <c r="G7" i="21"/>
  <c r="D2" i="85"/>
  <c r="E7" i="85" l="1"/>
  <c r="F7" i="85" s="1"/>
  <c r="G7" i="85"/>
  <c r="H7" i="85" s="1"/>
  <c r="I7" i="85"/>
  <c r="J7" i="85" s="1"/>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M23" i="84"/>
  <c r="F8" i="84"/>
  <c r="F16" i="84"/>
  <c r="F42" i="84"/>
  <c r="M8" i="84"/>
  <c r="F36" i="84"/>
  <c r="C76" i="84"/>
  <c r="L48" i="84"/>
  <c r="L47" i="84"/>
  <c r="M27" i="84"/>
  <c r="F38" i="84"/>
  <c r="M22" i="84"/>
  <c r="M28" i="84"/>
  <c r="F6" i="84"/>
  <c r="M26" i="84"/>
  <c r="J15" i="84"/>
  <c r="F7" i="84"/>
  <c r="M24" i="84"/>
  <c r="F13" i="84"/>
  <c r="F37" i="84"/>
  <c r="M6" i="84"/>
  <c r="F9" i="84"/>
  <c r="F40" i="84"/>
  <c r="M9" i="84"/>
  <c r="F26" i="84"/>
  <c r="U7" i="85" l="1"/>
  <c r="AB7" i="85"/>
  <c r="AC7" i="85"/>
  <c r="W7" i="85"/>
  <c r="AA7" i="85"/>
  <c r="S7" i="85"/>
  <c r="F64" i="84"/>
  <c r="F66" i="84"/>
  <c r="C27" i="84"/>
  <c r="F51" i="84"/>
  <c r="F68" i="84"/>
  <c r="L57" i="84"/>
  <c r="L56" i="84"/>
  <c r="J60" i="84"/>
  <c r="Q48" i="84" s="1"/>
  <c r="J57" i="84"/>
  <c r="J55" i="84" s="1"/>
  <c r="J58" i="84" s="1"/>
  <c r="Q50" i="84" s="1"/>
  <c r="J59" i="84"/>
  <c r="I54" i="84"/>
  <c r="L60" i="84"/>
  <c r="C6" i="84"/>
  <c r="F65" i="84"/>
  <c r="F50" i="84"/>
  <c r="M7" i="84"/>
  <c r="J6" i="84" s="1"/>
  <c r="N59" i="84"/>
  <c r="L58" i="84"/>
  <c r="Q71" i="84"/>
  <c r="C5" i="39"/>
  <c r="H30" i="80"/>
  <c r="F20" i="6"/>
  <c r="F19" i="6"/>
  <c r="I17" i="3"/>
  <c r="I16" i="3"/>
  <c r="AD13" i="3"/>
  <c r="Q66" i="84" l="1"/>
  <c r="Q57" i="84"/>
  <c r="Q60" i="84"/>
  <c r="Q73" i="84"/>
  <c r="L46" i="84"/>
  <c r="C49" i="84"/>
  <c r="AT15" i="3"/>
  <c r="C20" i="6"/>
  <c r="C19" i="6"/>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AB9" i="71" s="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A12" i="52" s="1"/>
  <c r="B56" i="72" s="1"/>
  <c r="E109" i="9"/>
  <c r="A124" i="9"/>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X15" i="71"/>
  <c r="AA15" i="71"/>
  <c r="X16" i="71"/>
  <c r="AA16" i="71"/>
  <c r="X17" i="71"/>
  <c r="AA17" i="71"/>
  <c r="C19" i="71"/>
  <c r="C20" i="71"/>
  <c r="Y18" i="71"/>
  <c r="Z18" i="71"/>
  <c r="AB18" i="71"/>
  <c r="X19" i="71"/>
  <c r="AA19" i="71"/>
  <c r="X20" i="71"/>
  <c r="AA20" i="71"/>
  <c r="X21" i="71"/>
  <c r="AA21" i="71"/>
  <c r="C23" i="71"/>
  <c r="Y22" i="71"/>
  <c r="Z22" i="71"/>
  <c r="AB22" i="71"/>
  <c r="X23" i="71"/>
  <c r="AA23" i="7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AA9" i="71" s="1"/>
  <c r="E40" i="71"/>
  <c r="E41" i="71"/>
  <c r="U41" i="71" s="1"/>
  <c r="E44" i="71"/>
  <c r="E45" i="71" s="1"/>
  <c r="U45" i="71" s="1"/>
  <c r="E48" i="71"/>
  <c r="E49" i="71"/>
  <c r="U49" i="71" s="1"/>
  <c r="U53" i="71"/>
  <c r="E52" i="71"/>
  <c r="Q13" i="71"/>
  <c r="C44" i="71"/>
  <c r="D43" i="71"/>
  <c r="C48" i="71"/>
  <c r="D47" i="71"/>
  <c r="N52" i="71"/>
  <c r="B51"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O52" i="71"/>
  <c r="D52" i="71"/>
  <c r="C49" i="71"/>
  <c r="D48" i="71"/>
  <c r="D68" i="71"/>
  <c r="C67" i="71"/>
  <c r="D67" i="71" s="1"/>
  <c r="D60" i="71"/>
  <c r="C59" i="71"/>
  <c r="D59" i="71"/>
  <c r="N50" i="71"/>
  <c r="N51" i="71"/>
  <c r="D72" i="71"/>
  <c r="C71" i="71"/>
  <c r="D71" i="71" s="1"/>
  <c r="D64" i="71"/>
  <c r="C63" i="71"/>
  <c r="D63" i="71"/>
  <c r="D56" i="71"/>
  <c r="C55" i="71"/>
  <c r="D55" i="71" s="1"/>
  <c r="C45" i="71"/>
  <c r="T45" i="71" s="1"/>
  <c r="D44"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D51" i="71"/>
  <c r="O50" i="71"/>
  <c r="D17" i="71"/>
  <c r="D21" i="71"/>
  <c r="D25" i="71"/>
  <c r="D29" i="71"/>
  <c r="D37"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S25" i="40"/>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H1" i="69"/>
  <c r="AC25" i="40"/>
  <c r="W25" i="40"/>
  <c r="AB25" i="40"/>
  <c r="U25" i="40"/>
  <c r="U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A8" i="1"/>
  <c r="B8" i="1" s="1"/>
  <c r="E8" i="1" s="1"/>
  <c r="A9" i="1"/>
  <c r="A10" i="1"/>
  <c r="A11" i="1"/>
  <c r="B11" i="1" s="1"/>
  <c r="A12" i="1"/>
  <c r="A13" i="1"/>
  <c r="A6" i="1"/>
  <c r="F3" i="35"/>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I5" i="3"/>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c r="F38" i="21"/>
  <c r="S38" i="21" s="1"/>
  <c r="F36" i="21"/>
  <c r="S36" i="2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S34" i="21"/>
  <c r="C25" i="39"/>
  <c r="C21"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AA41" i="39"/>
  <c r="W9" i="39"/>
  <c r="W8" i="39"/>
  <c r="J19" i="40"/>
  <c r="AC19" i="40" s="1"/>
  <c r="J50" i="40"/>
  <c r="B54" i="72"/>
  <c r="H103" i="9"/>
  <c r="D8" i="53" s="1"/>
  <c r="B16" i="53"/>
  <c r="B33" i="72" s="1"/>
  <c r="C7" i="37"/>
  <c r="C7" i="34"/>
  <c r="C7" i="36"/>
  <c r="W35" i="40"/>
  <c r="A118" i="9"/>
  <c r="A4" i="52"/>
  <c r="B41" i="72" s="1"/>
  <c r="G4" i="4"/>
  <c r="I4" i="4"/>
  <c r="K5" i="4"/>
  <c r="B47" i="48" s="1"/>
  <c r="A2" i="9"/>
  <c r="N2" i="43"/>
  <c r="F59" i="43"/>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S25" i="39"/>
  <c r="J21" i="39"/>
  <c r="F21" i="39"/>
  <c r="S21" i="39" s="1"/>
  <c r="G95" i="39"/>
  <c r="H21" i="39"/>
  <c r="U21" i="39" s="1"/>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F23" i="21"/>
  <c r="S23" i="21" s="1"/>
  <c r="E85" i="21"/>
  <c r="F85" i="21" s="1"/>
  <c r="G85" i="21" s="1"/>
  <c r="AA14" i="21"/>
  <c r="AB8" i="21"/>
  <c r="S8" i="21"/>
  <c r="M3" i="43"/>
  <c r="N10" i="43"/>
  <c r="M1" i="43"/>
  <c r="M8" i="43"/>
  <c r="N8" i="43"/>
  <c r="N9" i="43"/>
  <c r="D120" i="9"/>
  <c r="C18" i="9"/>
  <c r="D18" i="9" s="1"/>
  <c r="F34" i="67"/>
  <c r="F62" i="67"/>
  <c r="M20" i="67"/>
  <c r="F34" i="15"/>
  <c r="F62" i="15" s="1"/>
  <c r="G13" i="3"/>
  <c r="BA13" i="3"/>
  <c r="AZ13" i="3" s="1"/>
  <c r="E10" i="6"/>
  <c r="BL17" i="3"/>
  <c r="AZ17" i="3" s="1"/>
  <c r="BL13" i="3"/>
  <c r="J56" i="9"/>
  <c r="J57" i="9"/>
  <c r="A24" i="51"/>
  <c r="B18" i="72"/>
  <c r="U29" i="34"/>
  <c r="E5" i="6"/>
  <c r="D9" i="11" s="1"/>
  <c r="C9" i="11" s="1"/>
  <c r="P10" i="1"/>
  <c r="E32" i="6"/>
  <c r="L19" i="6"/>
  <c r="G1" i="68"/>
  <c r="K1" i="12"/>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G19" i="43"/>
  <c r="T35" i="4"/>
  <c r="A19" i="51"/>
  <c r="B14" i="72" s="1"/>
  <c r="C46" i="36"/>
  <c r="D46" i="36" s="1"/>
  <c r="E46" i="36" s="1"/>
  <c r="C59" i="34"/>
  <c r="D59" i="34"/>
  <c r="C52" i="37"/>
  <c r="D52" i="37"/>
  <c r="E52" i="37" s="1"/>
  <c r="F52" i="37" s="1"/>
  <c r="G52" i="37" s="1"/>
  <c r="A4" i="51"/>
  <c r="B6" i="72" s="1"/>
  <c r="C48" i="35"/>
  <c r="D48" i="35" s="1"/>
  <c r="E48" i="35" s="1"/>
  <c r="F48" i="35" s="1"/>
  <c r="C94" i="9"/>
  <c r="C92" i="9"/>
  <c r="H62" i="43"/>
  <c r="H66" i="43"/>
  <c r="H61" i="43"/>
  <c r="H65" i="43"/>
  <c r="H60" i="43"/>
  <c r="H64" i="43"/>
  <c r="H59" i="43"/>
  <c r="H63" i="43"/>
  <c r="H67" i="43"/>
  <c r="H55" i="43"/>
  <c r="H51" i="43"/>
  <c r="H56" i="43"/>
  <c r="H76" i="43"/>
  <c r="H72"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U13" i="21"/>
  <c r="AB13" i="21"/>
  <c r="W8" i="21"/>
  <c r="S35" i="21"/>
  <c r="AB37" i="21"/>
  <c r="J37" i="21"/>
  <c r="W37" i="21" s="1"/>
  <c r="AC19" i="21"/>
  <c r="W39" i="21"/>
  <c r="AC14" i="21"/>
  <c r="W30" i="21"/>
  <c r="S46" i="21"/>
  <c r="H45" i="21"/>
  <c r="U45" i="21" s="1"/>
  <c r="F29" i="21"/>
  <c r="S29" i="21"/>
  <c r="F13" i="21"/>
  <c r="AA13" i="21" s="1"/>
  <c r="AC38" i="21"/>
  <c r="H32" i="21"/>
  <c r="U32" i="21" s="1"/>
  <c r="H9" i="21"/>
  <c r="U9" i="21" s="1"/>
  <c r="J9" i="21"/>
  <c r="J32" i="21"/>
  <c r="W32" i="21" s="1"/>
  <c r="F32" i="21"/>
  <c r="S32" i="21" s="1"/>
  <c r="AA31" i="21"/>
  <c r="S19" i="21"/>
  <c r="S9" i="21"/>
  <c r="AA9" i="21"/>
  <c r="K141" i="21"/>
  <c r="K144" i="21"/>
  <c r="K143" i="21"/>
  <c r="U27" i="21"/>
  <c r="AB44" i="21"/>
  <c r="AA30" i="21"/>
  <c r="W13" i="21"/>
  <c r="W42" i="21"/>
  <c r="AC45" i="21"/>
  <c r="K145" i="21"/>
  <c r="W25" i="21"/>
  <c r="AA29" i="21"/>
  <c r="W31" i="21"/>
  <c r="S27" i="21"/>
  <c r="AC27" i="21"/>
  <c r="AC26" i="21"/>
  <c r="AB29" i="21"/>
  <c r="S28" i="21"/>
  <c r="AC34" i="21"/>
  <c r="W12"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W23" i="21" s="1"/>
  <c r="H23" i="21"/>
  <c r="AB23" i="21" s="1"/>
  <c r="D6" i="52"/>
  <c r="D121" i="9"/>
  <c r="D7" i="52"/>
  <c r="K120" i="9"/>
  <c r="A18" i="62" s="1"/>
  <c r="B64" i="72" s="1"/>
  <c r="J59" i="9"/>
  <c r="J61" i="9" s="1"/>
  <c r="R22" i="31"/>
  <c r="B21" i="31"/>
  <c r="O19" i="43"/>
  <c r="F46" i="36"/>
  <c r="G46" i="36" s="1"/>
  <c r="E59" i="34"/>
  <c r="F59" i="34" s="1"/>
  <c r="G59" i="34" s="1"/>
  <c r="H59" i="34" s="1"/>
  <c r="I59" i="34" s="1"/>
  <c r="AP7" i="1"/>
  <c r="W9" i="21"/>
  <c r="AC9" i="21"/>
  <c r="E6" i="70"/>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F1" i="67"/>
  <c r="Q52" i="67"/>
  <c r="AC11" i="37"/>
  <c r="W11" i="37"/>
  <c r="W11" i="34"/>
  <c r="AC11" i="34"/>
  <c r="AE6" i="1"/>
  <c r="AG6" i="1"/>
  <c r="H109" i="9"/>
  <c r="H110" i="9"/>
  <c r="D18" i="53" s="1"/>
  <c r="B35" i="72" s="1"/>
  <c r="D16" i="53"/>
  <c r="B34" i="72" s="1"/>
  <c r="J7" i="33"/>
  <c r="W7" i="33" s="1"/>
  <c r="F7" i="33"/>
  <c r="S7" i="33" s="1"/>
  <c r="H7" i="33"/>
  <c r="AB7" i="33" s="1"/>
  <c r="T48" i="33" s="1"/>
  <c r="G48" i="33" s="1"/>
  <c r="AA7" i="33"/>
  <c r="R48" i="33" s="1"/>
  <c r="AC7" i="33"/>
  <c r="V48" i="33" s="1"/>
  <c r="I48" i="33" s="1"/>
  <c r="H112" i="9"/>
  <c r="D21" i="53" s="1"/>
  <c r="B39" i="72" s="1"/>
  <c r="H111" i="9"/>
  <c r="D126" i="9" s="1"/>
  <c r="D59" i="9"/>
  <c r="M55" i="9"/>
  <c r="AD3" i="71"/>
  <c r="D2" i="37"/>
  <c r="M28" i="67"/>
  <c r="L48" i="67"/>
  <c r="F41" i="67"/>
  <c r="B12" i="76"/>
  <c r="F7" i="15"/>
  <c r="M8" i="15"/>
  <c r="B9" i="76"/>
  <c r="D7" i="73"/>
  <c r="B11" i="76"/>
  <c r="F3" i="73"/>
  <c r="F20" i="31"/>
  <c r="B8" i="76"/>
  <c r="F8" i="67"/>
  <c r="M8" i="67"/>
  <c r="D2" i="21"/>
  <c r="F9" i="15"/>
  <c r="F13" i="15"/>
  <c r="M23" i="15"/>
  <c r="B13" i="76"/>
  <c r="M6" i="15"/>
  <c r="E9" i="76"/>
  <c r="E2" i="68"/>
  <c r="M9" i="67"/>
  <c r="F38" i="67"/>
  <c r="M22" i="15"/>
  <c r="E7" i="76"/>
  <c r="D6" i="73"/>
  <c r="D2" i="35"/>
  <c r="M24" i="15"/>
  <c r="F36" i="67"/>
  <c r="AO12" i="1"/>
  <c r="E10" i="76"/>
  <c r="F9" i="67"/>
  <c r="D2" i="36"/>
  <c r="D5" i="73"/>
  <c r="M22" i="67"/>
  <c r="L47" i="15"/>
  <c r="C76" i="67"/>
  <c r="M23" i="67"/>
  <c r="F42" i="15"/>
  <c r="L48" i="15"/>
  <c r="D3" i="73"/>
  <c r="D4" i="73"/>
  <c r="L47" i="67"/>
  <c r="F16" i="15"/>
  <c r="F26" i="15"/>
  <c r="B7" i="76"/>
  <c r="AO9" i="1"/>
  <c r="E12" i="76"/>
  <c r="F38" i="15"/>
  <c r="E2" i="69"/>
  <c r="F5" i="73"/>
  <c r="F6" i="73"/>
  <c r="F7" i="73"/>
  <c r="F6" i="15"/>
  <c r="AO13" i="1"/>
  <c r="C76" i="15"/>
  <c r="F16" i="67"/>
  <c r="F40" i="67"/>
  <c r="M24" i="67"/>
  <c r="M6" i="67"/>
  <c r="F36" i="15"/>
  <c r="J15" i="67"/>
  <c r="F4" i="73"/>
  <c r="F42" i="67"/>
  <c r="F37" i="67"/>
  <c r="M28" i="15"/>
  <c r="J15" i="15"/>
  <c r="D2" i="34"/>
  <c r="F8" i="15"/>
  <c r="B10" i="76"/>
  <c r="D2" i="33"/>
  <c r="E13" i="76"/>
  <c r="E8" i="76"/>
  <c r="F13" i="67"/>
  <c r="M27" i="67"/>
  <c r="F26" i="67"/>
  <c r="E11" i="76"/>
  <c r="M26" i="67"/>
  <c r="M27" i="15"/>
  <c r="F6" i="67"/>
  <c r="AO11" i="1"/>
  <c r="F40" i="15"/>
  <c r="AO10" i="1"/>
  <c r="F37" i="15"/>
  <c r="M9" i="15"/>
  <c r="M26" i="15"/>
  <c r="AO6" i="1"/>
  <c r="W19" i="39" l="1"/>
  <c r="S19" i="39"/>
  <c r="C16" i="43"/>
  <c r="C5" i="43" s="1"/>
  <c r="AA32" i="21"/>
  <c r="AB32" i="21"/>
  <c r="J53" i="84"/>
  <c r="M59" i="84"/>
  <c r="L59" i="84" s="1"/>
  <c r="E11" i="6"/>
  <c r="E61" i="39" s="1"/>
  <c r="BA24" i="3"/>
  <c r="AZ24" i="3" s="1"/>
  <c r="E14" i="6"/>
  <c r="E64" i="39" s="1"/>
  <c r="BA23" i="3"/>
  <c r="T13" i="1"/>
  <c r="AQ13" i="1"/>
  <c r="AR10" i="1"/>
  <c r="I4" i="6"/>
  <c r="AR11" i="1"/>
  <c r="T11" i="1"/>
  <c r="W29" i="39"/>
  <c r="G3" i="43"/>
  <c r="B113" i="43" s="1"/>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E13" i="6"/>
  <c r="E58" i="40" s="1"/>
  <c r="BL15" i="3"/>
  <c r="AZ15" i="3" s="1"/>
  <c r="G30" i="6"/>
  <c r="F29" i="6"/>
  <c r="E29" i="6" s="1"/>
  <c r="AC29" i="21"/>
  <c r="W29" i="21"/>
  <c r="AB45" i="21"/>
  <c r="S13" i="21"/>
  <c r="AC12" i="39"/>
  <c r="W12" i="39"/>
  <c r="E28" i="6"/>
  <c r="K14" i="1" s="1"/>
  <c r="M14" i="1" s="1"/>
  <c r="O14" i="1" s="1"/>
  <c r="P14" i="1" s="1"/>
  <c r="E15" i="6"/>
  <c r="E60" i="40" s="1"/>
  <c r="E12" i="6"/>
  <c r="E57" i="40" s="1"/>
  <c r="G14" i="3"/>
  <c r="E62" i="39"/>
  <c r="C101" i="43"/>
  <c r="F22" i="43"/>
  <c r="N101" i="43"/>
  <c r="J101" i="43"/>
  <c r="D101" i="43"/>
  <c r="G22" i="43"/>
  <c r="AF11" i="43"/>
  <c r="AF13" i="43" s="1"/>
  <c r="Z7" i="43"/>
  <c r="AC11" i="43"/>
  <c r="E8" i="6"/>
  <c r="E56" i="39" s="1"/>
  <c r="L27" i="6"/>
  <c r="E56" i="40"/>
  <c r="AQ12" i="1"/>
  <c r="M7" i="1"/>
  <c r="O7" i="1" s="1"/>
  <c r="D9" i="69"/>
  <c r="C9" i="69" s="1"/>
  <c r="F54" i="9"/>
  <c r="M18" i="15"/>
  <c r="F30" i="69"/>
  <c r="F32" i="15"/>
  <c r="F60" i="15" s="1"/>
  <c r="F32" i="67"/>
  <c r="F60" i="67" s="1"/>
  <c r="D68" i="9"/>
  <c r="C24" i="12"/>
  <c r="F28" i="15"/>
  <c r="C28" i="15" s="1"/>
  <c r="M18" i="67"/>
  <c r="F31" i="12"/>
  <c r="F28" i="67"/>
  <c r="C28" i="67" s="1"/>
  <c r="F30" i="11"/>
  <c r="F30" i="68"/>
  <c r="C40" i="69"/>
  <c r="E59" i="40"/>
  <c r="C36" i="69"/>
  <c r="D9" i="68"/>
  <c r="C9" i="68" s="1"/>
  <c r="D19" i="12"/>
  <c r="C19" i="12" s="1"/>
  <c r="T12" i="1"/>
  <c r="A15" i="62"/>
  <c r="B61" i="72" s="1"/>
  <c r="D19" i="53"/>
  <c r="D63" i="40"/>
  <c r="C65" i="40"/>
  <c r="U7" i="33"/>
  <c r="G58" i="21"/>
  <c r="H58" i="21" s="1"/>
  <c r="I58" i="21" s="1"/>
  <c r="J58" i="21" s="1"/>
  <c r="K58" i="21" s="1"/>
  <c r="L58" i="21" s="1"/>
  <c r="M58" i="21" s="1"/>
  <c r="N58" i="21" s="1"/>
  <c r="O58" i="21" s="1"/>
  <c r="H7" i="21"/>
  <c r="F7" i="21"/>
  <c r="H52" i="37"/>
  <c r="I52" i="37" s="1"/>
  <c r="J52" i="37" s="1"/>
  <c r="K52" i="37" s="1"/>
  <c r="L52" i="37" s="1"/>
  <c r="M52" i="37" s="1"/>
  <c r="N52" i="37" s="1"/>
  <c r="O52" i="37" s="1"/>
  <c r="J7" i="37"/>
  <c r="H7" i="37"/>
  <c r="F7" i="37"/>
  <c r="I14" i="74"/>
  <c r="B8" i="74" s="1"/>
  <c r="D127" i="9"/>
  <c r="D13" i="52" s="1"/>
  <c r="D12" i="52"/>
  <c r="E48" i="33"/>
  <c r="R49" i="33"/>
  <c r="I52" i="33"/>
  <c r="J52" i="33" s="1"/>
  <c r="G52" i="33"/>
  <c r="H52" i="33" s="1"/>
  <c r="G53" i="33"/>
  <c r="H53" i="33" s="1"/>
  <c r="J59" i="34"/>
  <c r="K59" i="34" s="1"/>
  <c r="L59" i="34" s="1"/>
  <c r="M59" i="34" s="1"/>
  <c r="N59" i="34" s="1"/>
  <c r="O59" i="34" s="1"/>
  <c r="H7" i="34"/>
  <c r="G48" i="35"/>
  <c r="H48" i="35" s="1"/>
  <c r="I48" i="35" s="1"/>
  <c r="J48" i="35" s="1"/>
  <c r="K48" i="35" s="1"/>
  <c r="L48" i="35" s="1"/>
  <c r="M48" i="35" s="1"/>
  <c r="N48" i="35" s="1"/>
  <c r="O48" i="35" s="1"/>
  <c r="H7" i="35"/>
  <c r="F7" i="35"/>
  <c r="J7" i="35"/>
  <c r="H46" i="36"/>
  <c r="I46" i="36" s="1"/>
  <c r="J46" i="36" s="1"/>
  <c r="K46" i="36" s="1"/>
  <c r="L46" i="36" s="1"/>
  <c r="M46" i="36" s="1"/>
  <c r="N46" i="36" s="1"/>
  <c r="O46" i="36" s="1"/>
  <c r="H7" i="36"/>
  <c r="J7" i="36"/>
  <c r="D17" i="53"/>
  <c r="B36" i="72" s="1"/>
  <c r="D124" i="9"/>
  <c r="J7" i="34"/>
  <c r="F7" i="36"/>
  <c r="O12" i="1"/>
  <c r="P12" i="1" s="1"/>
  <c r="F30" i="6"/>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F50" i="15"/>
  <c r="M7" i="15"/>
  <c r="J6" i="15" s="1"/>
  <c r="B10" i="70"/>
  <c r="F68" i="67"/>
  <c r="F66" i="67"/>
  <c r="L59" i="67"/>
  <c r="M59" i="67"/>
  <c r="N59" i="67"/>
  <c r="L58" i="67"/>
  <c r="F68" i="15"/>
  <c r="N59" i="15"/>
  <c r="M59" i="15"/>
  <c r="L59" i="15" s="1"/>
  <c r="L58" i="15"/>
  <c r="F65" i="15"/>
  <c r="C6" i="15"/>
  <c r="Q71" i="67"/>
  <c r="B13" i="70"/>
  <c r="E20" i="43"/>
  <c r="B20" i="31"/>
  <c r="F69" i="67"/>
  <c r="F65" i="67"/>
  <c r="Q71" i="15"/>
  <c r="F51" i="67"/>
  <c r="B11" i="70"/>
  <c r="I1" i="73"/>
  <c r="B39" i="1" s="1"/>
  <c r="C27" i="15"/>
  <c r="F51" i="15"/>
  <c r="F64" i="15"/>
  <c r="I54" i="67"/>
  <c r="J57" i="67"/>
  <c r="J55" i="67" s="1"/>
  <c r="J58" i="67" s="1"/>
  <c r="Q50" i="67" s="1"/>
  <c r="L56" i="67"/>
  <c r="C27" i="67"/>
  <c r="B12" i="70"/>
  <c r="B9" i="70"/>
  <c r="K1" i="73"/>
  <c r="F31" i="15"/>
  <c r="F59" i="15"/>
  <c r="M17" i="67"/>
  <c r="M17" i="15"/>
  <c r="F59" i="67"/>
  <c r="F31" i="67"/>
  <c r="G1" i="73"/>
  <c r="C11" i="39" l="1"/>
  <c r="C11" i="85"/>
  <c r="U17" i="21"/>
  <c r="Q61" i="84"/>
  <c r="Q74" i="84"/>
  <c r="F1" i="84"/>
  <c r="Q52" i="84"/>
  <c r="AZ23" i="3"/>
  <c r="BA5" i="3"/>
  <c r="F27" i="6"/>
  <c r="E51" i="40"/>
  <c r="AC13" i="43"/>
  <c r="F101" i="43"/>
  <c r="F104" i="43" s="1"/>
  <c r="C11" i="21"/>
  <c r="F11" i="21" s="1"/>
  <c r="AA11" i="21" s="1"/>
  <c r="D109" i="43"/>
  <c r="E16" i="6"/>
  <c r="Y11" i="43"/>
  <c r="Y13" i="43" s="1"/>
  <c r="AG11" i="43"/>
  <c r="AB11" i="43"/>
  <c r="AB13" i="43" s="1"/>
  <c r="AJ11" i="43"/>
  <c r="AJ13" i="43" s="1"/>
  <c r="I101" i="43"/>
  <c r="I106" i="43" s="1"/>
  <c r="L101" i="43"/>
  <c r="L105" i="43" s="1"/>
  <c r="G101" i="43"/>
  <c r="G107" i="43" s="1"/>
  <c r="K101" i="43"/>
  <c r="N104" i="46"/>
  <c r="E22" i="43"/>
  <c r="F11" i="84"/>
  <c r="M11" i="84"/>
  <c r="J10" i="84" s="1"/>
  <c r="J5" i="84" s="1"/>
  <c r="BL5" i="3"/>
  <c r="J11" i="39"/>
  <c r="H11" i="39"/>
  <c r="F11" i="39"/>
  <c r="H22" i="43"/>
  <c r="D22" i="43" s="1"/>
  <c r="M101" i="43"/>
  <c r="AD11" i="43"/>
  <c r="AD13" i="43" s="1"/>
  <c r="AI11" i="43"/>
  <c r="AI13" i="43" s="1"/>
  <c r="AA11" i="43"/>
  <c r="AA13" i="43" s="1"/>
  <c r="J22" i="43"/>
  <c r="AH11" i="43"/>
  <c r="AH13" i="43" s="1"/>
  <c r="H101" i="43"/>
  <c r="E101" i="43"/>
  <c r="Z11" i="43"/>
  <c r="Z13" i="43" s="1"/>
  <c r="AE11" i="43"/>
  <c r="AE13" i="43" s="1"/>
  <c r="AB19" i="21"/>
  <c r="U19" i="21"/>
  <c r="AA17" i="21"/>
  <c r="S17" i="21"/>
  <c r="U15" i="21"/>
  <c r="AB15" i="21"/>
  <c r="S15" i="21"/>
  <c r="AA15" i="21"/>
  <c r="S11" i="21"/>
  <c r="I69" i="21"/>
  <c r="J69" i="21" s="1"/>
  <c r="K69" i="21" s="1"/>
  <c r="L69" i="21" s="1"/>
  <c r="M69" i="21" s="1"/>
  <c r="J11" i="21"/>
  <c r="H11" i="21"/>
  <c r="AC10" i="21"/>
  <c r="W10" i="21"/>
  <c r="S10" i="21"/>
  <c r="AB10" i="21"/>
  <c r="U10" i="21"/>
  <c r="F1" i="15"/>
  <c r="Q52" i="15"/>
  <c r="E63" i="39"/>
  <c r="AZ5" i="3"/>
  <c r="E3" i="6" s="1"/>
  <c r="AC18" i="3"/>
  <c r="AC5" i="3" s="1"/>
  <c r="AN5" i="3"/>
  <c r="AT5" i="3"/>
  <c r="J7" i="21"/>
  <c r="AC7" i="21" s="1"/>
  <c r="E65" i="39"/>
  <c r="E66" i="39" s="1"/>
  <c r="P7" i="1"/>
  <c r="AG13" i="43"/>
  <c r="I109" i="43"/>
  <c r="L104" i="43"/>
  <c r="F31" i="6"/>
  <c r="L102" i="43"/>
  <c r="D103" i="43"/>
  <c r="D104" i="43"/>
  <c r="D107" i="43"/>
  <c r="D105" i="43"/>
  <c r="D102" i="43"/>
  <c r="D106" i="43"/>
  <c r="J104" i="43"/>
  <c r="J107" i="43"/>
  <c r="J102" i="43"/>
  <c r="J106" i="43"/>
  <c r="J105" i="43"/>
  <c r="J103" i="43"/>
  <c r="J109" i="43"/>
  <c r="N102" i="43"/>
  <c r="N105" i="43"/>
  <c r="N107" i="43"/>
  <c r="N109" i="43"/>
  <c r="N106" i="43"/>
  <c r="N103" i="43"/>
  <c r="N104" i="43"/>
  <c r="C104" i="43"/>
  <c r="C106" i="43"/>
  <c r="C107" i="43"/>
  <c r="C103" i="43"/>
  <c r="C109" i="43"/>
  <c r="C105" i="43"/>
  <c r="C102" i="43"/>
  <c r="F107" i="43"/>
  <c r="I102" i="43"/>
  <c r="L109" i="43"/>
  <c r="L106" i="43"/>
  <c r="L103" i="43"/>
  <c r="L107" i="43"/>
  <c r="G102" i="43"/>
  <c r="K103" i="43"/>
  <c r="K102" i="43"/>
  <c r="K105" i="43"/>
  <c r="K104" i="43"/>
  <c r="K106" i="43"/>
  <c r="K107" i="43"/>
  <c r="K109"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D118" i="43"/>
  <c r="E118" i="43" s="1"/>
  <c r="F118" i="43" s="1"/>
  <c r="I117" i="43"/>
  <c r="J117" i="43" s="1"/>
  <c r="K117" i="43" s="1"/>
  <c r="L117" i="43" s="1"/>
  <c r="M117" i="43" s="1"/>
  <c r="D115" i="43"/>
  <c r="E115" i="43" s="1"/>
  <c r="F115" i="43" s="1"/>
  <c r="G115" i="43" s="1"/>
  <c r="H115" i="43" s="1"/>
  <c r="S6" i="43"/>
  <c r="S7" i="43"/>
  <c r="S5" i="43"/>
  <c r="S4" i="43"/>
  <c r="S2" i="43"/>
  <c r="S3" i="43"/>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E53" i="33"/>
  <c r="F53" i="33" s="1"/>
  <c r="E52" i="33"/>
  <c r="F52" i="33" s="1"/>
  <c r="S7" i="37"/>
  <c r="AA7" i="37"/>
  <c r="R42" i="37" s="1"/>
  <c r="AC7" i="37"/>
  <c r="V42" i="37" s="1"/>
  <c r="I42" i="37" s="1"/>
  <c r="W7" i="37"/>
  <c r="S7" i="21"/>
  <c r="AA7" i="21"/>
  <c r="B8" i="71"/>
  <c r="B7" i="71" s="1"/>
  <c r="B6" i="71" s="1"/>
  <c r="B5" i="71" s="1"/>
  <c r="S9" i="71"/>
  <c r="D40" i="71"/>
  <c r="C41" i="71"/>
  <c r="AB34" i="35"/>
  <c r="U34" i="35"/>
  <c r="AB9" i="34"/>
  <c r="U9" i="34"/>
  <c r="E30" i="6"/>
  <c r="K15" i="1"/>
  <c r="S7" i="36"/>
  <c r="AA7" i="36"/>
  <c r="R36" i="36" s="1"/>
  <c r="H14" i="74"/>
  <c r="B7" i="74" s="1"/>
  <c r="D10" i="52"/>
  <c r="D125" i="9"/>
  <c r="D11" i="52" s="1"/>
  <c r="W7" i="36"/>
  <c r="AC7" i="36"/>
  <c r="V36" i="36" s="1"/>
  <c r="I36" i="36" s="1"/>
  <c r="AA7" i="35"/>
  <c r="R38" i="35" s="1"/>
  <c r="S7" i="35"/>
  <c r="F7" i="34"/>
  <c r="I53" i="33"/>
  <c r="J53" i="33" s="1"/>
  <c r="C49" i="33"/>
  <c r="C48" i="33"/>
  <c r="U7" i="37"/>
  <c r="AB7" i="37"/>
  <c r="T42" i="37" s="1"/>
  <c r="G42" i="37" s="1"/>
  <c r="U7" i="21"/>
  <c r="AB7" i="21"/>
  <c r="P25" i="43"/>
  <c r="C49" i="15"/>
  <c r="B40" i="1"/>
  <c r="F24" i="84" s="1"/>
  <c r="M11" i="15"/>
  <c r="J10" i="15" s="1"/>
  <c r="J5" i="15" s="1"/>
  <c r="F11" i="67"/>
  <c r="F11" i="15"/>
  <c r="M11" i="67"/>
  <c r="J10" i="67" s="1"/>
  <c r="Q73" i="67"/>
  <c r="Q60" i="67"/>
  <c r="P17" i="43"/>
  <c r="M17" i="43"/>
  <c r="N17" i="43"/>
  <c r="O17" i="43"/>
  <c r="Q60" i="15"/>
  <c r="Q73" i="15"/>
  <c r="Q74" i="15"/>
  <c r="Q61" i="15"/>
  <c r="Q61" i="67"/>
  <c r="Q74" i="67"/>
  <c r="AE7" i="1"/>
  <c r="AE8" i="1"/>
  <c r="H11" i="85" l="1"/>
  <c r="J11" i="85"/>
  <c r="F11" i="85"/>
  <c r="G104" i="43"/>
  <c r="G109" i="43"/>
  <c r="I104" i="43"/>
  <c r="F106" i="43"/>
  <c r="F102" i="43"/>
  <c r="G103" i="43"/>
  <c r="G106" i="43"/>
  <c r="G105" i="43"/>
  <c r="I103" i="43"/>
  <c r="F109" i="43"/>
  <c r="F105" i="43"/>
  <c r="F103" i="43"/>
  <c r="I105" i="43"/>
  <c r="I107" i="43"/>
  <c r="J26" i="84"/>
  <c r="J24" i="84"/>
  <c r="J18" i="84"/>
  <c r="C24" i="84"/>
  <c r="C53" i="84"/>
  <c r="C48" i="84" s="1"/>
  <c r="C10" i="84"/>
  <c r="C5" i="84" s="1"/>
  <c r="E104" i="43"/>
  <c r="E106" i="43"/>
  <c r="E107" i="43"/>
  <c r="E103" i="43"/>
  <c r="E105" i="43"/>
  <c r="E102" i="43"/>
  <c r="C23" i="43" s="1"/>
  <c r="C21" i="43" s="1"/>
  <c r="H107" i="43"/>
  <c r="H103" i="43"/>
  <c r="H106" i="43"/>
  <c r="H109" i="43"/>
  <c r="H102" i="43"/>
  <c r="H105" i="43"/>
  <c r="H104" i="43"/>
  <c r="M104" i="43"/>
  <c r="M107" i="43"/>
  <c r="M103" i="43"/>
  <c r="M102" i="43"/>
  <c r="M105" i="43"/>
  <c r="M106" i="43"/>
  <c r="M109" i="43"/>
  <c r="U11" i="39"/>
  <c r="AB11" i="39"/>
  <c r="E109" i="43"/>
  <c r="AA11" i="39"/>
  <c r="S11" i="39"/>
  <c r="W11" i="39"/>
  <c r="AC11" i="39"/>
  <c r="W11" i="21"/>
  <c r="AC11" i="21"/>
  <c r="U11" i="21"/>
  <c r="AB11" i="21"/>
  <c r="W7" i="21"/>
  <c r="H18" i="3"/>
  <c r="M5" i="3"/>
  <c r="C115" i="43"/>
  <c r="D113" i="43" s="1"/>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D3" i="21"/>
  <c r="D19" i="11"/>
  <c r="C19" i="11" s="1"/>
  <c r="D37" i="11"/>
  <c r="D14" i="12"/>
  <c r="M18" i="9"/>
  <c r="B118" i="9" s="1"/>
  <c r="B14" i="74" s="1"/>
  <c r="B1" i="74" s="1"/>
  <c r="C8" i="74" s="1"/>
  <c r="D3" i="34"/>
  <c r="D3" i="33"/>
  <c r="B2" i="33" s="1"/>
  <c r="B3" i="33" s="1"/>
  <c r="E6" i="6"/>
  <c r="C17" i="4"/>
  <c r="B4" i="52" s="1"/>
  <c r="B43" i="72" s="1"/>
  <c r="L18" i="9"/>
  <c r="D3" i="37"/>
  <c r="S7" i="34"/>
  <c r="AA7" i="34"/>
  <c r="R49" i="34" s="1"/>
  <c r="E38" i="35"/>
  <c r="R39" i="35"/>
  <c r="E36" i="36"/>
  <c r="R37" i="36"/>
  <c r="E42" i="37"/>
  <c r="R43" i="37"/>
  <c r="G53" i="34"/>
  <c r="H53" i="34" s="1"/>
  <c r="G54" i="34"/>
  <c r="H54" i="34" s="1"/>
  <c r="Q51" i="71"/>
  <c r="Q50" i="71"/>
  <c r="C53" i="67"/>
  <c r="C10" i="67"/>
  <c r="J24" i="15"/>
  <c r="J18" i="15"/>
  <c r="J26" i="15"/>
  <c r="C53" i="15"/>
  <c r="C48" i="15" s="1"/>
  <c r="C10" i="15"/>
  <c r="C5" i="15" s="1"/>
  <c r="F24" i="67"/>
  <c r="C24" i="67" s="1"/>
  <c r="F22" i="68"/>
  <c r="F22" i="11"/>
  <c r="F22" i="69"/>
  <c r="F25" i="12"/>
  <c r="F24" i="15"/>
  <c r="C24" i="15" s="1"/>
  <c r="F41" i="84"/>
  <c r="F41" i="15"/>
  <c r="AC11" i="85" l="1"/>
  <c r="W11" i="85"/>
  <c r="AA11" i="85"/>
  <c r="S11" i="85"/>
  <c r="AB11" i="85"/>
  <c r="U11" i="85"/>
  <c r="F69" i="84"/>
  <c r="J29" i="84"/>
  <c r="C66" i="84"/>
  <c r="C60" i="84"/>
  <c r="C38" i="84"/>
  <c r="C33" i="84"/>
  <c r="C32" i="84"/>
  <c r="F69" i="15"/>
  <c r="J29" i="15"/>
  <c r="G18" i="3"/>
  <c r="H5" i="3"/>
  <c r="F65" i="40"/>
  <c r="G63" i="40"/>
  <c r="E47" i="37"/>
  <c r="F47" i="37" s="1"/>
  <c r="E46" i="37"/>
  <c r="F46" i="37" s="1"/>
  <c r="E40" i="36"/>
  <c r="F40" i="36" s="1"/>
  <c r="E41" i="36"/>
  <c r="F41" i="36" s="1"/>
  <c r="E43" i="35"/>
  <c r="F43" i="35" s="1"/>
  <c r="E42" i="35"/>
  <c r="F42" i="35" s="1"/>
  <c r="D10" i="68"/>
  <c r="D10" i="11"/>
  <c r="C10" i="11" s="1"/>
  <c r="D20" i="12"/>
  <c r="C20" i="12" s="1"/>
  <c r="C18" i="12" s="1"/>
  <c r="D10" i="69"/>
  <c r="D7" i="71"/>
  <c r="C6" i="71"/>
  <c r="G68" i="39"/>
  <c r="F70" i="39"/>
  <c r="I47" i="37"/>
  <c r="J47" i="37" s="1"/>
  <c r="C42" i="37"/>
  <c r="C43" i="37"/>
  <c r="B2" i="37" s="1"/>
  <c r="B3" i="37" s="1"/>
  <c r="C36" i="36"/>
  <c r="C37" i="36"/>
  <c r="B2" i="36" s="1"/>
  <c r="B3" i="36" s="1"/>
  <c r="C38" i="35"/>
  <c r="C39" i="35"/>
  <c r="B2" i="35" s="1"/>
  <c r="B3" i="35" s="1"/>
  <c r="R50" i="34"/>
  <c r="E49" i="34"/>
  <c r="D17" i="12"/>
  <c r="C17" i="12" s="1"/>
  <c r="C20" i="11"/>
  <c r="C25" i="11" s="1"/>
  <c r="I43" i="35"/>
  <c r="J43" i="35" s="1"/>
  <c r="C7" i="74"/>
  <c r="I41" i="36"/>
  <c r="J41" i="36" s="1"/>
  <c r="C26" i="68"/>
  <c r="D22" i="68" s="1"/>
  <c r="C44" i="68"/>
  <c r="D41" i="68" s="1"/>
  <c r="C38" i="15"/>
  <c r="C32" i="15"/>
  <c r="C26" i="12"/>
  <c r="D25" i="12" s="1"/>
  <c r="C44" i="11"/>
  <c r="D41" i="11" s="1"/>
  <c r="C23" i="11"/>
  <c r="C26" i="11"/>
  <c r="D22" i="11" s="1"/>
  <c r="C24" i="11"/>
  <c r="C66" i="15"/>
  <c r="C60" i="15"/>
  <c r="C44" i="69"/>
  <c r="D41" i="69" s="1"/>
  <c r="C26" i="69"/>
  <c r="D22" i="69" s="1"/>
  <c r="E21" i="6" l="1"/>
  <c r="G27" i="6"/>
  <c r="G31" i="6" s="1"/>
  <c r="G5" i="3"/>
  <c r="C33" i="85" s="1"/>
  <c r="H63" i="40"/>
  <c r="G65" i="40"/>
  <c r="E54" i="34"/>
  <c r="F54" i="34" s="1"/>
  <c r="E53" i="34"/>
  <c r="F53" i="34" s="1"/>
  <c r="I54" i="34"/>
  <c r="J54" i="34" s="1"/>
  <c r="D6" i="71"/>
  <c r="C5" i="71"/>
  <c r="D5" i="71" s="1"/>
  <c r="M20" i="43" s="1"/>
  <c r="C19" i="43" s="1"/>
  <c r="C10" i="69"/>
  <c r="C8" i="69" s="1"/>
  <c r="C5" i="69" s="1"/>
  <c r="D19" i="69"/>
  <c r="C50" i="34"/>
  <c r="B2" i="34" s="1"/>
  <c r="B3" i="34" s="1"/>
  <c r="C49" i="34"/>
  <c r="G70" i="39"/>
  <c r="H68" i="39"/>
  <c r="C10" i="68"/>
  <c r="D19" i="68"/>
  <c r="C22" i="11"/>
  <c r="H33" i="85" l="1"/>
  <c r="J33" i="85"/>
  <c r="F33" i="85"/>
  <c r="B3" i="3"/>
  <c r="C33" i="21"/>
  <c r="K8" i="1"/>
  <c r="E7" i="12"/>
  <c r="E27" i="6"/>
  <c r="E194" i="3"/>
  <c r="E260" i="3"/>
  <c r="E275" i="3"/>
  <c r="E350" i="3"/>
  <c r="E370" i="3"/>
  <c r="E16" i="3"/>
  <c r="E288" i="3"/>
  <c r="E226" i="3"/>
  <c r="E490" i="3"/>
  <c r="E134" i="3"/>
  <c r="E280" i="3"/>
  <c r="E217" i="3"/>
  <c r="E356" i="3"/>
  <c r="E13" i="3"/>
  <c r="E313" i="3"/>
  <c r="E294" i="3"/>
  <c r="E541" i="3"/>
  <c r="E442" i="3"/>
  <c r="E30" i="3"/>
  <c r="E88" i="3"/>
  <c r="E414" i="3"/>
  <c r="E85" i="3"/>
  <c r="E317" i="3"/>
  <c r="E521" i="3"/>
  <c r="E39" i="3"/>
  <c r="E542" i="3"/>
  <c r="E508" i="3"/>
  <c r="E192" i="3"/>
  <c r="E559" i="3"/>
  <c r="E282" i="3"/>
  <c r="E258" i="3"/>
  <c r="E28" i="3"/>
  <c r="E371" i="3"/>
  <c r="E448" i="3"/>
  <c r="E441" i="3"/>
  <c r="E513" i="3"/>
  <c r="E210" i="3"/>
  <c r="E548" i="3"/>
  <c r="E341" i="3"/>
  <c r="E375" i="3"/>
  <c r="E582" i="3"/>
  <c r="E277" i="3"/>
  <c r="E328" i="3"/>
  <c r="E255" i="3"/>
  <c r="E241" i="3"/>
  <c r="E66" i="3"/>
  <c r="I63" i="40"/>
  <c r="H65" i="40"/>
  <c r="C23" i="69"/>
  <c r="C19" i="68"/>
  <c r="D37" i="68"/>
  <c r="I68" i="39"/>
  <c r="H70" i="39"/>
  <c r="C19" i="69"/>
  <c r="C24" i="69" s="1"/>
  <c r="D37" i="69"/>
  <c r="C37" i="69"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M29" i="15"/>
  <c r="F43" i="15"/>
  <c r="F43" i="84"/>
  <c r="F7" i="67"/>
  <c r="F43" i="67"/>
  <c r="M29" i="84"/>
  <c r="M29" i="67"/>
  <c r="AC33" i="85" l="1"/>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H6" i="3" s="1"/>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73" i="3"/>
  <c r="AY275" i="3"/>
  <c r="AY361" i="3"/>
  <c r="AY500" i="3"/>
  <c r="AY191" i="3"/>
  <c r="AY126" i="3"/>
  <c r="AY525" i="3"/>
  <c r="AY537" i="3"/>
  <c r="AY339" i="3"/>
  <c r="AY473" i="3"/>
  <c r="AY533" i="3"/>
  <c r="AY247" i="3"/>
  <c r="AY242" i="3"/>
  <c r="AY495" i="3"/>
  <c r="AY329" i="3"/>
  <c r="AY99" i="3"/>
  <c r="AY560" i="3"/>
  <c r="AY429" i="3"/>
  <c r="AY390" i="3"/>
  <c r="BI6" i="3"/>
  <c r="AY32" i="3"/>
  <c r="AY575" i="3"/>
  <c r="AY330" i="3"/>
  <c r="AY375" i="3"/>
  <c r="AY188" i="3"/>
  <c r="AY318" i="3"/>
  <c r="AY395" i="3"/>
  <c r="AY569" i="3"/>
  <c r="AY206" i="3"/>
  <c r="BJ6" i="3"/>
  <c r="AY457" i="3"/>
  <c r="AY37" i="3"/>
  <c r="AY423" i="3"/>
  <c r="AY264" i="3"/>
  <c r="AY119" i="3"/>
  <c r="AY138" i="3"/>
  <c r="AY24" i="3"/>
  <c r="AY427" i="3"/>
  <c r="AY129" i="3"/>
  <c r="D3" i="6"/>
  <c r="AY331" i="3"/>
  <c r="AY213" i="3"/>
  <c r="K21" i="6"/>
  <c r="J63" i="40"/>
  <c r="I65" i="40"/>
  <c r="G38" i="43"/>
  <c r="I38" i="43" s="1"/>
  <c r="E38" i="43"/>
  <c r="E29" i="43"/>
  <c r="C30" i="43"/>
  <c r="E30" i="43" s="1"/>
  <c r="G36" i="43"/>
  <c r="I36" i="43" s="1"/>
  <c r="E36" i="43"/>
  <c r="E35" i="43"/>
  <c r="G35" i="43"/>
  <c r="I35" i="43" s="1"/>
  <c r="G37" i="43"/>
  <c r="I37" i="43" s="1"/>
  <c r="E37" i="43"/>
  <c r="C20" i="69"/>
  <c r="C25" i="69" s="1"/>
  <c r="C22" i="69" s="1"/>
  <c r="E39" i="43"/>
  <c r="G39" i="43"/>
  <c r="I39" i="43" s="1"/>
  <c r="E33" i="43"/>
  <c r="G33" i="43"/>
  <c r="I33" i="43" s="1"/>
  <c r="G34" i="43"/>
  <c r="I34" i="43" s="1"/>
  <c r="E34" i="43"/>
  <c r="I70" i="39"/>
  <c r="J68" i="39"/>
  <c r="C24" i="68"/>
  <c r="C16" i="15"/>
  <c r="C16" i="84"/>
  <c r="C16" i="67"/>
  <c r="G52" i="85" l="1"/>
  <c r="H52" i="85" s="1"/>
  <c r="G53" i="85"/>
  <c r="H53" i="85" s="1"/>
  <c r="E48" i="85"/>
  <c r="R49" i="85"/>
  <c r="I52" i="85"/>
  <c r="J52" i="85" s="1"/>
  <c r="I53" i="85"/>
  <c r="J53"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E6" i="3" s="1"/>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C28" i="69" s="1"/>
  <c r="C27" i="69" s="1"/>
  <c r="F28" i="12"/>
  <c r="C29" i="12" s="1"/>
  <c r="D28" i="12" s="1"/>
  <c r="F27" i="11"/>
  <c r="F27" i="68"/>
  <c r="S6" i="1"/>
  <c r="K27" i="6"/>
  <c r="M19" i="6"/>
  <c r="K63" i="40"/>
  <c r="J65" i="40"/>
  <c r="K68" i="39"/>
  <c r="J70" i="39"/>
  <c r="C26" i="43"/>
  <c r="C27" i="43"/>
  <c r="C17" i="84"/>
  <c r="C14" i="67"/>
  <c r="E6" i="76"/>
  <c r="C17" i="67"/>
  <c r="C17" i="15"/>
  <c r="C48" i="85" l="1"/>
  <c r="C49" i="85"/>
  <c r="E53" i="85"/>
  <c r="F53" i="85" s="1"/>
  <c r="E52" i="85"/>
  <c r="F52" i="85" s="1"/>
  <c r="AR9" i="1"/>
  <c r="AQ9" i="1"/>
  <c r="T9" i="1"/>
  <c r="E8" i="70"/>
  <c r="E2" i="70" s="1"/>
  <c r="I52" i="21"/>
  <c r="J52" i="21" s="1"/>
  <c r="G53" i="21"/>
  <c r="H53" i="21" s="1"/>
  <c r="E48" i="21"/>
  <c r="R49" i="21"/>
  <c r="C33" i="69"/>
  <c r="C39" i="69" s="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C42" i="69"/>
  <c r="M27" i="6"/>
  <c r="I19" i="6"/>
  <c r="D27" i="6"/>
  <c r="C29" i="11"/>
  <c r="D27" i="11" s="1"/>
  <c r="C47" i="11"/>
  <c r="D45" i="11" s="1"/>
  <c r="C28" i="11"/>
  <c r="C27" i="11" s="1"/>
  <c r="C31" i="11" s="1"/>
  <c r="C47" i="69"/>
  <c r="D45" i="69" s="1"/>
  <c r="C29" i="69"/>
  <c r="D27" i="69" s="1"/>
  <c r="C31"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C14" i="84"/>
  <c r="B6" i="76"/>
  <c r="F35" i="15"/>
  <c r="M21" i="67"/>
  <c r="M21" i="15"/>
  <c r="C14" i="15"/>
  <c r="F35" i="67"/>
  <c r="M21" i="84"/>
  <c r="F35" i="84"/>
  <c r="B3" i="85" l="1"/>
  <c r="F6" i="12" s="1"/>
  <c r="B2" i="85"/>
  <c r="F8" i="12" s="1"/>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C43" i="69"/>
  <c r="C41" i="69" s="1"/>
  <c r="S19" i="6"/>
  <c r="S27" i="6" s="1"/>
  <c r="I27" i="6"/>
  <c r="H19" i="6"/>
  <c r="F11" i="12"/>
  <c r="F34" i="68"/>
  <c r="F34" i="11"/>
  <c r="M63" i="40"/>
  <c r="L65" i="40"/>
  <c r="B2" i="76"/>
  <c r="B3" i="76" s="1"/>
  <c r="M68" i="39"/>
  <c r="L70" i="39"/>
  <c r="B3" i="43"/>
  <c r="C19" i="84" l="1"/>
  <c r="C20" i="84" s="1"/>
  <c r="B2" i="21"/>
  <c r="C8" i="12" s="1"/>
  <c r="B3" i="21"/>
  <c r="C6" i="12" s="1"/>
  <c r="C23" i="67"/>
  <c r="C29" i="67" s="1"/>
  <c r="C19" i="15"/>
  <c r="J14" i="67"/>
  <c r="C20" i="15"/>
  <c r="C26" i="15" s="1"/>
  <c r="C49" i="69"/>
  <c r="C51" i="69" s="1"/>
  <c r="C36" i="68"/>
  <c r="C34" i="68"/>
  <c r="C37" i="68"/>
  <c r="I6" i="6"/>
  <c r="I5" i="6"/>
  <c r="C52" i="69"/>
  <c r="B2" i="69" s="1"/>
  <c r="B3" i="69" s="1"/>
  <c r="C36" i="11"/>
  <c r="C34" i="11"/>
  <c r="C37" i="11"/>
  <c r="C14" i="12"/>
  <c r="C16" i="12" s="1"/>
  <c r="C21" i="12" s="1"/>
  <c r="H27" i="6"/>
  <c r="R19" i="6"/>
  <c r="M65" i="40"/>
  <c r="N63" i="40"/>
  <c r="M70" i="39"/>
  <c r="N68" i="39"/>
  <c r="C26" i="84" l="1"/>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L46" i="67"/>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C37" i="84" l="1"/>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D2" i="67"/>
  <c r="B2" i="67" s="1"/>
  <c r="J16" i="15"/>
  <c r="J25" i="15" s="1"/>
  <c r="Q57" i="67"/>
  <c r="Q62" i="67" s="1"/>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L51" i="84"/>
  <c r="B3" i="67" l="1"/>
  <c r="Q69" i="84"/>
  <c r="Q68" i="84" s="1"/>
  <c r="Q67" i="84"/>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C46" i="84" l="1"/>
  <c r="Q65" i="84"/>
  <c r="Q75" i="84" s="1"/>
  <c r="B2" i="84"/>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E8" i="12"/>
  <c r="M7" i="12" s="1"/>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C20" i="9"/>
  <c r="D35" i="9"/>
  <c r="D34"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<sst xmlns="http://schemas.openxmlformats.org/spreadsheetml/2006/main" count="9093" uniqueCount="3369">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</sst>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8380.73平方米，建筑面积为53297.04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8380.73平方米，规划建筑面积为53297.04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33572</v>
      </c>
    </row>
    <row r="21" spans="1:2" s="1592" customFormat="1">
      <c r="A21" s="1590" t="s">
        <v>1227</v>
      </c>
      <c r="B21" s="1591">
        <f ca="1">'预评函-2'!D7</f>
        <v>6299</v>
      </c>
    </row>
    <row r="22" spans="1:2" s="1592" customFormat="1">
      <c r="A22" s="1590" t="s">
        <v>1228</v>
      </c>
      <c r="B22" s="1591" t="str">
        <f ca="1">'预评函-2'!D6</f>
        <v>叁亿叁仟伍佰柒拾贰万元整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33572</v>
      </c>
    </row>
    <row r="31" spans="1:2" s="1592" customFormat="1">
      <c r="A31" s="1590" t="s">
        <v>1266</v>
      </c>
      <c r="B31" s="1591">
        <f ca="1">'预评函-2'!D15</f>
        <v>6299</v>
      </c>
    </row>
    <row r="32" spans="1:2" s="1592" customFormat="1">
      <c r="A32" s="1590" t="s">
        <v>1233</v>
      </c>
      <c r="B32" s="1591" t="str">
        <f ca="1">'预评函-2'!D14</f>
        <v>叁亿叁仟伍佰柒拾贰万元整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c r="A42" s="1590" t="s">
        <v>1280</v>
      </c>
      <c r="B42" s="1591" t="str">
        <f>'预评函-3'!B2</f>
        <v>建筑面积</v>
      </c>
    </row>
    <row r="43" spans="1:2" s="1592" customFormat="1">
      <c r="A43" s="1590" t="s">
        <v>1281</v>
      </c>
      <c r="B43" s="1591">
        <f>'预评函-3'!B4</f>
        <v>53297.039999999994</v>
      </c>
    </row>
    <row r="44" spans="1:2" s="1592" customFormat="1">
      <c r="A44" s="1590" t="s">
        <v>1265</v>
      </c>
      <c r="B44" s="1591" t="str">
        <f>'预评函-3'!C2</f>
        <v>(分摊)土地面积</v>
      </c>
    </row>
    <row r="45" spans="1:2" s="1592" customFormat="1">
      <c r="A45" s="1590" t="s">
        <v>1237</v>
      </c>
      <c r="B45" s="1591">
        <f>'预评函-3'!C4</f>
        <v>8380.73</v>
      </c>
    </row>
    <row r="46" spans="1:2" s="1592" customFormat="1">
      <c r="A46" s="1590" t="s">
        <v>1263</v>
      </c>
      <c r="B46" s="1591" t="str">
        <f>'预评函-3'!D2</f>
        <v>出让国有建设用地使用权价值</v>
      </c>
    </row>
    <row r="47" spans="1:2" s="1592" customFormat="1">
      <c r="A47" s="1590" t="s">
        <v>1238</v>
      </c>
      <c r="B47" s="1591">
        <f ca="1">'预评函-3'!D4</f>
        <v>14839</v>
      </c>
    </row>
    <row r="48" spans="1:2" s="1592" customFormat="1">
      <c r="A48" s="1590" t="s">
        <v>1239</v>
      </c>
      <c r="B48" s="1591">
        <f ca="1">'预评函-3'!E4</f>
        <v>2784</v>
      </c>
    </row>
    <row r="49" spans="1:2" s="1592" customFormat="1">
      <c r="A49" s="1590" t="s">
        <v>1240</v>
      </c>
      <c r="B49" s="1591" t="str">
        <f ca="1">'预评函-3'!D5</f>
        <v>壹亿肆仟捌佰叁拾玖万元整</v>
      </c>
    </row>
    <row r="50" spans="1:2" s="1592" customFormat="1">
      <c r="A50" s="1590" t="s">
        <v>1264</v>
      </c>
      <c r="B50" s="1591" t="str">
        <f>'预评函-3'!F2</f>
        <v>在建建筑物价值</v>
      </c>
    </row>
    <row r="51" spans="1:2" s="1592" customFormat="1">
      <c r="A51" s="1590" t="s">
        <v>1241</v>
      </c>
      <c r="B51" s="1591">
        <f ca="1">'预评函-3'!F4</f>
        <v>18733</v>
      </c>
    </row>
    <row r="52" spans="1:2" s="1592" customFormat="1">
      <c r="A52" s="1590" t="s">
        <v>1242</v>
      </c>
      <c r="B52" s="1591">
        <f ca="1">'预评函-3'!G4</f>
        <v>3515</v>
      </c>
    </row>
    <row r="53" spans="1:2" s="1592" customFormat="1">
      <c r="A53" s="1590" t="s">
        <v>1270</v>
      </c>
      <c r="B53" s="1591" t="str">
        <f ca="1">'预评函-3'!F5</f>
        <v>壹亿捌仟柒佰叁拾叁万元整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1" t="s">
        <v>860</v>
      </c>
      <c r="C54" s="2018" t="s">
        <v>1273</v>
      </c>
    </row>
    <row r="55" spans="1:4">
      <c r="A55" s="3032"/>
      <c r="B55" s="2021" t="s">
        <v>861</v>
      </c>
      <c r="C55" s="2018" t="s">
        <v>1274</v>
      </c>
    </row>
    <row r="56" spans="1:4">
      <c r="A56" s="3032"/>
      <c r="B56" s="2021" t="s">
        <v>862</v>
      </c>
      <c r="C56" s="2018" t="s">
        <v>1278</v>
      </c>
    </row>
    <row r="57" spans="1:4">
      <c r="A57" s="3032"/>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41"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2"/>
      <c r="D1" s="3042"/>
      <c r="E1" s="3042"/>
      <c r="F1" s="3042"/>
      <c r="G1" s="3042"/>
      <c r="H1" s="3042"/>
      <c r="I1" s="304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44"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45"/>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51"/>
      <c r="C16" s="3052"/>
      <c r="D16" s="3053"/>
      <c r="E16" s="2083" t="s">
        <v>1761</v>
      </c>
      <c r="F16" s="3054"/>
      <c r="G16" s="3055"/>
      <c r="H16" s="3055"/>
      <c r="I16" s="3056"/>
      <c r="J16" s="2028"/>
      <c r="K16" s="2080"/>
      <c r="L16" s="2081"/>
      <c r="M16" s="2081"/>
      <c r="N16" s="2082"/>
      <c r="O16" s="2081"/>
      <c r="P16" s="2082"/>
      <c r="Q16" s="2028"/>
      <c r="R16" s="2028"/>
    </row>
    <row r="17" spans="1:22" ht="18" customHeight="1">
      <c r="A17" s="2084" t="s">
        <v>1762</v>
      </c>
      <c r="B17" s="2034" t="s">
        <v>1763</v>
      </c>
      <c r="C17" s="1054">
        <f>'数据-汇总表'!E3</f>
        <v>53297.039999999994</v>
      </c>
      <c r="D17" s="2085" t="s">
        <v>1764</v>
      </c>
      <c r="E17" s="3057"/>
      <c r="F17" s="3058"/>
      <c r="G17" s="3058"/>
      <c r="H17" s="3058"/>
      <c r="I17" s="3059"/>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8380.73</v>
      </c>
      <c r="D18" s="2088" t="s">
        <v>1764</v>
      </c>
      <c r="E18" s="3060"/>
      <c r="F18" s="3061"/>
      <c r="G18" s="3061"/>
      <c r="H18" s="3061"/>
      <c r="I18" s="3062"/>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47" t="s">
        <v>1771</v>
      </c>
      <c r="C20" s="3048"/>
      <c r="D20" s="3049" t="s">
        <v>1772</v>
      </c>
      <c r="E20" s="3050"/>
      <c r="F20" s="2095" t="s">
        <v>1773</v>
      </c>
      <c r="G20" s="2041"/>
      <c r="H20" s="2041"/>
      <c r="I20" s="2041"/>
      <c r="J20" s="2041"/>
      <c r="K20" s="3046"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4"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4"/>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4"/>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5"/>
      <c r="B30" s="2034" t="s">
        <v>1789</v>
      </c>
      <c r="C30" s="3036"/>
      <c r="D30" s="303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8"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39"/>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39"/>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33" t="s">
        <v>1799</v>
      </c>
      <c r="T34" s="2132" t="str">
        <f>NUMBERSTRING(7-K34,1)&amp;"通"</f>
        <v>七通</v>
      </c>
      <c r="U34" s="2028"/>
      <c r="V34" s="2028"/>
    </row>
    <row r="35" spans="1:22" ht="18" customHeight="1">
      <c r="A35" s="2133"/>
      <c r="B35" s="3040" t="s">
        <v>1800</v>
      </c>
      <c r="C35" s="3040"/>
      <c r="D35" s="3040"/>
      <c r="E35" s="3040"/>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3"/>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38919</v>
      </c>
      <c r="B3" s="14">
        <f>IF(C3="否",G5-AT5,G5)</f>
        <v>247504.43</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259598.62</v>
      </c>
      <c r="H5" s="16">
        <f t="shared" ref="H5:AT5" si="0">SUM(H13:H656)</f>
        <v>242460.05</v>
      </c>
      <c r="I5" s="16">
        <f t="shared" si="0"/>
        <v>151692.16999999998</v>
      </c>
      <c r="J5" s="16">
        <f t="shared" si="0"/>
        <v>661.05</v>
      </c>
      <c r="K5" s="16">
        <f t="shared" si="0"/>
        <v>5853.68</v>
      </c>
      <c r="L5" s="16">
        <f t="shared" si="0"/>
        <v>1141.29</v>
      </c>
      <c r="M5" s="16">
        <f t="shared" si="0"/>
        <v>30441.73</v>
      </c>
      <c r="N5" s="16">
        <f t="shared" si="0"/>
        <v>0</v>
      </c>
      <c r="O5" s="16">
        <f t="shared" si="0"/>
        <v>54472.47</v>
      </c>
      <c r="P5" s="16">
        <f t="shared" si="0"/>
        <v>26390.67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5044.38</v>
      </c>
      <c r="AD5" s="16">
        <f t="shared" si="0"/>
        <v>358.44</v>
      </c>
      <c r="AE5" s="16">
        <f t="shared" si="0"/>
        <v>358.44</v>
      </c>
      <c r="AF5" s="16">
        <f t="shared" si="0"/>
        <v>0</v>
      </c>
      <c r="AG5" s="16">
        <f t="shared" si="0"/>
        <v>0</v>
      </c>
      <c r="AH5" s="16">
        <f t="shared" si="0"/>
        <v>549.46</v>
      </c>
      <c r="AI5" s="16">
        <f t="shared" si="0"/>
        <v>549.46</v>
      </c>
      <c r="AJ5" s="16">
        <f t="shared" si="0"/>
        <v>0</v>
      </c>
      <c r="AK5" s="16">
        <f t="shared" si="0"/>
        <v>0</v>
      </c>
      <c r="AL5" s="16">
        <f t="shared" si="0"/>
        <v>348</v>
      </c>
      <c r="AM5" s="16">
        <f t="shared" si="0"/>
        <v>0</v>
      </c>
      <c r="AN5" s="16">
        <f t="shared" si="0"/>
        <v>3788.48</v>
      </c>
      <c r="AO5" s="16">
        <f t="shared" si="0"/>
        <v>3788.48</v>
      </c>
      <c r="AP5" s="16">
        <f t="shared" si="0"/>
        <v>0</v>
      </c>
      <c r="AQ5" s="16">
        <f t="shared" si="0"/>
        <v>0</v>
      </c>
      <c r="AR5" s="16">
        <f t="shared" si="0"/>
        <v>0</v>
      </c>
      <c r="AS5" s="16">
        <f t="shared" si="0"/>
        <v>0</v>
      </c>
      <c r="AT5" s="16">
        <f t="shared" si="0"/>
        <v>12094.189999999999</v>
      </c>
      <c r="AU5" s="1801"/>
      <c r="AV5" s="15" t="s">
        <v>1836</v>
      </c>
      <c r="AW5" s="1802"/>
      <c r="AX5" s="1802"/>
      <c r="AY5" s="17" t="s">
        <v>3</v>
      </c>
      <c r="AZ5" s="18">
        <f t="shared" ref="AZ5:BT5" si="1">SUM(AZ13:AZ656)</f>
        <v>53297.039999999994</v>
      </c>
      <c r="BA5" s="18">
        <f t="shared" si="1"/>
        <v>53297.039999999994</v>
      </c>
      <c r="BB5" s="18">
        <f t="shared" si="1"/>
        <v>12632.12</v>
      </c>
      <c r="BC5" s="18">
        <f t="shared" si="1"/>
        <v>4712.3899999999994</v>
      </c>
      <c r="BD5" s="18">
        <f t="shared" si="1"/>
        <v>7870.73</v>
      </c>
      <c r="BE5" s="18">
        <f t="shared" si="1"/>
        <v>28081.799999999996</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1837</v>
      </c>
      <c r="B6" s="2172"/>
      <c r="C6" s="2172"/>
      <c r="D6" s="2173"/>
      <c r="E6" s="16">
        <f>H6+AC6+AT6</f>
        <v>38918.999999999993</v>
      </c>
      <c r="F6" s="16" t="s">
        <v>1</v>
      </c>
      <c r="G6" s="16" t="s">
        <v>2</v>
      </c>
      <c r="H6" s="20">
        <f>SUMIF(I$12:AB$12,"总值",I6:AB6)</f>
        <v>38125.799999999996</v>
      </c>
      <c r="I6" s="16">
        <f t="shared" ref="I6:AB6" si="2">ROUND($A$3*I5/$B$3,2)</f>
        <v>23852.94</v>
      </c>
      <c r="J6" s="16">
        <f t="shared" si="2"/>
        <v>103.95</v>
      </c>
      <c r="K6" s="16">
        <f t="shared" si="2"/>
        <v>920.47</v>
      </c>
      <c r="L6" s="16">
        <f t="shared" si="2"/>
        <v>179.46</v>
      </c>
      <c r="M6" s="16">
        <f t="shared" si="2"/>
        <v>4786.83</v>
      </c>
      <c r="N6" s="16">
        <f t="shared" si="2"/>
        <v>0</v>
      </c>
      <c r="O6" s="16">
        <f t="shared" si="2"/>
        <v>8565.56</v>
      </c>
      <c r="P6" s="16">
        <f t="shared" si="2"/>
        <v>4149.82</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793.2</v>
      </c>
      <c r="AD6" s="16">
        <f t="shared" ref="AD6:AS6" si="3">ROUND($A$3*AD5/$B$3,2)</f>
        <v>56.36</v>
      </c>
      <c r="AE6" s="16">
        <f t="shared" si="3"/>
        <v>56.36</v>
      </c>
      <c r="AF6" s="16">
        <f t="shared" si="3"/>
        <v>0</v>
      </c>
      <c r="AG6" s="16">
        <f t="shared" si="3"/>
        <v>0</v>
      </c>
      <c r="AH6" s="16">
        <f t="shared" si="3"/>
        <v>86.4</v>
      </c>
      <c r="AI6" s="16">
        <f t="shared" si="3"/>
        <v>86.4</v>
      </c>
      <c r="AJ6" s="16">
        <f t="shared" si="3"/>
        <v>0</v>
      </c>
      <c r="AK6" s="16">
        <f t="shared" si="3"/>
        <v>0</v>
      </c>
      <c r="AL6" s="16">
        <f t="shared" si="3"/>
        <v>54.72</v>
      </c>
      <c r="AM6" s="16">
        <f t="shared" si="3"/>
        <v>0</v>
      </c>
      <c r="AN6" s="16">
        <f t="shared" si="3"/>
        <v>595.72</v>
      </c>
      <c r="AO6" s="16">
        <f t="shared" si="3"/>
        <v>595.72</v>
      </c>
      <c r="AP6" s="16">
        <f t="shared" si="3"/>
        <v>0</v>
      </c>
      <c r="AQ6" s="16">
        <f t="shared" si="3"/>
        <v>0</v>
      </c>
      <c r="AR6" s="16">
        <f t="shared" si="3"/>
        <v>0</v>
      </c>
      <c r="AS6" s="16">
        <f t="shared" si="3"/>
        <v>0</v>
      </c>
      <c r="AT6" s="20">
        <f>IF(C3="是",ROUND($A$3*AT5/$B$3,2),0)</f>
        <v>0</v>
      </c>
      <c r="AU6" s="2174"/>
      <c r="AV6" s="15" t="s">
        <v>1837</v>
      </c>
      <c r="AW6" s="2172"/>
      <c r="AX6" s="2172"/>
      <c r="AY6" s="21">
        <f>IF(AY3&gt;0,AY3,ROUND($A$3*AZ5/$B$3,2))</f>
        <v>8380.73</v>
      </c>
      <c r="AZ6" s="16" t="s">
        <v>3</v>
      </c>
      <c r="BA6" s="16">
        <f>ROUND($AY$6*BA5/$AZ$5,2)</f>
        <v>8380.73</v>
      </c>
      <c r="BB6" s="16">
        <f>ROUND($AY$6*BB5/$AZ$5,2)</f>
        <v>1986.35</v>
      </c>
      <c r="BC6" s="16">
        <f t="shared" ref="BC6:BH6" si="4">ROUND($AY$6*BC5/$AZ$5,2)</f>
        <v>741</v>
      </c>
      <c r="BD6" s="16">
        <f t="shared" si="4"/>
        <v>1237.6400000000001</v>
      </c>
      <c r="BE6" s="16">
        <f t="shared" si="4"/>
        <v>4415.74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3034</v>
      </c>
      <c r="D13" s="2211" t="s">
        <v>3023</v>
      </c>
      <c r="E13" s="16">
        <f>IF($C$3="是",ROUND($A$3*G13/$B$3,2),ROUND($A$3*(G13-AT13)/$B$3,2))</f>
        <v>6451.87</v>
      </c>
      <c r="F13" s="32"/>
      <c r="G13" s="33">
        <f>H13+AC13+AT13</f>
        <v>41030.5</v>
      </c>
      <c r="H13" s="20">
        <f>SUMIF(I$12:AB$12,"总值",I13:AB13)</f>
        <v>40530.199999999997</v>
      </c>
      <c r="I13" s="2212">
        <v>13293.17</v>
      </c>
      <c r="J13" s="2212">
        <v>661.05</v>
      </c>
      <c r="K13" s="2212">
        <v>2977.25</v>
      </c>
      <c r="L13" s="2212">
        <v>443.42</v>
      </c>
      <c r="M13" s="2212"/>
      <c r="N13" s="2212"/>
      <c r="O13" s="2212">
        <v>24259.78</v>
      </c>
      <c r="P13" s="2212">
        <v>13613.29</v>
      </c>
      <c r="Q13" s="2212"/>
      <c r="R13" s="2212"/>
      <c r="S13" s="2212"/>
      <c r="T13" s="2212"/>
      <c r="U13" s="2212"/>
      <c r="V13" s="2212"/>
      <c r="W13" s="2212"/>
      <c r="X13" s="2212"/>
      <c r="Y13" s="2212"/>
      <c r="Z13" s="2212"/>
      <c r="AA13" s="2212"/>
      <c r="AB13" s="2212"/>
      <c r="AC13" s="16">
        <f>SUMIF(AD$12:AS$12,"总值",AD13:AS13)</f>
        <v>500.3</v>
      </c>
      <c r="AD13" s="2213">
        <f>235.79+33.07</f>
        <v>268.86</v>
      </c>
      <c r="AE13" s="2213">
        <v>268.86</v>
      </c>
      <c r="AF13" s="2213"/>
      <c r="AG13" s="2213"/>
      <c r="AH13" s="2213">
        <v>231.44</v>
      </c>
      <c r="AI13" s="2213">
        <v>231.44</v>
      </c>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4058.9</v>
      </c>
      <c r="AZ13" s="16">
        <f>BA13+BL13</f>
        <v>25812.44</v>
      </c>
      <c r="BA13" s="16">
        <f>SUM(BB13:BK13)</f>
        <v>25812.44</v>
      </c>
      <c r="BB13" s="16">
        <f>IF($D13="是",I13-J13,0)</f>
        <v>12632.12</v>
      </c>
      <c r="BC13" s="16">
        <f>IF($D13="是",K13-L13,0)</f>
        <v>2533.83</v>
      </c>
      <c r="BD13" s="16">
        <f>IF($D13="是",M13-N13,0)</f>
        <v>0</v>
      </c>
      <c r="BE13" s="16">
        <f>IF($D13="是",O13-P13,0)</f>
        <v>10646.489999999998</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1272" t="s">
        <v>3035</v>
      </c>
      <c r="D14" s="2211" t="s">
        <v>3023</v>
      </c>
      <c r="E14" s="16">
        <f>IF($C$3="是",ROUND($A$3*G14/$B$3,2),ROUND($A$3*(G14-AT14)/$B$3,2))</f>
        <v>5267.21</v>
      </c>
      <c r="F14" s="32"/>
      <c r="G14" s="33">
        <f>H14+AC14+AT14</f>
        <v>33496.719999999994</v>
      </c>
      <c r="H14" s="20">
        <f>SUMIF(I$12:AB$12,"总值",I14:AB14)</f>
        <v>33089.119999999995</v>
      </c>
      <c r="I14" s="2212"/>
      <c r="J14" s="2212"/>
      <c r="K14" s="2212">
        <v>2876.43</v>
      </c>
      <c r="L14" s="2212">
        <v>697.87</v>
      </c>
      <c r="M14" s="2212"/>
      <c r="N14" s="2212"/>
      <c r="O14" s="2212">
        <v>30212.69</v>
      </c>
      <c r="P14" s="2212">
        <v>12777.38</v>
      </c>
      <c r="Q14" s="2212"/>
      <c r="R14" s="2212"/>
      <c r="S14" s="2212"/>
      <c r="T14" s="2212"/>
      <c r="U14" s="2212"/>
      <c r="V14" s="2212"/>
      <c r="W14" s="2212"/>
      <c r="X14" s="2212"/>
      <c r="Y14" s="2212"/>
      <c r="Z14" s="2212"/>
      <c r="AA14" s="2212"/>
      <c r="AB14" s="2212"/>
      <c r="AC14" s="16">
        <f>SUMIF(AD$12:AS$12,"总值",AD14:AS14)</f>
        <v>407.59999999999997</v>
      </c>
      <c r="AD14" s="2213">
        <f>77.28+12.3</f>
        <v>89.58</v>
      </c>
      <c r="AE14" s="2213">
        <v>89.58</v>
      </c>
      <c r="AF14" s="2213"/>
      <c r="AG14" s="2213"/>
      <c r="AH14" s="2213">
        <v>318.02</v>
      </c>
      <c r="AI14" s="2213">
        <v>318.02</v>
      </c>
      <c r="AJ14" s="2213"/>
      <c r="AK14" s="2213"/>
      <c r="AL14" s="2213"/>
      <c r="AM14" s="2213"/>
      <c r="AN14" s="2213"/>
      <c r="AO14" s="2213"/>
      <c r="AP14" s="2213"/>
      <c r="AQ14" s="2213"/>
      <c r="AR14" s="2213"/>
      <c r="AS14" s="2213"/>
      <c r="AT14" s="2214"/>
      <c r="AU14" s="2215"/>
      <c r="AV14" s="11">
        <f t="shared" si="6"/>
        <v>0</v>
      </c>
      <c r="AW14" s="11">
        <f t="shared" si="6"/>
        <v>0</v>
      </c>
      <c r="AX14" s="11" t="str">
        <f t="shared" si="6"/>
        <v>2#楼及裙房</v>
      </c>
      <c r="AY14" s="1805">
        <f>ROUND($AY$6*AZ14/$AZ$5,2)</f>
        <v>3084.2</v>
      </c>
      <c r="AZ14" s="16">
        <f>BA14+BL14</f>
        <v>19613.87</v>
      </c>
      <c r="BA14" s="16">
        <f>SUM(BB14:BK14)</f>
        <v>19613.87</v>
      </c>
      <c r="BB14" s="16">
        <f>IF($D14="是",I14-J14,0)</f>
        <v>0</v>
      </c>
      <c r="BC14" s="16">
        <f>IF($D14="是",K14-L14,0)</f>
        <v>2178.56</v>
      </c>
      <c r="BD14" s="16">
        <f>IF($D14="是",M14-N14,0)</f>
        <v>0</v>
      </c>
      <c r="BE14" s="16">
        <f>IF($D14="是",O14-P14,0)</f>
        <v>17435.309999999998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3023</v>
      </c>
      <c r="E15" s="16">
        <f>IF($C$3="是",ROUND($A$3*G15/$B$3,2),ROUND($A$3*(G15-AT15)/$B$3,2))</f>
        <v>1833.36</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v>3788.48</v>
      </c>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1237.6400000000001</v>
      </c>
      <c r="AZ15" s="16">
        <f>BA15+BL15</f>
        <v>7870.73</v>
      </c>
      <c r="BA15" s="16">
        <f>SUM(BB15:BK15)</f>
        <v>7870.73</v>
      </c>
      <c r="BB15" s="16">
        <f>IF($D15="是",I15-J15,0)</f>
        <v>0</v>
      </c>
      <c r="BC15" s="16">
        <f>IF($D15="是",K15-L15,0)</f>
        <v>0</v>
      </c>
      <c r="BD15" s="16">
        <f>IF($D15="是",M15-N15,0)</f>
        <v>7870.73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1272" t="s">
        <v>3038</v>
      </c>
      <c r="D16" s="2211" t="s">
        <v>3014</v>
      </c>
      <c r="E16" s="16">
        <f>IF($C$3="是",ROUND($A$3*G16/$B$3,2),ROUND($A$3*(G16-AT16)/$B$3,2))</f>
        <v>10557</v>
      </c>
      <c r="F16" s="32"/>
      <c r="G16" s="33">
        <f>H16+AC16+AT16</f>
        <v>67137</v>
      </c>
      <c r="H16" s="20">
        <f>SUMIF(I$12:AB$12,"总值",I16:AB16)</f>
        <v>66963</v>
      </c>
      <c r="I16" s="2212">
        <f>67137-174</f>
        <v>66963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174</v>
      </c>
      <c r="AD16" s="2213"/>
      <c r="AE16" s="2213"/>
      <c r="AF16" s="2213"/>
      <c r="AG16" s="2213"/>
      <c r="AH16" s="2213"/>
      <c r="AI16" s="2213"/>
      <c r="AJ16" s="2213"/>
      <c r="AK16" s="2213"/>
      <c r="AL16" s="2213">
        <v>174</v>
      </c>
      <c r="AM16" s="2213"/>
      <c r="AN16" s="2213"/>
      <c r="AO16" s="2213"/>
      <c r="AP16" s="2213"/>
      <c r="AQ16" s="2213"/>
      <c r="AR16" s="2213"/>
      <c r="AS16" s="2213"/>
      <c r="AT16" s="2214"/>
      <c r="AU16" s="2215"/>
      <c r="AV16" s="11">
        <f t="shared" si="6"/>
        <v>0</v>
      </c>
      <c r="AW16" s="11">
        <f t="shared" si="6"/>
        <v>0</v>
      </c>
      <c r="AX16" s="11" t="str">
        <f t="shared" si="6"/>
        <v>3#楼及裙房</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1272" t="s">
        <v>3039</v>
      </c>
      <c r="D17" s="2211" t="s">
        <v>3014</v>
      </c>
      <c r="E17" s="16">
        <f>IF($C$3="是",ROUND($A$3*G17/$B$3,2),ROUND($A$3*(G17-AT17)/$B$3,2))</f>
        <v>11260.36</v>
      </c>
      <c r="F17" s="32"/>
      <c r="G17" s="33">
        <f>H17+AC17+AT17</f>
        <v>71610</v>
      </c>
      <c r="H17" s="20">
        <f>SUMIF(I$12:AB$12,"总值",I17:AB17)</f>
        <v>71436</v>
      </c>
      <c r="I17" s="2212">
        <f>71610-174</f>
        <v>71436</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174</v>
      </c>
      <c r="AD17" s="2213"/>
      <c r="AE17" s="2213"/>
      <c r="AF17" s="2213"/>
      <c r="AG17" s="2213"/>
      <c r="AH17" s="2213"/>
      <c r="AI17" s="2213"/>
      <c r="AJ17" s="2213"/>
      <c r="AK17" s="2213"/>
      <c r="AL17" s="2213">
        <v>174</v>
      </c>
      <c r="AM17" s="2213"/>
      <c r="AN17" s="2213"/>
      <c r="AO17" s="2213"/>
      <c r="AP17" s="2213"/>
      <c r="AQ17" s="2213"/>
      <c r="AR17" s="2213"/>
      <c r="AS17" s="2213"/>
      <c r="AT17" s="2214"/>
      <c r="AU17" s="2215"/>
      <c r="AV17" s="11">
        <f t="shared" si="6"/>
        <v>0</v>
      </c>
      <c r="AW17" s="11">
        <f t="shared" si="6"/>
        <v>0</v>
      </c>
      <c r="AX17" s="11" t="str">
        <f t="shared" si="6"/>
        <v>4#楼及裙房</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9"/>
      <c r="B18" s="34"/>
      <c r="C18" s="2945" t="s">
        <v>3037</v>
      </c>
      <c r="D18" s="2211" t="s">
        <v>3014</v>
      </c>
      <c r="E18" s="35">
        <f t="shared" ref="E18:E112" si="7">IF($C$3="是",ROUND($A$3*G18/$B$3,2),ROUND($A$3*(G18-AT18)/$B$3,2))</f>
        <v>3549.19</v>
      </c>
      <c r="F18" s="36"/>
      <c r="G18" s="37">
        <f t="shared" ref="G18:G109" si="8">H18+AC18+AT18</f>
        <v>22571</v>
      </c>
      <c r="H18" s="38">
        <f t="shared" ref="H18:H109" si="9">SUMIF(I$12:AB$12,"总值",I18:AB18)</f>
        <v>22571</v>
      </c>
      <c r="I18" s="39"/>
      <c r="J18" s="39"/>
      <c r="K18" s="39"/>
      <c r="L18" s="39"/>
      <c r="M18" s="39">
        <v>22571</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74" t="s">
        <v>1896</v>
      </c>
      <c r="B2" s="3074"/>
      <c r="C2" s="3074"/>
      <c r="D2" s="967" t="s">
        <v>1872</v>
      </c>
      <c r="E2" s="2225" t="s">
        <v>1873</v>
      </c>
      <c r="F2" s="1392"/>
      <c r="G2" s="2226"/>
      <c r="H2" s="2227"/>
      <c r="I2" s="2228" t="s">
        <v>1897</v>
      </c>
      <c r="J2" s="1392"/>
      <c r="K2" s="1392"/>
      <c r="L2" s="1392"/>
      <c r="M2" s="1392"/>
      <c r="N2" s="1427"/>
      <c r="O2" s="1392"/>
      <c r="P2" s="1392"/>
    </row>
    <row r="3" spans="1:16" ht="15.75" thickBot="1">
      <c r="A3" s="3075" t="s">
        <v>1870</v>
      </c>
      <c r="B3" s="3075"/>
      <c r="C3" s="3075"/>
      <c r="D3" s="46">
        <f>'数据-基础表'!AY6</f>
        <v>8380.73</v>
      </c>
      <c r="E3" s="46">
        <f>'数据-基础表'!AZ5</f>
        <v>53297.039999999994</v>
      </c>
      <c r="F3" s="1392"/>
      <c r="G3" s="1399"/>
      <c r="H3" s="1247" t="s">
        <v>1871</v>
      </c>
      <c r="I3" s="55">
        <f>ROUND('数据-基础表'!B3/'数据-基础表'!A3,2)</f>
        <v>6.36</v>
      </c>
      <c r="J3" s="1392"/>
      <c r="K3" s="1392"/>
      <c r="L3" s="1392"/>
      <c r="M3" s="1392"/>
      <c r="N3" s="1427"/>
      <c r="O3" s="1392"/>
      <c r="P3" s="1392"/>
    </row>
    <row r="4" spans="1:16" ht="15">
      <c r="A4" s="3076"/>
      <c r="B4" s="3077"/>
      <c r="C4" s="3078"/>
      <c r="D4" s="2229" t="s">
        <v>1872</v>
      </c>
      <c r="E4" s="2230" t="s">
        <v>1873</v>
      </c>
      <c r="F4" s="1392"/>
      <c r="G4" s="2231" t="s">
        <v>1898</v>
      </c>
      <c r="H4" s="1247" t="s">
        <v>1878</v>
      </c>
      <c r="I4" s="55">
        <f>ROUND(SUMIF('数据-基础表'!I9:AS9,"地上",'数据-基础表'!I5:AS5)/'数据-基础表'!A3,2)</f>
        <v>5.48</v>
      </c>
      <c r="J4" s="1392"/>
      <c r="K4" s="1392"/>
      <c r="L4" s="1392"/>
      <c r="M4" s="1392"/>
      <c r="N4" s="1427"/>
      <c r="O4" s="1392"/>
      <c r="P4" s="1392"/>
    </row>
    <row r="5" spans="1:16">
      <c r="A5" s="47" t="s">
        <v>1874</v>
      </c>
      <c r="B5" s="3079" t="s">
        <v>1875</v>
      </c>
      <c r="C5" s="3079"/>
      <c r="D5" s="48">
        <f>ROUND($D$3*E5/$E$3,2)</f>
        <v>0</v>
      </c>
      <c r="E5" s="49">
        <f>SUMIF('数据-基础表'!$11:$11,"住宅",'数据-基础表'!$5:$5)</f>
        <v>0</v>
      </c>
      <c r="F5" s="1392"/>
      <c r="G5" s="1399"/>
      <c r="H5" s="1247" t="s">
        <v>1871</v>
      </c>
      <c r="I5" s="55">
        <f>ROUND(E31/D31,2)</f>
        <v>6.36</v>
      </c>
      <c r="J5" s="1392"/>
      <c r="K5" s="1392"/>
      <c r="L5" s="1392"/>
      <c r="M5" s="1392"/>
      <c r="N5" s="1392"/>
      <c r="O5" s="1392"/>
      <c r="P5" s="1392"/>
    </row>
    <row r="6" spans="1:16" ht="15" thickBot="1">
      <c r="A6" s="2232"/>
      <c r="B6" s="3079" t="s">
        <v>1876</v>
      </c>
      <c r="C6" s="3079"/>
      <c r="D6" s="48">
        <f>ROUND($D$3*E6/$E$3,2)</f>
        <v>8380.73</v>
      </c>
      <c r="E6" s="49">
        <f>E3-E5</f>
        <v>53297.039999999994</v>
      </c>
      <c r="F6" s="1392"/>
      <c r="G6" s="2233" t="s">
        <v>1877</v>
      </c>
      <c r="H6" s="1399" t="s">
        <v>1878</v>
      </c>
      <c r="I6" s="939">
        <f>ROUND(F31/D31,2)</f>
        <v>5.42</v>
      </c>
      <c r="J6" s="1392"/>
      <c r="K6" s="1392"/>
      <c r="L6" s="1392"/>
      <c r="M6" s="1392"/>
      <c r="N6" s="1392"/>
      <c r="O6" s="1392"/>
      <c r="P6" s="1392"/>
    </row>
    <row r="7" spans="1:16" ht="15">
      <c r="A7" s="3071"/>
      <c r="B7" s="3072"/>
      <c r="C7" s="3073"/>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7143.09</v>
      </c>
      <c r="E8" s="51">
        <f>SUMIF('数据-基础表'!BB10:BK10,"地上",'数据-基础表'!BB5:BK5)</f>
        <v>45426.31</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1237.6400000000001</v>
      </c>
      <c r="E13" s="51">
        <f>SUMPRODUCT(('数据-基础表'!BB10:BK10="地下")*('数据-基础表'!BB11:BK11="车库")*('数据-基础表'!BB5:BK5))</f>
        <v>7870.73</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8380.73</v>
      </c>
      <c r="E16" s="53">
        <f>SUM(E8:E15)</f>
        <v>53297.039999999994</v>
      </c>
      <c r="F16" s="1392"/>
      <c r="G16" s="2235"/>
      <c r="H16" s="2238" t="s">
        <v>1900</v>
      </c>
      <c r="I16" s="2239"/>
      <c r="J16" s="1392"/>
      <c r="K16" s="3068" t="s">
        <v>1900</v>
      </c>
      <c r="L16" s="3069"/>
      <c r="M16" s="3069"/>
      <c r="N16" s="3069"/>
      <c r="O16" s="3069"/>
      <c r="P16" s="3070"/>
    </row>
    <row r="17" spans="1:19" ht="15">
      <c r="A17" s="2240" t="s">
        <v>1901</v>
      </c>
      <c r="B17" s="2241" t="s">
        <v>1902</v>
      </c>
      <c r="C17" s="2242" t="s">
        <v>1903</v>
      </c>
      <c r="D17" s="2243" t="s">
        <v>1891</v>
      </c>
      <c r="E17" s="2244" t="s">
        <v>1892</v>
      </c>
      <c r="F17" s="2245"/>
      <c r="G17" s="2246"/>
      <c r="H17" s="2247" t="s">
        <v>1904</v>
      </c>
      <c r="I17" s="2248" t="s">
        <v>1889</v>
      </c>
      <c r="J17" s="1392"/>
      <c r="K17" s="3065" t="s">
        <v>1905</v>
      </c>
      <c r="L17" s="3066"/>
      <c r="M17" s="3067"/>
      <c r="N17" s="3065" t="s">
        <v>1906</v>
      </c>
      <c r="O17" s="3066"/>
      <c r="P17" s="3067"/>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258" t="str">
        <f>定义!A3</f>
        <v>平层公寓用房</v>
      </c>
      <c r="D19" s="48">
        <f>ROUND($D$3*E19/$E$3,2)</f>
        <v>1986.35</v>
      </c>
      <c r="E19" s="56">
        <f t="shared" ref="E19:E26" si="1">SUM(F19:G19)</f>
        <v>12632.12</v>
      </c>
      <c r="F19" s="57">
        <f>'数据-基础表'!I13+'数据-基础表'!I14-'数据-基础表'!J13-'数据-基础表'!J14</f>
        <v>12632.12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1986.35</v>
      </c>
      <c r="S19" s="1248">
        <f t="shared" si="5"/>
        <v>12632.12</v>
      </c>
    </row>
    <row r="20" spans="1:19">
      <c r="A20" s="2261"/>
      <c r="B20" s="50" t="s">
        <v>1918</v>
      </c>
      <c r="C20" s="2258" t="str">
        <f>定义!A5</f>
        <v>商业用房</v>
      </c>
      <c r="D20" s="48">
        <f t="shared" ref="D20:D26" si="6">ROUND($D$3*E20/$E$3,2)</f>
        <v>741</v>
      </c>
      <c r="E20" s="56">
        <f t="shared" si="1"/>
        <v>4712.3900000000003</v>
      </c>
      <c r="F20" s="57">
        <f>'数据-基础表'!K13+'数据-基础表'!K14-'数据-基础表'!L13-'数据-基础表'!L14</f>
        <v>4712.3900000000003</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741</v>
      </c>
      <c r="S20" s="1248">
        <f t="shared" si="5"/>
        <v>4712.3900000000003</v>
      </c>
    </row>
    <row r="21" spans="1:19">
      <c r="A21" s="2261"/>
      <c r="B21" s="50" t="s">
        <v>1918</v>
      </c>
      <c r="C21" s="2258" t="str">
        <f>定义!A6</f>
        <v>地下车库用房</v>
      </c>
      <c r="D21" s="48">
        <f t="shared" si="6"/>
        <v>1237.6400000000001</v>
      </c>
      <c r="E21" s="56">
        <f t="shared" si="1"/>
        <v>7870.73</v>
      </c>
      <c r="F21" s="57"/>
      <c r="G21" s="58">
        <f>'数据-基础表'!M15</f>
        <v>7870.73</v>
      </c>
      <c r="H21" s="723">
        <f t="shared" si="7"/>
        <v>0</v>
      </c>
      <c r="I21" s="51">
        <f t="shared" si="2"/>
        <v>0</v>
      </c>
      <c r="J21" s="1392"/>
      <c r="K21" s="1391">
        <f t="shared" si="3"/>
        <v>0</v>
      </c>
      <c r="L21" s="1247">
        <f t="shared" si="4"/>
        <v>0</v>
      </c>
      <c r="M21" s="1403">
        <f t="shared" si="8"/>
        <v>0</v>
      </c>
      <c r="N21" s="2259"/>
      <c r="O21" s="2260"/>
      <c r="P21" s="1403">
        <f t="shared" si="9"/>
        <v>0</v>
      </c>
      <c r="R21" s="1247">
        <f t="shared" si="5"/>
        <v>1237.6400000000001</v>
      </c>
      <c r="S21" s="1248">
        <f t="shared" si="5"/>
        <v>7870.73</v>
      </c>
    </row>
    <row r="22" spans="1:19">
      <c r="A22" s="2261"/>
      <c r="B22" s="50" t="s">
        <v>1918</v>
      </c>
      <c r="C22" s="60" t="str">
        <f>定义!A4</f>
        <v>LOFT公寓用房</v>
      </c>
      <c r="D22" s="48">
        <f t="shared" si="6"/>
        <v>4415.74</v>
      </c>
      <c r="E22" s="56">
        <f t="shared" si="1"/>
        <v>28081.800000000003</v>
      </c>
      <c r="F22" s="61">
        <f>'数据-基础表'!O13+'数据-基础表'!O14-'数据-基础表'!P13-'数据-基础表'!P14</f>
        <v>28081.800000000003</v>
      </c>
      <c r="G22" s="62"/>
      <c r="H22" s="723">
        <f t="shared" si="7"/>
        <v>0</v>
      </c>
      <c r="I22" s="51">
        <f t="shared" si="2"/>
        <v>0</v>
      </c>
      <c r="J22" s="1392"/>
      <c r="K22" s="1391">
        <f t="shared" si="3"/>
        <v>0</v>
      </c>
      <c r="L22" s="1247">
        <f t="shared" si="4"/>
        <v>0</v>
      </c>
      <c r="M22" s="1403">
        <f t="shared" si="8"/>
        <v>0</v>
      </c>
      <c r="N22" s="2259"/>
      <c r="O22" s="2260"/>
      <c r="P22" s="1403">
        <f t="shared" si="9"/>
        <v>0</v>
      </c>
      <c r="R22" s="1247">
        <f t="shared" si="5"/>
        <v>4415.74</v>
      </c>
      <c r="S22" s="1248">
        <f t="shared" si="5"/>
        <v>28081.800000000003</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1919</v>
      </c>
      <c r="D27" s="1393">
        <f>SUM(D19:D26)</f>
        <v>8380.73</v>
      </c>
      <c r="E27" s="1394">
        <f>IF(SUM(E19:E26)='数据-基础表'!BA5,SUM(E19:E26),IF(F27="地上面积有误","面积有误","地下面积有误"))</f>
        <v>53297.040000000008</v>
      </c>
      <c r="F27" s="1393">
        <f>IF(SUM(F19:F26)=E8,SUM(F19:F26),"地上面积有误")</f>
        <v>45426.310000000005</v>
      </c>
      <c r="G27" s="1395">
        <f>SUM(G19:G26)</f>
        <v>7870.73</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8380.73</v>
      </c>
      <c r="S27" s="1247">
        <f>IF(SUM(S19:S26)=$E$3,SUM(S19:S26),SUM(S19:S26)&amp;"误差"&amp;ROUND(SUM(S19:S26)-E3,2))</f>
        <v>53297.040000000008</v>
      </c>
    </row>
    <row r="28" spans="1:19">
      <c r="A28" s="2261"/>
      <c r="B28" s="50" t="s">
        <v>1920</v>
      </c>
      <c r="C28" s="1259" t="s">
        <v>1921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1919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1923</v>
      </c>
      <c r="D31" s="729">
        <f>D27+D30</f>
        <v>8380.73</v>
      </c>
      <c r="E31" s="729">
        <f>E27+E30</f>
        <v>53297.040000000008</v>
      </c>
      <c r="F31" s="730">
        <f>F27+F30</f>
        <v>45426.310000000005</v>
      </c>
      <c r="G31" s="731">
        <f>G27+G30</f>
        <v>7870.73</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3320">
        <v>0.05</v>
      </c>
      <c r="I6" s="3320">
        <v>5.5E-2</v>
      </c>
      <c r="J6" s="74">
        <v>8.5000000000000006E-2</v>
      </c>
      <c r="K6" s="1251">
        <f>SUMIF('数据-汇总表'!C$19:C$33,A6,'数据-汇总表'!E$19:E$33)</f>
        <v>12632.12</v>
      </c>
      <c r="L6" s="802">
        <v>3500</v>
      </c>
      <c r="M6" s="75">
        <f t="shared" ref="M6:M14" si="0">ROUND(K6*L6/10000,0)</f>
        <v>4421</v>
      </c>
      <c r="N6" s="801">
        <v>0.55000000000000004</v>
      </c>
      <c r="O6" s="75">
        <f>IF($N$5="成新度","——",ROUND(M6*N6,0))</f>
        <v>2432</v>
      </c>
      <c r="P6" s="76">
        <f>IF($N$5="成新度","——",M6-O6)</f>
        <v>1989</v>
      </c>
      <c r="Q6" s="90">
        <v>0.2</v>
      </c>
      <c r="R6" s="77">
        <f ca="1">SUMIF('数据-汇总表'!C$19:C$33,A6,'数据-汇总表'!R$19:R$27)</f>
        <v>1986.35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3320">
        <v>5.5E-2</v>
      </c>
      <c r="I7" s="3320">
        <v>0.06</v>
      </c>
      <c r="J7" s="74">
        <v>8.5000000000000006E-2</v>
      </c>
      <c r="K7" s="1251">
        <f>SUMIF('数据-汇总表'!C$19:C$33,A7,'数据-汇总表'!E$19:E$33)</f>
        <v>4712.3900000000003</v>
      </c>
      <c r="L7" s="802">
        <v>2000</v>
      </c>
      <c r="M7" s="75">
        <f t="shared" si="0"/>
        <v>942</v>
      </c>
      <c r="N7" s="801">
        <f>N6</f>
        <v>0.55000000000000004</v>
      </c>
      <c r="O7" s="75">
        <f t="shared" ref="O7:O14" si="3">IF($N$5="成新度","——",ROUND(M7*N7,0))</f>
        <v>518</v>
      </c>
      <c r="P7" s="76">
        <f t="shared" ref="P7:P14" si="4">IF($N$5="成新度","——",M7-O7)</f>
        <v>424</v>
      </c>
      <c r="Q7" s="90">
        <v>0.3</v>
      </c>
      <c r="R7" s="77">
        <f ca="1">SUMIF('数据-汇总表'!C$19:C$33,A7,'数据-汇总表'!R$19:R$27)</f>
        <v>741</v>
      </c>
      <c r="S7" s="54">
        <f>IF('数据-汇总表'!$I$17="按面积比例",SUMIF('数据-汇总表'!C$19:C$33,A7,'数据-汇总表'!K$19:K$33),SUMIF('数据-汇总表'!C$19:C$33,A7,'数据-汇总表'!N$19:N$33))</f>
        <v>0</v>
      </c>
      <c r="T7" s="1443">
        <f t="shared" ref="T7:T13" si="5">ROUND($L$14*S7/10000,0)</f>
        <v>0</v>
      </c>
      <c r="U7" s="3322">
        <v>4</v>
      </c>
      <c r="V7" s="79">
        <v>0.03</v>
      </c>
      <c r="W7" s="79">
        <v>0.1</v>
      </c>
      <c r="X7" s="1261"/>
      <c r="Y7" s="80">
        <v>1</v>
      </c>
      <c r="Z7" s="81"/>
      <c r="AA7" s="74"/>
      <c r="AB7" s="74"/>
      <c r="AC7" s="1261"/>
      <c r="AD7" s="82"/>
      <c r="AE7" s="1262">
        <f t="shared" ref="AE7:AE13" ca="1" si="6">IF(AN7="",0,SUMIF(INDIRECT("'"&amp;AN7&amp;"'"&amp;"!E:E"),$AE$5,INDIRECT("'"&amp;AN7&amp;"'"&amp;"!F:F")))</f>
        <v>33.43</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9317</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3320">
        <v>4.4999999999999998E-2</v>
      </c>
      <c r="I8" s="3320">
        <v>0.05</v>
      </c>
      <c r="J8" s="74">
        <v>8.5000000000000006E-2</v>
      </c>
      <c r="K8" s="1251">
        <f>SUMIF('数据-汇总表'!C$19:C$33,A8,'数据-汇总表'!E$19:E$33)</f>
        <v>7870.73</v>
      </c>
      <c r="L8" s="802">
        <v>2000</v>
      </c>
      <c r="M8" s="75">
        <f>ROUND(K8*L8/10000,0)</f>
        <v>1574</v>
      </c>
      <c r="N8" s="801">
        <f>N6</f>
        <v>0.55000000000000004</v>
      </c>
      <c r="O8" s="75">
        <f t="shared" si="3"/>
        <v>866</v>
      </c>
      <c r="P8" s="76">
        <f t="shared" si="4"/>
        <v>708</v>
      </c>
      <c r="Q8" s="90">
        <v>0.05</v>
      </c>
      <c r="R8" s="77">
        <f ca="1">SUMIF('数据-汇总表'!C$19:C$33,A8,'数据-汇总表'!R$19:R$27)</f>
        <v>1237.6400000000001</v>
      </c>
      <c r="S8" s="54">
        <f>IF('数据-汇总表'!$I$17="按面积比例",SUMIF('数据-汇总表'!C$19:C$33,A8,'数据-汇总表'!K$19:K$33),SUMIF('数据-汇总表'!C$19:C$33,A8,'数据-汇总表'!N$19:N$33))</f>
        <v>0</v>
      </c>
      <c r="T8" s="1443">
        <f t="shared" si="5"/>
        <v>0</v>
      </c>
      <c r="U8" s="3323">
        <v>900</v>
      </c>
      <c r="V8" s="803">
        <v>2.5000000000000001E-2</v>
      </c>
      <c r="W8" s="803">
        <v>0.1</v>
      </c>
      <c r="X8" s="1261"/>
      <c r="Y8" s="804">
        <v>1</v>
      </c>
      <c r="Z8" s="81"/>
      <c r="AA8" s="74"/>
      <c r="AB8" s="74"/>
      <c r="AC8" s="1261"/>
      <c r="AD8" s="82"/>
      <c r="AE8" s="1262">
        <f t="shared" ca="1" si="6"/>
        <v>33.43</v>
      </c>
      <c r="AF8" s="1803"/>
      <c r="AG8" s="147">
        <f t="shared" si="7"/>
        <v>0</v>
      </c>
      <c r="AH8" s="805">
        <v>259</v>
      </c>
      <c r="AI8" s="85">
        <v>12</v>
      </c>
      <c r="AJ8" s="86"/>
      <c r="AK8" s="806">
        <v>0.02</v>
      </c>
      <c r="AL8" s="807">
        <v>2E-3</v>
      </c>
      <c r="AM8" s="808">
        <v>0.02</v>
      </c>
      <c r="AN8" s="2307" t="s">
        <v>3355</v>
      </c>
      <c r="AO8" s="55">
        <f t="shared" ca="1" si="8"/>
        <v>3452</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t="str">
        <f>'数据-汇总表'!C22</f>
        <v>LOFT公寓用房</v>
      </c>
      <c r="B9" s="2305" t="str">
        <f t="shared" si="1"/>
        <v>经营性</v>
      </c>
      <c r="C9" s="2306" t="s">
        <v>1369</v>
      </c>
      <c r="D9" s="1051">
        <f>SUMIF(项目基本情况!D$12:I$12,C9,项目基本情况!D$14:I$14)</f>
        <v>40</v>
      </c>
      <c r="E9" s="1048">
        <f>IF(B9="","",SUMIF(项目基本情况!D$12:I$12,C9,项目基本情况!D$13:I$13))</f>
        <v>56198</v>
      </c>
      <c r="F9" s="72">
        <f>SUMIF(项目基本情况!D$12:I$12,C9,项目基本情况!D$15:I$15)</f>
        <v>34.43</v>
      </c>
      <c r="G9" s="73">
        <f t="shared" si="2"/>
        <v>0.94799999999999995</v>
      </c>
      <c r="H9" s="3321">
        <v>0.05</v>
      </c>
      <c r="I9" s="3321">
        <v>5.5E-2</v>
      </c>
      <c r="J9" s="74">
        <v>8.5000000000000006E-2</v>
      </c>
      <c r="K9" s="1251">
        <f>SUMIF('数据-汇总表'!C$19:C$33,A9,'数据-汇总表'!E$19:E$33)</f>
        <v>28081.800000000003</v>
      </c>
      <c r="L9" s="802">
        <f>L6</f>
        <v>3500</v>
      </c>
      <c r="M9" s="75">
        <f t="shared" si="0"/>
        <v>9829</v>
      </c>
      <c r="N9" s="801">
        <f>N6</f>
        <v>0.55000000000000004</v>
      </c>
      <c r="O9" s="75">
        <f t="shared" si="3"/>
        <v>5406</v>
      </c>
      <c r="P9" s="76">
        <f t="shared" si="4"/>
        <v>4423</v>
      </c>
      <c r="Q9" s="90">
        <v>0.2</v>
      </c>
      <c r="R9" s="77">
        <f ca="1">SUMIF('数据-汇总表'!C$19:C$33,A9,'数据-汇总表'!R$19:R$27)</f>
        <v>4415.74</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53297.040000000008</v>
      </c>
      <c r="L16" s="102">
        <f>ROUND(M16*10000/SUM(K6:K14),0)</f>
        <v>3146</v>
      </c>
      <c r="M16" s="102">
        <f>SUM(M6:M14)</f>
        <v>16766</v>
      </c>
      <c r="N16" s="103">
        <f>ROUND(SUMPRODUCT(M6:M14,N6:N14)/M16,3)</f>
        <v>0.55000000000000004</v>
      </c>
      <c r="O16" s="102">
        <f>SUM(O6:O14)</f>
        <v>9222</v>
      </c>
      <c r="P16" s="102">
        <f>SUM(P6:P14)</f>
        <v>7544</v>
      </c>
      <c r="Q16" s="104">
        <f>ROUND(SUMPRODUCT(Q6:Q13,K6:K13)/SUMPRODUCT((Q6:Q13&gt;0)*(K6:K13)),2)</f>
        <v>0.19</v>
      </c>
      <c r="R16" s="1255">
        <f ca="1">SUM(R6:R13)</f>
        <v>8380.73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v>1.5</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1.5</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0" t="s">
        <v>2042</v>
      </c>
      <c r="B1" s="3081"/>
      <c r="C1" s="3081"/>
      <c r="D1" s="3081"/>
      <c r="E1" s="3081"/>
      <c r="F1" s="3081"/>
      <c r="G1" s="308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3299</v>
      </c>
      <c r="D4" s="2368"/>
      <c r="E4" s="2372"/>
      <c r="F4" s="42" t="s">
        <v>2049</v>
      </c>
      <c r="G4" s="2373"/>
      <c r="H4" s="2366"/>
      <c r="I4" s="2366"/>
      <c r="J4" s="2366"/>
      <c r="K4" s="2366"/>
      <c r="L4" s="2366"/>
      <c r="M4" s="2366"/>
      <c r="N4" s="2366"/>
      <c r="O4" s="2366"/>
      <c r="P4" s="2366"/>
      <c r="Q4" s="2366"/>
      <c r="R4" s="2366"/>
    </row>
    <row r="5" spans="1:29" ht="15">
      <c r="A5" s="431"/>
      <c r="B5" s="1794" t="s">
        <v>2050</v>
      </c>
      <c r="C5" s="2371" t="s">
        <v>3300</v>
      </c>
      <c r="D5" s="2368"/>
      <c r="E5" s="2372"/>
      <c r="F5" s="1794" t="s">
        <v>2051</v>
      </c>
      <c r="G5" s="2373"/>
      <c r="H5" s="2366"/>
      <c r="I5" s="2366"/>
      <c r="J5" s="2366"/>
      <c r="K5" s="2366"/>
      <c r="L5" s="2366"/>
      <c r="M5" s="2366"/>
      <c r="N5" s="2366"/>
      <c r="O5" s="2366"/>
      <c r="P5" s="2366"/>
      <c r="Q5" s="2366"/>
      <c r="R5" s="2366"/>
    </row>
    <row r="6" spans="1:29" ht="67.5">
      <c r="A6" s="431"/>
      <c r="B6" s="1794" t="s">
        <v>2052</v>
      </c>
      <c r="C6" s="2959" t="s">
        <v>3301</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7">
      <c r="A8" s="431"/>
      <c r="B8" s="1794" t="s">
        <v>2053</v>
      </c>
      <c r="C8" s="2959" t="s">
        <v>3305</v>
      </c>
      <c r="D8" s="2374"/>
      <c r="E8" s="2374"/>
      <c r="F8" s="1133"/>
      <c r="G8" s="1133"/>
      <c r="H8" s="2366"/>
      <c r="I8" s="2366"/>
      <c r="J8" s="2366"/>
      <c r="K8" s="2366"/>
      <c r="L8" s="2366"/>
      <c r="M8" s="2366"/>
      <c r="N8" s="2366"/>
      <c r="O8" s="2366"/>
      <c r="P8" s="2366"/>
      <c r="Q8" s="2366"/>
      <c r="R8" s="2366"/>
    </row>
    <row r="9" spans="1:29" ht="40.5">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3310</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53297.039999999994</v>
      </c>
      <c r="C1" s="1741"/>
      <c r="D1" s="1741"/>
      <c r="E1" s="1741"/>
      <c r="F1" s="1741"/>
      <c r="G1" s="1739"/>
    </row>
    <row r="2" spans="1:10" ht="16.5">
      <c r="A2" s="1742" t="s">
        <v>1345</v>
      </c>
      <c r="B2" s="1742">
        <f>SUM(C14:C23)</f>
        <v>8380.73</v>
      </c>
      <c r="C2" s="1741"/>
      <c r="D2" s="1741"/>
      <c r="E2" s="1741"/>
      <c r="F2" s="1741"/>
      <c r="G2" s="1739"/>
    </row>
    <row r="3" spans="1:10" ht="16.5">
      <c r="A3" s="1742" t="s">
        <v>1354</v>
      </c>
      <c r="B3" s="1743">
        <f>项目基本情况!D3</f>
        <v>43630</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33572</v>
      </c>
      <c r="C5" s="1742">
        <f ca="1">ROUND(B5*10000/$B$1,0)</f>
        <v>6299</v>
      </c>
      <c r="D5" s="1742">
        <f ca="1">ROUND(B5*10000/$B$2,0)</f>
        <v>40059</v>
      </c>
      <c r="E5" s="1741"/>
      <c r="F5" s="1739"/>
      <c r="G5" s="1739"/>
    </row>
    <row r="6" spans="1:10" ht="16.5">
      <c r="A6" s="1742" t="s">
        <v>1348</v>
      </c>
      <c r="B6" s="1742">
        <f ca="1">SUM(G14:G23)</f>
        <v>33572</v>
      </c>
      <c r="C6" s="1742">
        <f ca="1">ROUND(B6*10000/$B$1,0)</f>
        <v>6299</v>
      </c>
      <c r="D6" s="1742">
        <f ca="1">ROUND(B6*10000/$B$2,0)</f>
        <v>40059</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53297.039999999994</v>
      </c>
      <c r="C14" s="1740">
        <f>结果表!C118</f>
        <v>8380.73</v>
      </c>
      <c r="D14" s="1740">
        <f ca="1">结果表!H118</f>
        <v>33572</v>
      </c>
      <c r="E14" s="1740">
        <f ca="1">ROUND(D14*10000/B14,0)</f>
        <v>6299</v>
      </c>
      <c r="F14" s="1740">
        <f ca="1">ROUND(D14*10000/C14,0)</f>
        <v>40059</v>
      </c>
      <c r="G14" s="1740">
        <f ca="1">结果表!D122</f>
        <v>33572</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M34" sqref="M3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15" t="str">
        <f>项目基本情况!S2</f>
        <v>山东省济南市槐荫区西客站片区淮坊路东侧、威海路北侧D-1一期出让国有建设用地使用权及在建建筑物房地产</v>
      </c>
      <c r="B2" s="3116"/>
      <c r="C2" s="3116"/>
      <c r="D2" s="3116"/>
      <c r="E2" s="3116"/>
      <c r="F2" s="3116"/>
      <c r="G2" s="3116"/>
      <c r="H2" s="3116"/>
      <c r="I2" s="3117"/>
    </row>
    <row r="3" spans="1:12" ht="12.75">
      <c r="A3" s="3119" t="s">
        <v>2073</v>
      </c>
      <c r="B3" s="3120"/>
      <c r="C3" s="3120"/>
      <c r="D3" s="3120"/>
      <c r="E3" s="3120"/>
      <c r="F3" s="3120"/>
      <c r="G3" s="3120"/>
      <c r="H3" s="3120"/>
      <c r="I3" s="3120"/>
    </row>
    <row r="4" spans="1:12" ht="14.25">
      <c r="A4" s="2422" t="s">
        <v>2074</v>
      </c>
      <c r="B4" s="2423" t="s">
        <v>2075</v>
      </c>
      <c r="C4" s="2424" t="s">
        <v>3051</v>
      </c>
      <c r="D4" s="2424" t="s">
        <v>3052</v>
      </c>
      <c r="E4" s="3112" t="s">
        <v>2076</v>
      </c>
      <c r="F4" s="3113"/>
      <c r="G4" s="3113"/>
      <c r="H4" s="3113"/>
      <c r="I4" s="312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2077</v>
      </c>
      <c r="B5" s="3033">
        <v>25</v>
      </c>
      <c r="C5" s="3098"/>
      <c r="D5" s="3118"/>
      <c r="E5" s="140" t="s">
        <v>2078</v>
      </c>
      <c r="F5" s="2426"/>
      <c r="G5" s="2426"/>
      <c r="H5" s="2426"/>
      <c r="I5" s="1830"/>
    </row>
    <row r="6" spans="1:12" ht="12.75">
      <c r="A6" s="3095"/>
      <c r="B6" s="3033"/>
      <c r="C6" s="3099"/>
      <c r="D6" s="3118"/>
      <c r="E6" s="140" t="s">
        <v>2079</v>
      </c>
      <c r="F6" s="2426"/>
      <c r="G6" s="2426"/>
      <c r="H6" s="2426"/>
      <c r="I6" s="1830"/>
    </row>
    <row r="7" spans="1:12" ht="12.75">
      <c r="A7" s="3095"/>
      <c r="B7" s="3033"/>
      <c r="C7" s="3100"/>
      <c r="D7" s="3118"/>
      <c r="E7" s="140" t="s">
        <v>2080</v>
      </c>
      <c r="F7" s="2426"/>
      <c r="G7" s="2426"/>
      <c r="H7" s="2426"/>
      <c r="I7" s="1830"/>
    </row>
    <row r="8" spans="1:12" ht="12.75">
      <c r="A8" s="3095" t="s">
        <v>2081</v>
      </c>
      <c r="B8" s="3033">
        <v>15</v>
      </c>
      <c r="C8" s="3098"/>
      <c r="D8" s="3118"/>
      <c r="E8" s="140" t="s">
        <v>2082</v>
      </c>
      <c r="F8" s="2426"/>
      <c r="G8" s="2426"/>
      <c r="H8" s="2426"/>
      <c r="I8" s="1830"/>
    </row>
    <row r="9" spans="1:12" ht="12.75">
      <c r="A9" s="3095"/>
      <c r="B9" s="3033"/>
      <c r="C9" s="3100"/>
      <c r="D9" s="3118"/>
      <c r="E9" s="140" t="s">
        <v>2083</v>
      </c>
      <c r="F9" s="2426"/>
      <c r="G9" s="2426"/>
      <c r="H9" s="2426"/>
      <c r="I9" s="1830"/>
    </row>
    <row r="10" spans="1:12" ht="12.75">
      <c r="A10" s="3095" t="s">
        <v>2084</v>
      </c>
      <c r="B10" s="3033">
        <v>15</v>
      </c>
      <c r="C10" s="3098"/>
      <c r="D10" s="3118"/>
      <c r="E10" s="140" t="s">
        <v>2085</v>
      </c>
      <c r="F10" s="2426"/>
      <c r="G10" s="2426"/>
      <c r="H10" s="2426"/>
      <c r="I10" s="1830"/>
    </row>
    <row r="11" spans="1:12" ht="12.75">
      <c r="A11" s="3095"/>
      <c r="B11" s="3033"/>
      <c r="C11" s="3100"/>
      <c r="D11" s="3118"/>
      <c r="E11" s="140" t="s">
        <v>2086</v>
      </c>
      <c r="F11" s="2426"/>
      <c r="G11" s="2426"/>
      <c r="H11" s="2426"/>
      <c r="I11" s="1830"/>
    </row>
    <row r="12" spans="1:12" ht="12.75">
      <c r="A12" s="3095" t="s">
        <v>2087</v>
      </c>
      <c r="B12" s="3033">
        <v>15</v>
      </c>
      <c r="C12" s="3098"/>
      <c r="D12" s="3118"/>
      <c r="E12" s="140" t="s">
        <v>2088</v>
      </c>
      <c r="F12" s="2426"/>
      <c r="G12" s="2426"/>
      <c r="H12" s="2426"/>
      <c r="I12" s="1830"/>
    </row>
    <row r="13" spans="1:12" ht="12.75">
      <c r="A13" s="3095"/>
      <c r="B13" s="3033"/>
      <c r="C13" s="3100"/>
      <c r="D13" s="3118"/>
      <c r="E13" s="140" t="s">
        <v>2089</v>
      </c>
      <c r="F13" s="2426"/>
      <c r="G13" s="2426"/>
      <c r="H13" s="2426"/>
      <c r="I13" s="1830"/>
    </row>
    <row r="14" spans="1:12" ht="12.75">
      <c r="A14" s="3095" t="s">
        <v>2090</v>
      </c>
      <c r="B14" s="3033">
        <v>30</v>
      </c>
      <c r="C14" s="3098">
        <v>4</v>
      </c>
      <c r="D14" s="3118">
        <v>6</v>
      </c>
      <c r="E14" s="140" t="s">
        <v>2091</v>
      </c>
      <c r="F14" s="2426"/>
      <c r="G14" s="2426"/>
      <c r="H14" s="2426"/>
      <c r="I14" s="1830"/>
    </row>
    <row r="15" spans="1:12" ht="12.75">
      <c r="A15" s="3095"/>
      <c r="B15" s="3033"/>
      <c r="C15" s="3099"/>
      <c r="D15" s="3118"/>
      <c r="E15" s="140" t="s">
        <v>2092</v>
      </c>
      <c r="F15" s="2426"/>
      <c r="G15" s="2426"/>
      <c r="H15" s="2426"/>
      <c r="I15" s="1830"/>
    </row>
    <row r="16" spans="1:12" ht="12.75">
      <c r="A16" s="3095"/>
      <c r="B16" s="3033"/>
      <c r="C16" s="3100"/>
      <c r="D16" s="3118"/>
      <c r="E16" s="140" t="s">
        <v>2093</v>
      </c>
      <c r="F16" s="2426"/>
      <c r="G16" s="2426"/>
      <c r="H16" s="2426"/>
      <c r="I16" s="1830"/>
    </row>
    <row r="17" spans="1:35" ht="15">
      <c r="A17" s="2427" t="s">
        <v>2094</v>
      </c>
      <c r="B17" s="64"/>
      <c r="C17" s="141">
        <f>SUM(C5:C16)</f>
        <v>4</v>
      </c>
      <c r="D17" s="141">
        <f>SUM(D5:D16)</f>
        <v>6</v>
      </c>
      <c r="E17" s="138"/>
      <c r="F17" s="138"/>
      <c r="G17" s="138"/>
      <c r="H17" s="138"/>
      <c r="I17" s="138"/>
      <c r="K17" s="2425"/>
      <c r="L17" s="2428" t="s">
        <v>2095</v>
      </c>
      <c r="M17" s="2428" t="s">
        <v>2096</v>
      </c>
    </row>
    <row r="18" spans="1:35" ht="15.7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53297.039999999994</v>
      </c>
      <c r="M18" s="2425">
        <f>IF(C1="",'数据-汇总表'!E3,SUMIF(项目类型,C1,'数据-汇总表'!E17:E26))</f>
        <v>53297.039999999994</v>
      </c>
    </row>
    <row r="19" spans="1:35" ht="15">
      <c r="A19" s="2431" t="s">
        <v>2099</v>
      </c>
      <c r="B19" s="2432" t="s">
        <v>2100</v>
      </c>
      <c r="C19" s="143">
        <f ca="1">SUMIF(INDIRECT("'"&amp;C4&amp;"'"&amp;"!A:A"),结果表!B19,INDIRECT("'"&amp;C4&amp;"'"&amp;"!B:B"))</f>
        <v>24364</v>
      </c>
      <c r="D19" s="144">
        <f ca="1">SUMIF(INDIRECT("'"&amp;D4&amp;"'"&amp;"!A:A"),结果表!B19,INDIRECT("'"&amp;D4&amp;"'"&amp;"!B:B"))</f>
        <v>39710</v>
      </c>
      <c r="E19" s="2431" t="s">
        <v>2101</v>
      </c>
      <c r="F19" s="2432" t="s">
        <v>2100</v>
      </c>
      <c r="G19" s="145">
        <f ca="1">ROUND(C19*$C$18+D19*$D$18,0)</f>
        <v>33572</v>
      </c>
      <c r="H19" s="2433" t="s">
        <v>2102</v>
      </c>
      <c r="I19" s="138"/>
      <c r="K19" s="2425" t="s">
        <v>2103</v>
      </c>
      <c r="L19" s="2425">
        <f>IF(C1="",'数据-汇总表'!D3,SUMIF(项目类型,C1,'数据-汇总表'!D17:D26)+SUMIF(项目类型,C1,'数据-汇总表'!H17:H27))</f>
        <v>8380.73</v>
      </c>
      <c r="M19" s="2425">
        <f>IF(C1="",'数据-汇总表'!D3,SUMIF(项目类型,C1,'数据-汇总表'!D17:D26))</f>
        <v>8380.73</v>
      </c>
    </row>
    <row r="20" spans="1:35" ht="15">
      <c r="A20" s="2434"/>
      <c r="B20" s="1247" t="s">
        <v>2104</v>
      </c>
      <c r="C20" s="146">
        <f ca="1">SUMIF(INDIRECT("'"&amp;C4&amp;"'"&amp;"!A:A"),结果表!B20,INDIRECT("'"&amp;C4&amp;"'"&amp;"!B:B"))</f>
        <v>4571</v>
      </c>
      <c r="D20" s="147">
        <f ca="1">SUMIF(INDIRECT("'"&amp;D4&amp;"'"&amp;"!A:A"),结果表!B20,INDIRECT("'"&amp;D4&amp;"'"&amp;"!B:B"))</f>
        <v>7451</v>
      </c>
      <c r="E20" s="2434"/>
      <c r="F20" s="1247" t="s">
        <v>2104</v>
      </c>
      <c r="G20" s="148">
        <f ca="1">ROUND(C20*$C$18+D20*$D$18,0)</f>
        <v>6299</v>
      </c>
      <c r="H20" s="980" t="s">
        <v>2105</v>
      </c>
      <c r="I20" s="138"/>
    </row>
    <row r="21" spans="1:35" ht="15" customHeight="1" thickBot="1">
      <c r="A21" s="1000"/>
      <c r="B21" s="2435" t="s">
        <v>2106</v>
      </c>
      <c r="C21" s="789">
        <f ca="1">ROUND(C19*10000/L19,0)</f>
        <v>29071</v>
      </c>
      <c r="D21" s="790">
        <f ca="1">ROUND(D19*10000/L19,0)</f>
        <v>47383</v>
      </c>
      <c r="E21" s="1000"/>
      <c r="F21" s="2435" t="s">
        <v>2106</v>
      </c>
      <c r="G21" s="149">
        <f ca="1">ROUND(G19*10000/L19,0)</f>
        <v>40059</v>
      </c>
      <c r="H21" s="2436" t="s">
        <v>2105</v>
      </c>
      <c r="I21" s="138"/>
    </row>
    <row r="22" spans="1:35" ht="15" thickBot="1">
      <c r="A22" s="2279" t="s">
        <v>2107</v>
      </c>
      <c r="B22" s="2437"/>
      <c r="C22" s="2438"/>
      <c r="D22" s="791">
        <f ca="1">IF(C19&lt;D19,D19/C19-1,C19/D19-1)</f>
        <v>0.62986373337711377</v>
      </c>
      <c r="E22" s="138"/>
      <c r="F22" s="138"/>
      <c r="G22" s="138"/>
      <c r="H22" s="138"/>
      <c r="I22" s="138"/>
    </row>
    <row r="23" spans="1:35" ht="13.5" thickBot="1">
      <c r="A23" s="2415"/>
      <c r="B23" s="2415"/>
      <c r="C23" s="2415"/>
      <c r="D23" s="2415"/>
      <c r="E23" s="138"/>
      <c r="F23" s="138"/>
      <c r="G23" s="138"/>
      <c r="H23" s="138"/>
      <c r="I23" s="138"/>
    </row>
    <row r="24" spans="1:35" ht="14.25">
      <c r="A24" s="3089" t="s">
        <v>2108</v>
      </c>
      <c r="B24" s="2432" t="s">
        <v>2100</v>
      </c>
      <c r="C24" s="145">
        <f>IF(B30=0,0,D30)</f>
        <v>0</v>
      </c>
      <c r="D24" s="2439"/>
      <c r="E24" s="138"/>
      <c r="F24" s="138"/>
      <c r="G24" s="138"/>
      <c r="H24" s="138"/>
      <c r="I24" s="138"/>
    </row>
    <row r="25" spans="1:35" ht="14.25">
      <c r="A25" s="3090"/>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7390.4307877967622</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33572</v>
      </c>
      <c r="D32" s="2446" t="s">
        <v>2115</v>
      </c>
      <c r="E32" s="138"/>
      <c r="F32" s="138"/>
      <c r="G32" s="138"/>
      <c r="H32" s="138"/>
      <c r="I32" s="138"/>
    </row>
    <row r="33" spans="1:15" ht="15">
      <c r="A33" s="957" t="s">
        <v>2116</v>
      </c>
      <c r="B33" s="2447"/>
      <c r="C33" s="2448" t="s">
        <v>3337</v>
      </c>
      <c r="D33" s="2449" t="s">
        <v>3051</v>
      </c>
      <c r="E33" s="2450" t="s">
        <v>2117</v>
      </c>
      <c r="F33" s="2451" t="str">
        <f>IF(D32="楼面单价","取值（单价）","取值（总价）")</f>
        <v>取值（总价）</v>
      </c>
      <c r="G33" s="138"/>
      <c r="H33" s="138"/>
      <c r="I33" s="138"/>
    </row>
    <row r="34" spans="1:15" ht="15">
      <c r="A34" s="2452"/>
      <c r="B34" s="2453" t="s">
        <v>2118</v>
      </c>
      <c r="C34" s="157">
        <f ca="1">IF(C33="自定义",F34,C32-C35)</f>
        <v>14839</v>
      </c>
      <c r="D34" s="1055">
        <f ca="1">IF(C33="自定义",ROUND(C34/C32,3),IF(C33="收益比率",SUMIF(INDIRECT("'"&amp;D33&amp;"'"&amp;"!b:b"),"土地收益比率",INDIRECT("'"&amp;D33&amp;"'"&amp;"!c:c")),SUMIF(INDIRECT("'"&amp;D33&amp;"'"&amp;"!b:b"),"土地成本比率",INDIRECT("'"&amp;D33&amp;"'"&amp;"!c:c"))))</f>
        <v>0.44199999999999995</v>
      </c>
      <c r="E34" s="2454" t="s">
        <v>2119</v>
      </c>
      <c r="F34" s="1735"/>
      <c r="G34" s="138"/>
      <c r="H34" s="138"/>
      <c r="I34" s="138"/>
    </row>
    <row r="35" spans="1:15" ht="15.75" thickBot="1">
      <c r="A35" s="2455"/>
      <c r="B35" s="2456" t="s">
        <v>2120</v>
      </c>
      <c r="C35" s="1441">
        <f ca="1">IF(C33="自定义",F35,ROUND(C32*D35,0))</f>
        <v>18733</v>
      </c>
      <c r="D35" s="1442">
        <f ca="1">IF(C33="自定义",ROUND(C35/C32,3),IF(C33="收益比率",SUMIF(INDIRECT("'"&amp;D33&amp;"'"&amp;"!b:b"),"建筑物收益比率",INDIRECT("'"&amp;D33&amp;"'"&amp;"!c:c")),SUMIF(INDIRECT("'"&amp;D33&amp;"'"&amp;"!b:b"),"建筑物成本比率",INDIRECT("'"&amp;D33&amp;"'"&amp;"!c:c"))))</f>
        <v>0.55800000000000005</v>
      </c>
      <c r="E35" s="2457" t="s">
        <v>2121</v>
      </c>
      <c r="F35" s="163"/>
      <c r="G35" s="138"/>
      <c r="H35" s="138"/>
      <c r="I35" s="138"/>
    </row>
    <row r="36" spans="1:15" ht="15.75" thickBot="1">
      <c r="A36" s="3107" t="s">
        <v>2122</v>
      </c>
      <c r="B36" s="2458" t="s">
        <v>2123</v>
      </c>
      <c r="C36" s="154"/>
      <c r="D36" s="2459"/>
      <c r="E36" s="2460"/>
      <c r="F36" s="2461"/>
      <c r="G36" s="138"/>
      <c r="H36" s="138"/>
      <c r="I36" s="138"/>
    </row>
    <row r="37" spans="1:15" ht="15.75" thickBot="1">
      <c r="A37" s="3108"/>
      <c r="B37" s="2265" t="s">
        <v>2124</v>
      </c>
      <c r="C37" s="156"/>
      <c r="D37" s="1392"/>
      <c r="E37" s="1392"/>
      <c r="F37" s="2461"/>
      <c r="G37" s="138"/>
      <c r="H37" s="138"/>
      <c r="I37" s="138"/>
    </row>
    <row r="38" spans="1:15" ht="15.75" thickBot="1">
      <c r="A38" s="3109"/>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86" t="s">
        <v>2136</v>
      </c>
      <c r="B45" s="3087"/>
      <c r="C45" s="3088"/>
      <c r="D45" s="164">
        <f ca="1">ROUND(H101*F45,0)</f>
        <v>33572</v>
      </c>
      <c r="E45" s="165" t="s">
        <v>2137</v>
      </c>
      <c r="F45" s="166">
        <v>1</v>
      </c>
      <c r="G45" s="167" t="s">
        <v>2138</v>
      </c>
      <c r="H45" s="138"/>
      <c r="I45" s="138"/>
      <c r="J45" s="3146" t="s">
        <v>2139</v>
      </c>
      <c r="K45" s="3146"/>
      <c r="L45" s="3146"/>
      <c r="M45" s="3146"/>
      <c r="N45" s="3146"/>
      <c r="O45" s="3146"/>
    </row>
    <row r="46" spans="1:15" ht="14.25" customHeight="1">
      <c r="A46" s="3083" t="s">
        <v>2140</v>
      </c>
      <c r="B46" s="3084"/>
      <c r="C46" s="3084"/>
      <c r="D46" s="3084"/>
      <c r="E46" s="3084"/>
      <c r="F46" s="3084"/>
      <c r="G46" s="3085"/>
      <c r="H46" s="2477"/>
      <c r="I46" s="168"/>
      <c r="J46" s="1808">
        <v>1</v>
      </c>
      <c r="K46" s="3146" t="s">
        <v>2141</v>
      </c>
      <c r="L46" s="3146"/>
      <c r="M46" s="3166"/>
      <c r="N46" s="3166"/>
      <c r="O46" s="3166"/>
    </row>
    <row r="47" spans="1:15" ht="12" customHeight="1">
      <c r="A47" s="169" t="s">
        <v>2142</v>
      </c>
      <c r="B47" s="170"/>
      <c r="C47" s="171"/>
      <c r="D47" s="172" t="s">
        <v>2143</v>
      </c>
      <c r="E47" s="24" t="s">
        <v>2144</v>
      </c>
      <c r="F47" s="173" t="s">
        <v>2145</v>
      </c>
      <c r="G47" s="174" t="s">
        <v>2146</v>
      </c>
      <c r="H47" s="2477"/>
      <c r="I47" s="168"/>
      <c r="J47" s="1808">
        <v>2</v>
      </c>
      <c r="K47" s="3146" t="s">
        <v>2147</v>
      </c>
      <c r="L47" s="3146"/>
      <c r="M47" s="3167">
        <f>'数据-取费表'!B2</f>
        <v>43630</v>
      </c>
      <c r="N47" s="3167"/>
      <c r="O47" s="3167"/>
    </row>
    <row r="48" spans="1:15" ht="25.5">
      <c r="A48" s="3114" t="s">
        <v>2148</v>
      </c>
      <c r="B48" s="3097"/>
      <c r="C48" s="3097"/>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146" t="s">
        <v>2151</v>
      </c>
      <c r="L48" s="3146"/>
      <c r="M48" s="3168">
        <f ca="1">H101</f>
        <v>33572</v>
      </c>
      <c r="N48" s="3168"/>
      <c r="O48" s="3168"/>
    </row>
    <row r="49" spans="1:35" ht="25.5" customHeight="1">
      <c r="A49" s="176" t="s">
        <v>2152</v>
      </c>
      <c r="B49" s="3082" t="s">
        <v>2153</v>
      </c>
      <c r="C49" s="3082"/>
      <c r="D49" s="177">
        <v>0</v>
      </c>
      <c r="E49" s="23" t="s">
        <v>2154</v>
      </c>
      <c r="F49" s="28" t="s">
        <v>34</v>
      </c>
      <c r="G49" s="3152"/>
      <c r="H49" s="138"/>
      <c r="I49" s="2480"/>
      <c r="J49" s="1808">
        <v>4</v>
      </c>
      <c r="K49" s="3146" t="str">
        <f>IF(项目基本情况!E8="房地产抵押价值","房地产抵押价值","抵押担保权已注销时的房地产抵押价值")</f>
        <v>房地产抵押价值</v>
      </c>
      <c r="L49" s="3146"/>
      <c r="M49" s="3168">
        <f ca="1">IF(项目基本情况!E8="房地产抵押价值",H107,H109)</f>
        <v>33572</v>
      </c>
      <c r="N49" s="3168"/>
      <c r="O49" s="3168"/>
    </row>
    <row r="50" spans="1:35" ht="25.5" customHeight="1">
      <c r="A50" s="178"/>
      <c r="B50" s="3082" t="s">
        <v>2155</v>
      </c>
      <c r="C50" s="3082"/>
      <c r="D50" s="179"/>
      <c r="E50" s="31"/>
      <c r="F50" s="180"/>
      <c r="G50" s="3153"/>
      <c r="H50" s="138"/>
      <c r="I50" s="2480"/>
      <c r="J50" s="3146" t="s">
        <v>2156</v>
      </c>
      <c r="K50" s="3146"/>
      <c r="L50" s="3146"/>
      <c r="M50" s="3146"/>
      <c r="N50" s="3146"/>
      <c r="O50" s="3146"/>
    </row>
    <row r="51" spans="1:35" ht="12" customHeight="1">
      <c r="A51" s="181"/>
      <c r="B51" s="3082" t="s">
        <v>2157</v>
      </c>
      <c r="C51" s="3082"/>
      <c r="D51" s="182"/>
      <c r="E51" s="30"/>
      <c r="F51" s="180"/>
      <c r="G51" s="3154"/>
      <c r="H51" s="138"/>
      <c r="I51" s="2480"/>
      <c r="J51" s="2481" t="s">
        <v>2158</v>
      </c>
      <c r="K51" s="3146" t="s">
        <v>2159</v>
      </c>
      <c r="L51" s="3146"/>
      <c r="M51" s="2481" t="s">
        <v>2160</v>
      </c>
      <c r="N51" s="2481" t="s">
        <v>2161</v>
      </c>
      <c r="O51" s="2481" t="s">
        <v>2162</v>
      </c>
    </row>
    <row r="52" spans="1:35" ht="24" customHeight="1">
      <c r="A52" s="183" t="s">
        <v>2163</v>
      </c>
      <c r="B52" s="3082" t="s">
        <v>2164</v>
      </c>
      <c r="C52" s="3082"/>
      <c r="D52" s="182">
        <f ca="1">ROUND(D45*'数据-取费表'!B41/(1+'数据-取费表'!C42),0)</f>
        <v>1791</v>
      </c>
      <c r="E52" s="11" t="s">
        <v>2165</v>
      </c>
      <c r="F52" s="184">
        <f>'数据-取费表'!B41</f>
        <v>5.6000000000000001E-2</v>
      </c>
      <c r="G52" s="2482"/>
      <c r="H52" s="138"/>
      <c r="I52" s="2480"/>
      <c r="J52" s="1808">
        <v>1</v>
      </c>
      <c r="K52" s="3147" t="s">
        <v>2166</v>
      </c>
      <c r="L52" s="3147"/>
      <c r="M52" s="1750">
        <f>D48</f>
        <v>0</v>
      </c>
      <c r="N52" s="1808" t="str">
        <f>E48</f>
        <v>销售额×税（费）率</v>
      </c>
      <c r="O52" s="1751" t="str">
        <f>F48</f>
        <v>免征</v>
      </c>
    </row>
    <row r="53" spans="1:35" ht="12" customHeight="1">
      <c r="A53" s="183" t="s">
        <v>2167</v>
      </c>
      <c r="B53" s="3105" t="s">
        <v>2168</v>
      </c>
      <c r="C53" s="3106"/>
      <c r="D53" s="182">
        <f ca="1">ROUND(D45*'数据-取费表'!B41/(1+'数据-取费表'!C42),0)</f>
        <v>1791</v>
      </c>
      <c r="E53" s="11" t="s">
        <v>2165</v>
      </c>
      <c r="F53" s="184">
        <f>'数据-取费表'!B41</f>
        <v>5.6000000000000001E-2</v>
      </c>
      <c r="G53" s="2482"/>
      <c r="H53" s="138"/>
      <c r="I53" s="2480"/>
      <c r="J53" s="1808">
        <v>2</v>
      </c>
      <c r="K53" s="3147" t="s">
        <v>2169</v>
      </c>
      <c r="L53" s="3147"/>
      <c r="M53" s="1750">
        <f t="shared" ref="M53:O54" ca="1" si="0">D55</f>
        <v>17</v>
      </c>
      <c r="N53" s="1808" t="str">
        <f t="shared" si="0"/>
        <v>销售额×税（费）率</v>
      </c>
      <c r="O53" s="1751">
        <f t="shared" si="0"/>
        <v>5.0000000000000001E-4</v>
      </c>
    </row>
    <row r="54" spans="1:35" ht="12" customHeight="1">
      <c r="A54" s="183" t="s">
        <v>2170</v>
      </c>
      <c r="B54" s="3105" t="s">
        <v>2171</v>
      </c>
      <c r="C54" s="3106"/>
      <c r="D54" s="182">
        <f ca="1">C68</f>
        <v>1790</v>
      </c>
      <c r="E54" s="30" t="s">
        <v>2172</v>
      </c>
      <c r="F54" s="184">
        <f>'数据-取费表'!B41</f>
        <v>5.6000000000000001E-2</v>
      </c>
      <c r="G54" s="2482"/>
      <c r="H54" s="2483"/>
      <c r="I54" s="2480"/>
      <c r="J54" s="1808">
        <v>3</v>
      </c>
      <c r="K54" s="3147" t="s">
        <v>2173</v>
      </c>
      <c r="L54" s="3147"/>
      <c r="M54" s="1750">
        <f t="shared" ca="1" si="0"/>
        <v>19001</v>
      </c>
      <c r="N54" s="1808" t="str">
        <f t="shared" si="0"/>
        <v>增值额×税（费）率</v>
      </c>
      <c r="O54" s="1752" t="str">
        <f t="shared" si="0"/>
        <v>——</v>
      </c>
    </row>
    <row r="55" spans="1:35" ht="24" customHeight="1">
      <c r="A55" s="3096" t="s">
        <v>2174</v>
      </c>
      <c r="B55" s="3097"/>
      <c r="C55" s="3097"/>
      <c r="D55" s="185">
        <f ca="1">IF(H55="个人住宅",0,ROUND(D45*I55,0))</f>
        <v>17</v>
      </c>
      <c r="E55" s="11" t="s">
        <v>2175</v>
      </c>
      <c r="F55" s="184">
        <f>IF(H55="正常",I55,"免征")</f>
        <v>5.0000000000000001E-4</v>
      </c>
      <c r="G55" s="2482"/>
      <c r="H55" s="2479" t="s">
        <v>2176</v>
      </c>
      <c r="I55" s="186">
        <f>'数据-取费表'!B49</f>
        <v>5.0000000000000001E-4</v>
      </c>
      <c r="J55" s="1808" t="str">
        <f>IF(H59="非个人房产","",4)</f>
        <v/>
      </c>
      <c r="K55" s="3147" t="str">
        <f>IF(H59="非个人房产","——","个人所得税")</f>
        <v>——</v>
      </c>
      <c r="L55" s="3147"/>
      <c r="M55" s="1753" t="str">
        <f>D59</f>
        <v>——</v>
      </c>
      <c r="N55" s="1806" t="str">
        <f>E59</f>
        <v>——</v>
      </c>
      <c r="O55" s="1754" t="str">
        <f>F59</f>
        <v>——</v>
      </c>
    </row>
    <row r="56" spans="1:35" ht="24.75">
      <c r="A56" s="3096" t="s">
        <v>2177</v>
      </c>
      <c r="B56" s="3097"/>
      <c r="C56" s="3097"/>
      <c r="D56" s="185">
        <f ca="1">IF(H56="个人住宅",D57,D58)</f>
        <v>19001</v>
      </c>
      <c r="E56" s="11" t="s">
        <v>2178</v>
      </c>
      <c r="F56" s="184" t="str">
        <f>IF(H56="正常",F58,"免征")</f>
        <v>——</v>
      </c>
      <c r="G56" s="2484" t="s">
        <v>2179</v>
      </c>
      <c r="H56" s="2485" t="s">
        <v>2176</v>
      </c>
      <c r="I56" s="2486"/>
      <c r="J56" s="1808" t="str">
        <f>IF(项目基本情况!K6="上海银行",IF(J55="",4,J55+1),"")</f>
        <v/>
      </c>
      <c r="K56" s="3170" t="str">
        <f>IF(项目基本情况!K6="上海银行","其他处置费用","")</f>
        <v/>
      </c>
      <c r="L56" s="3171"/>
      <c r="M56" s="1750" t="str">
        <f>IF(项目基本情况!K6="上海银行",M69,"")</f>
        <v/>
      </c>
      <c r="N56" s="3173" t="str">
        <f>IF(项目基本情况!K6="上海银行","包含处置中涉及的律师、诉讼、拍卖、评估等费用","")</f>
        <v/>
      </c>
      <c r="O56" s="3174"/>
    </row>
    <row r="57" spans="1:35" ht="12.75">
      <c r="A57" s="183" t="s">
        <v>2152</v>
      </c>
      <c r="B57" s="3112" t="s">
        <v>2180</v>
      </c>
      <c r="C57" s="3121"/>
      <c r="D57" s="187">
        <v>0</v>
      </c>
      <c r="E57" s="23" t="s">
        <v>2154</v>
      </c>
      <c r="F57" s="155"/>
      <c r="G57" s="2482"/>
      <c r="H57" s="2486"/>
      <c r="I57" s="2486"/>
      <c r="J57" s="3147">
        <f>IF(AND(J55="",J56=""),4,IF(项目基本情况!K6="上海银行",结果表!J56+1,结果表!J55+1))</f>
        <v>4</v>
      </c>
      <c r="K57" s="3147" t="s">
        <v>2181</v>
      </c>
      <c r="L57" s="2487" t="s">
        <v>2182</v>
      </c>
      <c r="M57" s="1755"/>
      <c r="N57" s="1756">
        <f ca="1">SUMIF(M52:M56,"&lt;9e307")</f>
        <v>19018</v>
      </c>
      <c r="O57" s="2488"/>
      <c r="P57" s="1749">
        <f ca="1">N57/M49</f>
        <v>0.56648397474085543</v>
      </c>
    </row>
    <row r="58" spans="1:35" ht="24.75">
      <c r="A58" s="183" t="s">
        <v>2163</v>
      </c>
      <c r="B58" s="3112" t="s">
        <v>2183</v>
      </c>
      <c r="C58" s="3113"/>
      <c r="D58" s="185">
        <f ca="1">IF(H58="转让取得",C81,C97)</f>
        <v>19001</v>
      </c>
      <c r="E58" s="11" t="s">
        <v>2178</v>
      </c>
      <c r="F58" s="24" t="s">
        <v>34</v>
      </c>
      <c r="G58" s="2482"/>
      <c r="H58" s="2485" t="s">
        <v>2184</v>
      </c>
      <c r="I58" s="2486"/>
      <c r="J58" s="3147"/>
      <c r="K58" s="3147"/>
      <c r="L58" s="2487" t="s">
        <v>2185</v>
      </c>
      <c r="M58" s="1757"/>
      <c r="N58" s="2489" t="str">
        <f ca="1">NUMBERSTRING(INT(N57*10000),2)&amp;"元整"</f>
        <v>壹亿玖仟零壹拾捌万元整</v>
      </c>
      <c r="O58" s="2490"/>
    </row>
    <row r="59" spans="1:35" ht="24.75" thickBot="1">
      <c r="A59" s="3150" t="s">
        <v>2186</v>
      </c>
      <c r="B59" s="3151"/>
      <c r="C59" s="3151"/>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48">
        <f>J57+1</f>
        <v>5</v>
      </c>
      <c r="K59" s="3147" t="s">
        <v>2188</v>
      </c>
      <c r="L59" s="1808" t="s">
        <v>2182</v>
      </c>
      <c r="M59" s="1758"/>
      <c r="N59" s="1759">
        <f ca="1">M49-N57</f>
        <v>14554</v>
      </c>
      <c r="O59" s="2492"/>
    </row>
    <row r="60" spans="1:35" ht="12" customHeight="1">
      <c r="A60" s="2493"/>
      <c r="B60" s="2415"/>
      <c r="C60" s="2415"/>
      <c r="D60" s="2415"/>
      <c r="E60" s="2164"/>
      <c r="F60" s="2486"/>
      <c r="G60" s="2486"/>
      <c r="H60" s="2494"/>
      <c r="I60" s="138"/>
      <c r="J60" s="3149"/>
      <c r="K60" s="3147"/>
      <c r="L60" s="2487" t="s">
        <v>2185</v>
      </c>
      <c r="M60" s="1757"/>
      <c r="N60" s="2489" t="str">
        <f ca="1">NUMBERSTRING(INT(N59*10000),2)&amp;"元整"</f>
        <v>壹亿肆仟伍佰伍拾肆万元整</v>
      </c>
      <c r="O60" s="2490"/>
    </row>
    <row r="61" spans="1:35" ht="13.5" thickBot="1">
      <c r="A61" s="3094" t="s">
        <v>2189</v>
      </c>
      <c r="B61" s="3094"/>
      <c r="C61" s="3094"/>
      <c r="D61" s="3094"/>
      <c r="E61" s="3094"/>
      <c r="F61" s="2486"/>
      <c r="G61" s="2486"/>
      <c r="H61" s="2494"/>
      <c r="I61" s="138"/>
      <c r="J61" s="1808">
        <f>J59+1</f>
        <v>6</v>
      </c>
      <c r="K61" s="3147" t="s">
        <v>2190</v>
      </c>
      <c r="L61" s="3147"/>
      <c r="M61" s="1760"/>
      <c r="N61" s="1761">
        <f ca="1">ROUND(N59*10000/'数据-汇总表'!E3,0)</f>
        <v>2731</v>
      </c>
      <c r="O61" s="2495"/>
    </row>
    <row r="62" spans="1:35" ht="12.75">
      <c r="A62" s="3110" t="s">
        <v>2191</v>
      </c>
      <c r="B62" s="3111"/>
      <c r="C62" s="1800"/>
      <c r="D62" s="1800" t="s">
        <v>2192</v>
      </c>
      <c r="E62" s="192" t="s">
        <v>2193</v>
      </c>
      <c r="F62" s="2486"/>
      <c r="G62" s="2486"/>
      <c r="H62" s="2494"/>
      <c r="I62" s="138"/>
    </row>
    <row r="63" spans="1:35" ht="12.75">
      <c r="A63" s="203" t="s">
        <v>774</v>
      </c>
      <c r="B63" s="193" t="s">
        <v>2194</v>
      </c>
      <c r="C63" s="194">
        <f ca="1">ROUND((C64+C65)/(1+'数据-取费表'!C42),0)</f>
        <v>31973</v>
      </c>
      <c r="D63" s="195"/>
      <c r="E63" s="196"/>
      <c r="F63" s="2486"/>
      <c r="G63" s="2486"/>
      <c r="H63" s="2494"/>
      <c r="I63" s="138"/>
      <c r="J63" s="3172" t="s">
        <v>2195</v>
      </c>
      <c r="K63" s="2496" t="s">
        <v>2196</v>
      </c>
      <c r="L63" s="1748">
        <f ca="1">IF(M49&gt;10000,M49*0.5%,IF(AND(M49&gt;1000,M49&lt;=10000),M49*1%,IF(AND(M49&gt;100,M49&lt;=1000),M49*3%,IF(AND(M49&gt;10,M49&lt;=100),M49*5%,M49*8%))))</f>
        <v>167.86</v>
      </c>
      <c r="M63" s="24">
        <f ca="1">ROUND(L63,1)</f>
        <v>167.9</v>
      </c>
      <c r="Z63" s="2420"/>
      <c r="AI63" s="2421"/>
    </row>
    <row r="64" spans="1:35" ht="14.25" customHeight="1">
      <c r="A64" s="197" t="s">
        <v>769</v>
      </c>
      <c r="B64" s="198" t="s">
        <v>2197</v>
      </c>
      <c r="C64" s="199">
        <f ca="1">D45</f>
        <v>33572</v>
      </c>
      <c r="D64" s="200" t="s">
        <v>32</v>
      </c>
      <c r="E64" s="201"/>
      <c r="F64" s="2486"/>
      <c r="G64" s="2486"/>
      <c r="H64" s="2494"/>
      <c r="I64" s="138"/>
      <c r="J64" s="3172"/>
      <c r="K64" s="2496" t="s">
        <v>2198</v>
      </c>
      <c r="L64" s="1748">
        <f ca="1">IF(M49&gt;2000,M49*0.5%,IF(AND(M49&gt;1000,M49&lt;=2000),M49*0.6%,IF(AND(M49&gt;500,M49&lt;=1000),M49*0.7%,IF(AND(M49&gt;200,M49&lt;=500),M49*0.8%,IF(AND(M49&gt;100,M49&lt;=200),M49*0.9%,IF(AND(M49&gt;50,M49&lt;=100),M49*1%,IF(AND(M49&gt;20,M49&lt;=50),M49*1.5%,IF(AND(M49&gt;10,M49&lt;=20),M49*2%,IF(AND(M49&gt;1,M49&lt;=10),M49*2.5%)))))))))</f>
        <v>167.86</v>
      </c>
      <c r="M64" s="24">
        <f t="shared" ref="M64:M65" ca="1" si="1">ROUND(L64,1)</f>
        <v>167.9</v>
      </c>
      <c r="N64" s="138" t="s">
        <v>2199</v>
      </c>
      <c r="Z64" s="2420"/>
      <c r="AI64" s="2421"/>
    </row>
    <row r="65" spans="1:35" ht="14.25" customHeight="1">
      <c r="A65" s="197" t="s">
        <v>770</v>
      </c>
      <c r="B65" s="198" t="s">
        <v>2200</v>
      </c>
      <c r="C65" s="202"/>
      <c r="D65" s="200"/>
      <c r="E65" s="201"/>
      <c r="F65" s="2486"/>
      <c r="G65" s="2486"/>
      <c r="H65" s="2494"/>
      <c r="I65" s="138"/>
      <c r="J65" s="3172"/>
      <c r="K65" s="2496" t="s">
        <v>2201</v>
      </c>
      <c r="L65" s="1748">
        <f ca="1">IF(M49&gt;1000,M49*0.1%,IF(AND(M49&gt;500,M49&lt;=1000),M49*0.5%,IF(AND(M49&gt;50,M49&lt;=500),M49*1%,IF(AND(M49&gt;1,M49&lt;=50),M49*1.5%))))</f>
        <v>33.572000000000003</v>
      </c>
      <c r="M65" s="24">
        <f t="shared" ca="1" si="1"/>
        <v>33.6</v>
      </c>
      <c r="N65" s="138" t="s">
        <v>2199</v>
      </c>
      <c r="Z65" s="2420"/>
      <c r="AI65" s="2421"/>
    </row>
    <row r="66" spans="1:35" ht="14.25" customHeight="1">
      <c r="A66" s="203" t="s">
        <v>771</v>
      </c>
      <c r="B66" s="204" t="s">
        <v>2202</v>
      </c>
      <c r="C66" s="205"/>
      <c r="D66" s="206" t="s">
        <v>32</v>
      </c>
      <c r="E66" s="1772" t="s">
        <v>1363</v>
      </c>
      <c r="F66" s="2486"/>
      <c r="G66" s="2486"/>
      <c r="H66" s="2494"/>
      <c r="I66" s="138"/>
      <c r="J66" s="3172"/>
      <c r="K66" s="2496" t="s">
        <v>2203</v>
      </c>
      <c r="L66" s="1748">
        <f ca="1">M49*0.5%</f>
        <v>167.86</v>
      </c>
      <c r="M66" s="24">
        <f ca="1">IF(L66&gt;0.5,0.5,ROUND(L66,0))</f>
        <v>0.5</v>
      </c>
      <c r="N66" s="138" t="s">
        <v>2204</v>
      </c>
      <c r="Z66" s="2420"/>
      <c r="AI66" s="2421"/>
    </row>
    <row r="67" spans="1:35" ht="14.25" customHeight="1">
      <c r="A67" s="203" t="s">
        <v>772</v>
      </c>
      <c r="B67" s="204" t="s">
        <v>2205</v>
      </c>
      <c r="C67" s="207">
        <f ca="1">C63-C66</f>
        <v>31973</v>
      </c>
      <c r="D67" s="200" t="s">
        <v>32</v>
      </c>
      <c r="E67" s="201"/>
      <c r="F67" s="2486"/>
      <c r="G67" s="2486"/>
      <c r="H67" s="2494"/>
      <c r="I67" s="138"/>
      <c r="J67" s="3172"/>
      <c r="K67" s="2496" t="s">
        <v>2206</v>
      </c>
      <c r="L67" s="1748">
        <f ca="1">IF(M49&gt;=10000,(8.25+(M49-10000)*0.01%),IF(AND(M49&gt;=8000,M49&lt;10000),(7.85+(M49-8000)*0.02%),IF(AND(M49&gt;=5000,M49&lt;8000),(6.65+(M49-5000)*0.04%),IF(AND(M49&gt;=2000,M49&lt;5000),(4.25+(PM49-2000)*0.08%),IF(AND(M49&gt;=1000,M49&lt;2000),(2.75+(M49-1000)*0.15%),IF(AND(M49&gt;=100,M49&lt;1000),(0.5+(M49-100)*0.25%),IF(AND(M49&gt;0,M49&lt;100),M49*0.5%)))))))</f>
        <v>10.607200000000001</v>
      </c>
      <c r="M67" s="24">
        <f ca="1">ROUND(L67*0.9,1)</f>
        <v>9.5</v>
      </c>
      <c r="Z67" s="2420"/>
      <c r="AI67" s="2421"/>
    </row>
    <row r="68" spans="1:35" ht="14.25" customHeight="1" thickBot="1">
      <c r="A68" s="208" t="s">
        <v>773</v>
      </c>
      <c r="B68" s="209" t="s">
        <v>2207</v>
      </c>
      <c r="C68" s="210">
        <f ca="1">IF(C67&lt;=0,0,ROUND(C67*D68,0))</f>
        <v>1790</v>
      </c>
      <c r="D68" s="211">
        <f>'数据-取费表'!B41</f>
        <v>5.6000000000000001E-2</v>
      </c>
      <c r="E68" s="212"/>
      <c r="F68" s="2486"/>
      <c r="G68" s="2486"/>
      <c r="H68" s="2494"/>
      <c r="I68" s="138"/>
      <c r="J68" s="3172"/>
      <c r="K68" s="2496" t="s">
        <v>2208</v>
      </c>
      <c r="L68" s="1748">
        <f ca="1">IF(M49&gt;10000,M49*0.5%,IF(AND(M49&gt;5000,M49&lt;=10000),M49*1%,IF(AND(M49&gt;1000,M49&lt;=5000),M49*2%,IF(AND(M49&gt;200,M49&lt;=1000),M49*3%,M49*5%))))</f>
        <v>167.86</v>
      </c>
      <c r="M68" s="24">
        <f ca="1">ROUND(L68,1)</f>
        <v>167.9</v>
      </c>
      <c r="Z68" s="2420"/>
      <c r="AI68" s="2421"/>
    </row>
    <row r="69" spans="1:35" s="2443" customFormat="1" ht="16.5" customHeight="1">
      <c r="A69" s="2497"/>
      <c r="B69" s="2498"/>
      <c r="C69" s="2499"/>
      <c r="D69" s="2500"/>
      <c r="E69" s="2501"/>
      <c r="F69" s="2164"/>
      <c r="G69" s="2164"/>
      <c r="H69" s="2163"/>
      <c r="I69" s="2415"/>
      <c r="J69" s="3172"/>
      <c r="K69" s="2496" t="s">
        <v>2209</v>
      </c>
      <c r="L69" s="2502"/>
      <c r="M69" s="24">
        <f ca="1">ROUND(SUM(M63:M68),0)</f>
        <v>547</v>
      </c>
      <c r="N69" s="1749">
        <f ca="1">M69/M49</f>
        <v>1.6293339687835102E-2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1" t="s">
        <v>2210</v>
      </c>
      <c r="B70" s="3132"/>
      <c r="C70" s="3132"/>
      <c r="D70" s="3132"/>
      <c r="E70" s="3132"/>
      <c r="F70" s="3132"/>
      <c r="G70" s="3132"/>
      <c r="H70" s="313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0" t="s">
        <v>2191</v>
      </c>
      <c r="B71" s="3111"/>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31973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192</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05" t="s">
        <v>2219</v>
      </c>
      <c r="F76" s="3082"/>
      <c r="G76" s="3082"/>
      <c r="H76" s="313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192</v>
      </c>
      <c r="D78" s="226">
        <f>'数据-取费表'!B43</f>
        <v>6.000000000000001E-3</v>
      </c>
      <c r="E78" s="3091" t="s">
        <v>2224</v>
      </c>
      <c r="F78" s="3092"/>
      <c r="G78" s="3092"/>
      <c r="H78" s="310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31781</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165.52604166666666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19001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1" t="s">
        <v>2228</v>
      </c>
      <c r="B83" s="3132"/>
      <c r="C83" s="3132"/>
      <c r="D83" s="3132"/>
      <c r="E83" s="3132"/>
      <c r="F83" s="3132"/>
      <c r="G83" s="3132"/>
      <c r="H83" s="313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0" t="s">
        <v>2191</v>
      </c>
      <c r="B84" s="3111"/>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31973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192</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91" t="s">
        <v>2237</v>
      </c>
      <c r="F91" s="3092"/>
      <c r="G91" s="3092"/>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91" t="s">
        <v>2241</v>
      </c>
      <c r="F92" s="3092"/>
      <c r="G92" s="3092"/>
      <c r="H92" s="310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192</v>
      </c>
      <c r="D93" s="226">
        <f>'数据-取费表'!B43</f>
        <v>6.000000000000001E-3</v>
      </c>
      <c r="E93" s="3091" t="s">
        <v>2224</v>
      </c>
      <c r="F93" s="3092"/>
      <c r="G93" s="3092"/>
      <c r="H93" s="310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02" t="s">
        <v>2245</v>
      </c>
      <c r="F94" s="3103"/>
      <c r="G94" s="3103"/>
      <c r="H94" s="310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31781</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165.52604166666666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19001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76" t="s">
        <v>2247</v>
      </c>
      <c r="B100" s="3077"/>
      <c r="C100" s="3077"/>
      <c r="D100" s="3093"/>
      <c r="E100" s="3077" t="s">
        <v>2248</v>
      </c>
      <c r="F100" s="3077"/>
      <c r="G100" s="3077"/>
      <c r="H100" s="3093"/>
      <c r="I100" s="138"/>
    </row>
    <row r="101" spans="1:35" ht="18.75" customHeight="1">
      <c r="A101" s="3155" t="s">
        <v>2249</v>
      </c>
      <c r="B101" s="3156"/>
      <c r="C101" s="736" t="str">
        <f>C4</f>
        <v>成本法</v>
      </c>
      <c r="D101" s="737" t="str">
        <f>D4</f>
        <v>假设开发法</v>
      </c>
      <c r="E101" s="3169" t="s">
        <v>2250</v>
      </c>
      <c r="F101" s="3123"/>
      <c r="G101" s="2517" t="s">
        <v>2251</v>
      </c>
      <c r="H101" s="1045">
        <f ca="1">H118</f>
        <v>33572</v>
      </c>
      <c r="I101" s="138"/>
    </row>
    <row r="102" spans="1:35" ht="18.75" customHeight="1">
      <c r="A102" s="3125" t="s">
        <v>2252</v>
      </c>
      <c r="B102" s="2517" t="s">
        <v>2251</v>
      </c>
      <c r="C102" s="736">
        <f ca="1">C19</f>
        <v>24364</v>
      </c>
      <c r="D102" s="737">
        <f ca="1">D19</f>
        <v>39710</v>
      </c>
      <c r="E102" s="3169"/>
      <c r="F102" s="3123"/>
      <c r="G102" s="2517" t="s">
        <v>2253</v>
      </c>
      <c r="H102" s="371">
        <f ca="1">I118</f>
        <v>6299</v>
      </c>
      <c r="I102" s="138"/>
    </row>
    <row r="103" spans="1:35" ht="42.75" customHeight="1">
      <c r="A103" s="3125"/>
      <c r="B103" s="2517" t="s">
        <v>2253</v>
      </c>
      <c r="C103" s="738">
        <f ca="1">C20</f>
        <v>4571</v>
      </c>
      <c r="D103" s="739">
        <f ca="1">D20</f>
        <v>7451</v>
      </c>
      <c r="E103" s="3164" t="s">
        <v>2254</v>
      </c>
      <c r="F103" s="3165"/>
      <c r="G103" s="2518" t="s">
        <v>2255</v>
      </c>
      <c r="H103" s="1045">
        <f>IF(D36="正常操作",H104+H105+H106,H105+H106)</f>
        <v>0</v>
      </c>
      <c r="I103" s="138"/>
    </row>
    <row r="104" spans="1:35" ht="18.75" customHeight="1">
      <c r="A104" s="3125" t="s">
        <v>2256</v>
      </c>
      <c r="B104" s="2519" t="s">
        <v>2251</v>
      </c>
      <c r="C104" s="740">
        <f ca="1">H118</f>
        <v>33572</v>
      </c>
      <c r="D104" s="741"/>
      <c r="E104" s="2265" t="s">
        <v>2257</v>
      </c>
      <c r="F104" s="2256"/>
      <c r="G104" s="2518" t="s">
        <v>2255</v>
      </c>
      <c r="H104" s="1046">
        <f>IF(D36="同一抵押权人同一抵押物续贷",C36&amp;"（未扣减，详见特别提示）",C36)</f>
        <v>0</v>
      </c>
      <c r="I104" s="138"/>
    </row>
    <row r="105" spans="1:35" ht="18.75" customHeight="1" thickBot="1">
      <c r="A105" s="3126"/>
      <c r="B105" s="2520" t="s">
        <v>2253</v>
      </c>
      <c r="C105" s="742">
        <f ca="1">I118</f>
        <v>6299</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2" t="str">
        <f>IF(项目基本情况!E8="已注销","——","3.房地产抵押价值")</f>
        <v>3.房地产抵押价值</v>
      </c>
      <c r="F107" s="3123"/>
      <c r="G107" s="2517" t="s">
        <v>2251</v>
      </c>
      <c r="H107" s="1045">
        <f ca="1">IF(E107="——","——",H101-H103)</f>
        <v>33572</v>
      </c>
      <c r="I107" s="138"/>
    </row>
    <row r="108" spans="1:35" ht="18.75" customHeight="1">
      <c r="A108" s="138"/>
      <c r="B108" s="138"/>
      <c r="C108" s="138"/>
      <c r="D108" s="138"/>
      <c r="E108" s="3122"/>
      <c r="F108" s="3123"/>
      <c r="G108" s="2517" t="s">
        <v>2253</v>
      </c>
      <c r="H108" s="371">
        <f ca="1">ROUND(H107*10000/'数据-汇总表'!E3,0)</f>
        <v>6299</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7" t="s">
        <v>2251</v>
      </c>
      <c r="H109" s="348" t="str">
        <f>IF(E109="——","——",H101-H105-H106)</f>
        <v>——</v>
      </c>
      <c r="I109" s="138"/>
    </row>
    <row r="110" spans="1:35" ht="18.75" customHeight="1">
      <c r="A110" s="138"/>
      <c r="B110" s="138"/>
      <c r="C110" s="138"/>
      <c r="D110" s="138"/>
      <c r="E110" s="3122"/>
      <c r="F110" s="3123"/>
      <c r="G110" s="2517" t="s">
        <v>2253</v>
      </c>
      <c r="H110" s="371"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17" t="s">
        <v>2251</v>
      </c>
      <c r="H111" s="1045" t="str">
        <f>IF(E111="——","——",N59)</f>
        <v>——</v>
      </c>
      <c r="I111" s="138"/>
    </row>
    <row r="112" spans="1:35" ht="18.75" customHeight="1" thickBot="1">
      <c r="A112" s="138"/>
      <c r="B112" s="138"/>
      <c r="C112" s="138"/>
      <c r="D112" s="138"/>
      <c r="E112" s="3159"/>
      <c r="F112" s="3160"/>
      <c r="G112" s="2522" t="s">
        <v>2253</v>
      </c>
      <c r="H112" s="790" t="str">
        <f>IF(E111="——","——",N61)</f>
        <v>——</v>
      </c>
      <c r="I112" s="138"/>
    </row>
    <row r="113" spans="1:11" ht="18.75" customHeight="1">
      <c r="A113" s="138"/>
      <c r="B113" s="138"/>
      <c r="C113" s="138"/>
      <c r="D113" s="138"/>
      <c r="E113" s="3127" t="s">
        <v>2259</v>
      </c>
      <c r="F113" s="3127"/>
      <c r="G113" s="3127"/>
      <c r="H113" s="3127"/>
      <c r="I113" s="138"/>
    </row>
    <row r="114" spans="1:11" ht="3.75" customHeight="1">
      <c r="A114" s="2415"/>
      <c r="B114" s="2415"/>
      <c r="C114" s="2415"/>
      <c r="D114" s="2415"/>
      <c r="E114" s="2493"/>
      <c r="F114" s="2493"/>
      <c r="G114" s="2493"/>
      <c r="H114" s="2493"/>
      <c r="I114" s="2415"/>
    </row>
    <row r="115" spans="1:11" ht="18.75" customHeight="1">
      <c r="A115" s="3140" t="s">
        <v>2261</v>
      </c>
      <c r="B115" s="3141"/>
      <c r="C115" s="3141"/>
      <c r="D115" s="3141"/>
      <c r="E115" s="3141"/>
      <c r="F115" s="3141"/>
      <c r="G115" s="3141"/>
      <c r="H115" s="3141"/>
      <c r="I115" s="3142"/>
    </row>
    <row r="116" spans="1:11" ht="27" customHeight="1">
      <c r="A116" s="3033" t="s">
        <v>2262</v>
      </c>
      <c r="B116" s="3128" t="s">
        <v>3368</v>
      </c>
      <c r="C116" s="3128" t="s">
        <v>2263</v>
      </c>
      <c r="D116" s="3144" t="s">
        <v>2264</v>
      </c>
      <c r="E116" s="3145"/>
      <c r="F116" s="3136" t="s">
        <v>2265</v>
      </c>
      <c r="G116" s="3136"/>
      <c r="H116" s="3033" t="s">
        <v>2266</v>
      </c>
      <c r="I116" s="3033"/>
    </row>
    <row r="117" spans="1:11" ht="18.75" customHeight="1">
      <c r="A117" s="3033"/>
      <c r="B117" s="3129"/>
      <c r="C117" s="3129"/>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53297.039999999994</v>
      </c>
      <c r="C118" s="1794">
        <f>M19</f>
        <v>8380.73</v>
      </c>
      <c r="D118" s="1794">
        <f ca="1">ROUND(IF(D32="总价",C34,E118*B118/10000),0)</f>
        <v>14839</v>
      </c>
      <c r="E118" s="1794">
        <f ca="1">ROUND(IF(C33="自定义",IF(D32="楼面单价",C34,D118*10000/B118),I118-G118),0)</f>
        <v>2784</v>
      </c>
      <c r="F118" s="1794">
        <f ca="1">ROUND(IF(D32="总价",C35,G118*B118/10000),0)</f>
        <v>18733</v>
      </c>
      <c r="G118" s="1794">
        <f ca="1">ROUND(IF(D32="楼面单价",C35,F118*10000/B118),0)</f>
        <v>3515</v>
      </c>
      <c r="H118" s="1794">
        <f ca="1">ROUND(IF(D32="总价",C32,I118*B118/10000),0)</f>
        <v>33572</v>
      </c>
      <c r="I118" s="1794">
        <f ca="1">ROUND(IF(D32="楼面单价",C32,H118*10000/B118),0)</f>
        <v>6299</v>
      </c>
    </row>
    <row r="119" spans="1:11" ht="18.75" customHeight="1">
      <c r="A119" s="3033" t="s">
        <v>2270</v>
      </c>
      <c r="B119" s="3033"/>
      <c r="C119" s="3033"/>
      <c r="D119" s="3133" t="str">
        <f ca="1">NUMBERSTRING(INT(D118*10000),2)&amp;"元整"</f>
        <v>壹亿肆仟捌佰叁拾玖万元整</v>
      </c>
      <c r="E119" s="3135"/>
      <c r="F119" s="3133" t="str">
        <f ca="1">NUMBERSTRING(INT(F118*10000),2)&amp;"元整"</f>
        <v>壹亿捌仟柒佰叁拾叁万元整</v>
      </c>
      <c r="G119" s="3135"/>
      <c r="H119" s="3133" t="str">
        <f ca="1">NUMBERSTRING(INT(H118*10000),2)&amp;"元整"</f>
        <v>叁亿叁仟伍佰柒拾贰万元整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0" t="str">
        <f>IF(D120=0,"故，本次评估不存在"&amp;A120,"故，本次评估"&amp;A120&amp;"为人民币"&amp;D120&amp;"万元整。")</f>
        <v>故，本次评估不存在估价师知悉的法定优先受偿款</v>
      </c>
    </row>
    <row r="121" spans="1:11" ht="18.75" customHeight="1">
      <c r="A121" s="3137" t="s">
        <v>2270</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33572</v>
      </c>
      <c r="E122" s="3162"/>
      <c r="F122" s="3162"/>
      <c r="G122" s="3162"/>
      <c r="H122" s="3162"/>
      <c r="I122" s="3163"/>
    </row>
    <row r="123" spans="1:11" ht="18.75" customHeight="1">
      <c r="A123" s="3033" t="s">
        <v>2270</v>
      </c>
      <c r="B123" s="3033"/>
      <c r="C123" s="3033"/>
      <c r="D123" s="3133" t="str">
        <f ca="1">NUMBERSTRING(INT(D122*10000),2)&amp;"元整"</f>
        <v>叁亿叁仟伍佰柒拾贰万元整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2270</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2270</v>
      </c>
      <c r="B127" s="3033"/>
      <c r="C127" s="3033"/>
      <c r="D127" s="3133" t="e">
        <f>NUMBERSTRING(INT(D126*10000),2)&amp;"元整"</f>
        <v>#VALUE!</v>
      </c>
      <c r="E127" s="3134"/>
      <c r="F127" s="3134"/>
      <c r="G127" s="3134"/>
      <c r="H127" s="3134"/>
      <c r="I127" s="3135"/>
    </row>
    <row r="128" spans="1:11" ht="21.75" customHeight="1">
      <c r="A128" s="3143" t="s">
        <v>2271</v>
      </c>
      <c r="B128" s="3143"/>
      <c r="C128" s="3143"/>
      <c r="D128" s="3143"/>
      <c r="E128" s="3143"/>
      <c r="F128" s="3143"/>
      <c r="G128" s="3143"/>
      <c r="H128" s="3143"/>
      <c r="I128" s="3143"/>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18" sqref="M1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8163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1532</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79" t="s">
        <v>2595</v>
      </c>
      <c r="D4" s="3192"/>
      <c r="E4" s="3193" t="s">
        <v>2596</v>
      </c>
      <c r="F4" s="3194"/>
      <c r="G4" s="3179" t="s">
        <v>2597</v>
      </c>
      <c r="H4" s="3192"/>
      <c r="I4" s="3179" t="s">
        <v>2598</v>
      </c>
      <c r="J4" s="3192"/>
      <c r="K4" s="610" t="s">
        <v>2599</v>
      </c>
      <c r="L4" s="1130"/>
      <c r="M4" s="1131"/>
      <c r="N4" s="1131"/>
      <c r="O4" s="1131"/>
      <c r="P4" s="3195" t="s">
        <v>2600</v>
      </c>
      <c r="Q4" s="3196"/>
      <c r="R4" s="3201" t="s">
        <v>2596</v>
      </c>
      <c r="S4" s="3202"/>
      <c r="T4" s="3201" t="s">
        <v>2597</v>
      </c>
      <c r="U4" s="3202"/>
      <c r="V4" s="3188" t="s">
        <v>2598</v>
      </c>
      <c r="W4" s="3188"/>
      <c r="X4" s="1812"/>
      <c r="Y4" s="3201" t="s">
        <v>2600</v>
      </c>
      <c r="Z4" s="3202"/>
      <c r="AA4" s="3189" t="s">
        <v>2596</v>
      </c>
      <c r="AB4" s="3190" t="s">
        <v>2597</v>
      </c>
      <c r="AC4" s="3189" t="s">
        <v>2598</v>
      </c>
    </row>
    <row r="5" spans="1:30" ht="15">
      <c r="A5" s="404"/>
      <c r="B5" s="405"/>
      <c r="C5" s="3214" t="str">
        <f>项目基本情况!F10</f>
        <v>槐荫区西客站片区淮坊路东侧、威海路北侧D-1一期</v>
      </c>
      <c r="D5" s="3210"/>
      <c r="E5" s="3217" t="str">
        <f>土地案例!B8</f>
        <v>西客站片区会展中心西侧地块B-2</v>
      </c>
      <c r="F5" s="3218"/>
      <c r="G5" s="3209" t="str">
        <f>土地案例!B9</f>
        <v>槐荫区西客站片区,威海路以南,滨洲路以西</v>
      </c>
      <c r="H5" s="3210"/>
      <c r="I5" s="3209" t="str">
        <f>土地案例!B12</f>
        <v>东至齐鲁大道,北至横支10号路,西至纵支2号路,南至用地边界</v>
      </c>
      <c r="J5" s="3210"/>
      <c r="K5" s="610"/>
      <c r="L5" s="1130"/>
      <c r="M5" s="1131"/>
      <c r="N5" s="1131"/>
      <c r="O5" s="1131"/>
      <c r="P5" s="3197"/>
      <c r="Q5" s="3198"/>
      <c r="R5" s="3203"/>
      <c r="S5" s="3204"/>
      <c r="T5" s="3203"/>
      <c r="U5" s="3204"/>
      <c r="V5" s="3188"/>
      <c r="W5" s="3188"/>
      <c r="X5" s="1812"/>
      <c r="Y5" s="3203"/>
      <c r="Z5" s="3204"/>
      <c r="AA5" s="3190"/>
      <c r="AB5" s="3190"/>
      <c r="AC5" s="3190"/>
    </row>
    <row r="6" spans="1:30" ht="15.75" thickBot="1">
      <c r="A6" s="406"/>
      <c r="B6" s="407"/>
      <c r="C6" s="3207" t="s">
        <v>2496</v>
      </c>
      <c r="D6" s="3208"/>
      <c r="E6" s="3215" t="s">
        <v>2496</v>
      </c>
      <c r="F6" s="3216"/>
      <c r="G6" s="3207" t="s">
        <v>2496</v>
      </c>
      <c r="H6" s="3208"/>
      <c r="I6" s="3207" t="s">
        <v>2496</v>
      </c>
      <c r="J6" s="3208"/>
      <c r="K6" s="610" t="s">
        <v>2497</v>
      </c>
      <c r="L6" s="1130"/>
      <c r="M6" s="1131"/>
      <c r="N6" s="1131"/>
      <c r="O6" s="1131"/>
      <c r="P6" s="3199"/>
      <c r="Q6" s="3200"/>
      <c r="R6" s="3203"/>
      <c r="S6" s="3204"/>
      <c r="T6" s="3205"/>
      <c r="U6" s="3206"/>
      <c r="V6" s="3188"/>
      <c r="W6" s="3188"/>
      <c r="X6" s="1812"/>
      <c r="Y6" s="3205"/>
      <c r="Z6" s="3206"/>
      <c r="AA6" s="3191"/>
      <c r="AB6" s="3191"/>
      <c r="AC6" s="3191"/>
    </row>
    <row r="7" spans="1:30" s="117" customFormat="1" ht="15.7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211" t="s">
        <v>2499</v>
      </c>
      <c r="Q7" s="3213"/>
      <c r="R7" s="770" t="s">
        <v>17</v>
      </c>
      <c r="S7" s="771">
        <f t="shared" ref="S7:S15" si="0">F7</f>
        <v>99</v>
      </c>
      <c r="T7" s="770" t="s">
        <v>17</v>
      </c>
      <c r="U7" s="771">
        <f t="shared" ref="U7:U15" si="1">H7</f>
        <v>99</v>
      </c>
      <c r="V7" s="770" t="s">
        <v>17</v>
      </c>
      <c r="W7" s="771">
        <f t="shared" ref="W7:W15" si="2">J7</f>
        <v>96.5</v>
      </c>
      <c r="X7" s="772"/>
      <c r="Y7" s="3211" t="s">
        <v>2499</v>
      </c>
      <c r="Z7" s="3212"/>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211" t="s">
        <v>2502</v>
      </c>
      <c r="Q8" s="3212"/>
      <c r="R8" s="770" t="s">
        <v>17</v>
      </c>
      <c r="S8" s="771">
        <f t="shared" si="0"/>
        <v>100</v>
      </c>
      <c r="T8" s="770" t="s">
        <v>17</v>
      </c>
      <c r="U8" s="771">
        <f t="shared" si="1"/>
        <v>100</v>
      </c>
      <c r="V8" s="770" t="s">
        <v>17</v>
      </c>
      <c r="W8" s="771">
        <f t="shared" si="2"/>
        <v>100</v>
      </c>
      <c r="X8" s="772"/>
      <c r="Y8" s="3211" t="s">
        <v>2502</v>
      </c>
      <c r="Z8" s="3212"/>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82" t="s">
        <v>2505</v>
      </c>
      <c r="Q9" s="1794"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82"/>
      <c r="Q10" s="1794"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5.48</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82"/>
      <c r="Q11" s="1794" t="str">
        <f t="shared" si="6"/>
        <v>容积率</v>
      </c>
      <c r="R11" s="770" t="s">
        <v>17</v>
      </c>
      <c r="S11" s="771">
        <f t="shared" si="0"/>
        <v>100</v>
      </c>
      <c r="T11" s="770" t="s">
        <v>17</v>
      </c>
      <c r="U11" s="771">
        <f t="shared" si="1"/>
        <v>100</v>
      </c>
      <c r="V11" s="770" t="s">
        <v>17</v>
      </c>
      <c r="W11" s="771">
        <f t="shared" si="2"/>
        <v>107</v>
      </c>
      <c r="X11" s="772"/>
      <c r="Y11" s="3033"/>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4">
        <f t="shared" si="6"/>
        <v>0</v>
      </c>
      <c r="R12" s="770" t="s">
        <v>17</v>
      </c>
      <c r="S12" s="771">
        <f t="shared" si="0"/>
        <v>100</v>
      </c>
      <c r="T12" s="770" t="s">
        <v>17</v>
      </c>
      <c r="U12" s="771">
        <f t="shared" si="1"/>
        <v>100</v>
      </c>
      <c r="V12" s="770" t="s">
        <v>17</v>
      </c>
      <c r="W12" s="771">
        <f t="shared" si="2"/>
        <v>100</v>
      </c>
      <c r="X12" s="772"/>
      <c r="Y12" s="3033"/>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4">
        <f t="shared" si="6"/>
        <v>0</v>
      </c>
      <c r="R13" s="770" t="s">
        <v>17</v>
      </c>
      <c r="S13" s="771">
        <f t="shared" si="0"/>
        <v>100</v>
      </c>
      <c r="T13" s="770" t="s">
        <v>17</v>
      </c>
      <c r="U13" s="771">
        <f t="shared" si="1"/>
        <v>100</v>
      </c>
      <c r="V13" s="770" t="s">
        <v>17</v>
      </c>
      <c r="W13" s="771">
        <f t="shared" si="2"/>
        <v>100</v>
      </c>
      <c r="X13" s="772"/>
      <c r="Y13" s="3033"/>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4">
        <f t="shared" si="6"/>
        <v>0</v>
      </c>
      <c r="R14" s="770" t="s">
        <v>17</v>
      </c>
      <c r="S14" s="771">
        <f t="shared" si="0"/>
        <v>100</v>
      </c>
      <c r="T14" s="770" t="s">
        <v>17</v>
      </c>
      <c r="U14" s="771">
        <f t="shared" si="1"/>
        <v>100</v>
      </c>
      <c r="V14" s="770" t="s">
        <v>17</v>
      </c>
      <c r="W14" s="771">
        <f t="shared" si="2"/>
        <v>100</v>
      </c>
      <c r="X14" s="772"/>
      <c r="Y14" s="3033"/>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184" t="s">
        <v>2510</v>
      </c>
      <c r="Q15" s="1809" t="str">
        <f t="shared" si="6"/>
        <v>居住社区成熟度</v>
      </c>
      <c r="R15" s="774" t="s">
        <v>17</v>
      </c>
      <c r="S15" s="775">
        <f t="shared" si="0"/>
        <v>100</v>
      </c>
      <c r="T15" s="774" t="s">
        <v>17</v>
      </c>
      <c r="U15" s="775">
        <f t="shared" si="1"/>
        <v>100</v>
      </c>
      <c r="V15" s="774" t="s">
        <v>17</v>
      </c>
      <c r="W15" s="775">
        <f t="shared" si="2"/>
        <v>100</v>
      </c>
      <c r="X15" s="1812"/>
      <c r="Y15" s="3184" t="s">
        <v>2510</v>
      </c>
      <c r="Z15" s="1813" t="str">
        <f t="shared" si="7"/>
        <v>居住社区成熟度</v>
      </c>
      <c r="AA15" s="1810">
        <f t="shared" si="3"/>
        <v>1</v>
      </c>
      <c r="AB15" s="1810">
        <f t="shared" si="4"/>
        <v>1</v>
      </c>
      <c r="AC15" s="1810">
        <f t="shared" si="5"/>
        <v>1</v>
      </c>
    </row>
    <row r="16" spans="1:30" ht="15">
      <c r="A16" s="428"/>
      <c r="B16" s="446"/>
      <c r="C16" s="3318"/>
      <c r="D16" s="448"/>
      <c r="E16" s="2604"/>
      <c r="F16" s="448"/>
      <c r="G16" s="2604"/>
      <c r="H16" s="450"/>
      <c r="I16" s="2604"/>
      <c r="J16" s="448"/>
      <c r="K16" s="672"/>
      <c r="L16" s="1140"/>
      <c r="M16" s="1131"/>
      <c r="N16" s="1131"/>
      <c r="O16" s="1139"/>
      <c r="P16" s="3185"/>
      <c r="Q16" s="1809"/>
      <c r="R16" s="774"/>
      <c r="S16" s="775"/>
      <c r="T16" s="774"/>
      <c r="U16" s="775"/>
      <c r="V16" s="774"/>
      <c r="W16" s="775"/>
      <c r="X16" s="1812"/>
      <c r="Y16" s="3185"/>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185"/>
      <c r="Q17" s="1809" t="str">
        <f>B17</f>
        <v>商业繁华度</v>
      </c>
      <c r="R17" s="774" t="s">
        <v>17</v>
      </c>
      <c r="S17" s="775">
        <f>F17</f>
        <v>100</v>
      </c>
      <c r="T17" s="774" t="s">
        <v>17</v>
      </c>
      <c r="U17" s="775">
        <f>H17</f>
        <v>100</v>
      </c>
      <c r="V17" s="774" t="s">
        <v>17</v>
      </c>
      <c r="W17" s="775">
        <f>J17</f>
        <v>100</v>
      </c>
      <c r="X17" s="1812"/>
      <c r="Y17" s="3185"/>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185"/>
      <c r="Q18" s="1809"/>
      <c r="R18" s="774"/>
      <c r="S18" s="775"/>
      <c r="T18" s="774"/>
      <c r="U18" s="775"/>
      <c r="V18" s="774"/>
      <c r="W18" s="775"/>
      <c r="X18" s="1812"/>
      <c r="Y18" s="3185"/>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185"/>
      <c r="Q19" s="1809" t="str">
        <f>B19</f>
        <v>办公集聚程度</v>
      </c>
      <c r="R19" s="774" t="s">
        <v>17</v>
      </c>
      <c r="S19" s="775">
        <f>F19</f>
        <v>100</v>
      </c>
      <c r="T19" s="774" t="s">
        <v>17</v>
      </c>
      <c r="U19" s="775">
        <f>H19</f>
        <v>100</v>
      </c>
      <c r="V19" s="774" t="s">
        <v>17</v>
      </c>
      <c r="W19" s="775">
        <f>J19</f>
        <v>100</v>
      </c>
      <c r="X19" s="1812"/>
      <c r="Y19" s="3185"/>
      <c r="Z19" s="1813" t="str">
        <f>Q19</f>
        <v>办公集聚程度</v>
      </c>
      <c r="AA19" s="1810">
        <f t="shared" si="3"/>
        <v>1</v>
      </c>
      <c r="AB19" s="1810">
        <f t="shared" si="4"/>
        <v>1</v>
      </c>
      <c r="AC19" s="1810">
        <f t="shared" si="5"/>
        <v>1</v>
      </c>
    </row>
    <row r="20" spans="1:29" ht="15">
      <c r="A20" s="428"/>
      <c r="B20" s="456"/>
      <c r="C20" s="3318"/>
      <c r="D20" s="448"/>
      <c r="E20" s="2604"/>
      <c r="F20" s="448"/>
      <c r="G20" s="2604"/>
      <c r="H20" s="448"/>
      <c r="I20" s="2604"/>
      <c r="J20" s="448"/>
      <c r="K20" s="672"/>
      <c r="L20" s="1140"/>
      <c r="M20" s="1131"/>
      <c r="N20" s="1131"/>
      <c r="O20" s="1139"/>
      <c r="P20" s="3185"/>
      <c r="Q20" s="1809"/>
      <c r="R20" s="774"/>
      <c r="S20" s="775"/>
      <c r="T20" s="774"/>
      <c r="U20" s="775"/>
      <c r="V20" s="774"/>
      <c r="W20" s="775"/>
      <c r="X20" s="1812"/>
      <c r="Y20" s="3185"/>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185"/>
      <c r="Q21" s="1809" t="str">
        <f>B21</f>
        <v>交通便捷度</v>
      </c>
      <c r="R21" s="774" t="s">
        <v>17</v>
      </c>
      <c r="S21" s="775">
        <f>F21</f>
        <v>100</v>
      </c>
      <c r="T21" s="774" t="s">
        <v>17</v>
      </c>
      <c r="U21" s="775">
        <f>H21</f>
        <v>100</v>
      </c>
      <c r="V21" s="774" t="s">
        <v>17</v>
      </c>
      <c r="W21" s="775">
        <f>J21</f>
        <v>100</v>
      </c>
      <c r="X21" s="1812"/>
      <c r="Y21" s="3185"/>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185"/>
      <c r="Q22" s="1809"/>
      <c r="R22" s="774"/>
      <c r="S22" s="775"/>
      <c r="T22" s="774"/>
      <c r="U22" s="775"/>
      <c r="V22" s="774"/>
      <c r="W22" s="775"/>
      <c r="X22" s="1812"/>
      <c r="Y22" s="3185"/>
      <c r="Z22" s="1813"/>
      <c r="AA22" s="1810">
        <v>1</v>
      </c>
      <c r="AB22" s="1810">
        <v>1</v>
      </c>
      <c r="AC22" s="1810">
        <v>1</v>
      </c>
    </row>
    <row r="23" spans="1:29" ht="15">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185"/>
      <c r="Q23" s="1809" t="str">
        <f t="shared" ref="Q23:Q37" si="8">B23</f>
        <v>区域土地利用方向</v>
      </c>
      <c r="R23" s="774" t="s">
        <v>17</v>
      </c>
      <c r="S23" s="775">
        <f>F23</f>
        <v>100</v>
      </c>
      <c r="T23" s="774" t="s">
        <v>17</v>
      </c>
      <c r="U23" s="775">
        <f>H23</f>
        <v>100</v>
      </c>
      <c r="V23" s="774" t="s">
        <v>17</v>
      </c>
      <c r="W23" s="775">
        <f>J23</f>
        <v>100</v>
      </c>
      <c r="X23" s="1812"/>
      <c r="Y23" s="3185"/>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185"/>
      <c r="Q24" s="1809"/>
      <c r="R24" s="774"/>
      <c r="S24" s="775"/>
      <c r="T24" s="774"/>
      <c r="U24" s="775"/>
      <c r="V24" s="774"/>
      <c r="W24" s="775"/>
      <c r="X24" s="1812"/>
      <c r="Y24" s="3185"/>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185"/>
      <c r="Q25" s="1809" t="str">
        <f t="shared" si="8"/>
        <v>自然及人文环境状况</v>
      </c>
      <c r="R25" s="774" t="s">
        <v>17</v>
      </c>
      <c r="S25" s="775">
        <f>F25</f>
        <v>100</v>
      </c>
      <c r="T25" s="774" t="s">
        <v>17</v>
      </c>
      <c r="U25" s="775">
        <f>H25</f>
        <v>100</v>
      </c>
      <c r="V25" s="774" t="s">
        <v>17</v>
      </c>
      <c r="W25" s="775">
        <f>J25</f>
        <v>100</v>
      </c>
      <c r="X25" s="1812"/>
      <c r="Y25" s="3185"/>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185"/>
      <c r="Q26" s="1809"/>
      <c r="R26" s="774"/>
      <c r="S26" s="775"/>
      <c r="T26" s="774"/>
      <c r="U26" s="775"/>
      <c r="V26" s="774"/>
      <c r="W26" s="775"/>
      <c r="X26" s="1812"/>
      <c r="Y26" s="3185"/>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185"/>
      <c r="Q27" s="1794" t="str">
        <f t="shared" si="8"/>
        <v>公共配套设施</v>
      </c>
      <c r="R27" s="770" t="s">
        <v>17</v>
      </c>
      <c r="S27" s="771">
        <f>F27</f>
        <v>100</v>
      </c>
      <c r="T27" s="770" t="s">
        <v>17</v>
      </c>
      <c r="U27" s="771">
        <f>H27</f>
        <v>100</v>
      </c>
      <c r="V27" s="770" t="s">
        <v>17</v>
      </c>
      <c r="W27" s="771">
        <f>J27</f>
        <v>100</v>
      </c>
      <c r="X27" s="772"/>
      <c r="Y27" s="3185"/>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185"/>
      <c r="Q28" s="1794"/>
      <c r="R28" s="770"/>
      <c r="S28" s="771"/>
      <c r="T28" s="770"/>
      <c r="U28" s="771"/>
      <c r="V28" s="770"/>
      <c r="W28" s="771"/>
      <c r="X28" s="772"/>
      <c r="Y28" s="3185"/>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185"/>
      <c r="Q29" s="1794"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185"/>
      <c r="Q30" s="1794"/>
      <c r="R30" s="770"/>
      <c r="S30" s="771"/>
      <c r="T30" s="770"/>
      <c r="U30" s="771"/>
      <c r="V30" s="770"/>
      <c r="W30" s="771"/>
      <c r="X30" s="772"/>
      <c r="Y30" s="3185"/>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18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5"/>
      <c r="Z31" s="1813" t="str">
        <f t="shared" ref="Z31:Z45" si="13">Q31</f>
        <v>临街状况</v>
      </c>
      <c r="AA31" s="1810">
        <f t="shared" si="3"/>
        <v>1</v>
      </c>
      <c r="AB31" s="1810">
        <f t="shared" si="4"/>
        <v>1</v>
      </c>
      <c r="AC31" s="1810">
        <f t="shared" si="5"/>
        <v>1</v>
      </c>
    </row>
    <row r="32" spans="1:29" ht="27">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185"/>
      <c r="Q32" s="1809" t="str">
        <f t="shared" si="8"/>
        <v>毗邻道路的类型与等级</v>
      </c>
      <c r="R32" s="774" t="s">
        <v>17</v>
      </c>
      <c r="S32" s="775">
        <f t="shared" si="10"/>
        <v>100</v>
      </c>
      <c r="T32" s="774" t="s">
        <v>17</v>
      </c>
      <c r="U32" s="775">
        <f t="shared" si="11"/>
        <v>100</v>
      </c>
      <c r="V32" s="774" t="s">
        <v>17</v>
      </c>
      <c r="W32" s="775">
        <f t="shared" si="12"/>
        <v>100</v>
      </c>
      <c r="X32" s="1812"/>
      <c r="Y32" s="3185"/>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185"/>
      <c r="Q33" s="1809"/>
      <c r="R33" s="774"/>
      <c r="S33" s="775"/>
      <c r="T33" s="774"/>
      <c r="U33" s="775"/>
      <c r="V33" s="774"/>
      <c r="W33" s="775"/>
      <c r="X33" s="1812"/>
      <c r="Y33" s="3185"/>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185"/>
      <c r="Q34" s="1809" t="str">
        <f t="shared" si="8"/>
        <v>土地级别</v>
      </c>
      <c r="R34" s="774" t="s">
        <v>17</v>
      </c>
      <c r="S34" s="775">
        <f t="shared" si="10"/>
        <v>100</v>
      </c>
      <c r="T34" s="774" t="s">
        <v>17</v>
      </c>
      <c r="U34" s="775">
        <f t="shared" si="11"/>
        <v>100</v>
      </c>
      <c r="V34" s="774" t="s">
        <v>17</v>
      </c>
      <c r="W34" s="775">
        <f t="shared" si="12"/>
        <v>100</v>
      </c>
      <c r="X34" s="1812"/>
      <c r="Y34" s="3185"/>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09">
        <f t="shared" si="8"/>
        <v>0</v>
      </c>
      <c r="R35" s="774" t="s">
        <v>17</v>
      </c>
      <c r="S35" s="775">
        <f t="shared" si="10"/>
        <v>100</v>
      </c>
      <c r="T35" s="774" t="s">
        <v>17</v>
      </c>
      <c r="U35" s="775">
        <f t="shared" si="11"/>
        <v>100</v>
      </c>
      <c r="V35" s="774" t="s">
        <v>17</v>
      </c>
      <c r="W35" s="775">
        <f t="shared" si="12"/>
        <v>100</v>
      </c>
      <c r="X35" s="1812"/>
      <c r="Y35" s="3185"/>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6" t="s">
        <v>2515</v>
      </c>
      <c r="Q36" s="1809">
        <f t="shared" si="8"/>
        <v>0</v>
      </c>
      <c r="R36" s="774" t="s">
        <v>17</v>
      </c>
      <c r="S36" s="775">
        <f t="shared" si="10"/>
        <v>100</v>
      </c>
      <c r="T36" s="774" t="s">
        <v>17</v>
      </c>
      <c r="U36" s="775">
        <f t="shared" si="11"/>
        <v>100</v>
      </c>
      <c r="V36" s="774" t="s">
        <v>17</v>
      </c>
      <c r="W36" s="775">
        <f t="shared" si="12"/>
        <v>100</v>
      </c>
      <c r="X36" s="1812"/>
      <c r="Y36" s="3187"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09">
        <f t="shared" si="8"/>
        <v>0</v>
      </c>
      <c r="R37" s="777" t="s">
        <v>17</v>
      </c>
      <c r="S37" s="778">
        <f t="shared" si="10"/>
        <v>100</v>
      </c>
      <c r="T37" s="777" t="s">
        <v>17</v>
      </c>
      <c r="U37" s="778">
        <f t="shared" si="11"/>
        <v>100</v>
      </c>
      <c r="V37" s="777" t="s">
        <v>17</v>
      </c>
      <c r="W37" s="778">
        <f t="shared" si="12"/>
        <v>100</v>
      </c>
      <c r="X37" s="779"/>
      <c r="Y37" s="3187"/>
      <c r="Z37" s="780">
        <f t="shared" si="13"/>
        <v>0</v>
      </c>
      <c r="AA37" s="1810">
        <f t="shared" si="3"/>
        <v>1</v>
      </c>
      <c r="AB37" s="1810">
        <f t="shared" si="4"/>
        <v>1</v>
      </c>
      <c r="AC37" s="1810">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187"/>
      <c r="Q38" s="1809" t="str">
        <f>B38</f>
        <v>宗地面积</v>
      </c>
      <c r="R38" s="774" t="s">
        <v>17</v>
      </c>
      <c r="S38" s="775">
        <f t="shared" si="10"/>
        <v>101</v>
      </c>
      <c r="T38" s="774" t="s">
        <v>17</v>
      </c>
      <c r="U38" s="775">
        <f t="shared" si="11"/>
        <v>101</v>
      </c>
      <c r="V38" s="774" t="s">
        <v>17</v>
      </c>
      <c r="W38" s="775">
        <f t="shared" si="12"/>
        <v>100</v>
      </c>
      <c r="X38" s="1812"/>
      <c r="Y38" s="3187"/>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187"/>
      <c r="Q39" s="1809" t="str">
        <f t="shared" ref="Q39:Q45" si="14">B39</f>
        <v>宗地形状</v>
      </c>
      <c r="R39" s="774" t="s">
        <v>17</v>
      </c>
      <c r="S39" s="775">
        <f t="shared" si="10"/>
        <v>100</v>
      </c>
      <c r="T39" s="774" t="s">
        <v>17</v>
      </c>
      <c r="U39" s="775">
        <f t="shared" si="11"/>
        <v>100</v>
      </c>
      <c r="V39" s="774" t="s">
        <v>17</v>
      </c>
      <c r="W39" s="775">
        <f t="shared" si="12"/>
        <v>100</v>
      </c>
      <c r="X39" s="1812"/>
      <c r="Y39" s="3187"/>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187"/>
      <c r="Q40" s="1809" t="str">
        <f t="shared" si="14"/>
        <v>临街宽度及深度</v>
      </c>
      <c r="R40" s="774" t="s">
        <v>17</v>
      </c>
      <c r="S40" s="775">
        <f t="shared" si="10"/>
        <v>100</v>
      </c>
      <c r="T40" s="774" t="s">
        <v>17</v>
      </c>
      <c r="U40" s="775">
        <f t="shared" si="11"/>
        <v>100</v>
      </c>
      <c r="V40" s="774" t="s">
        <v>17</v>
      </c>
      <c r="W40" s="775">
        <f t="shared" si="12"/>
        <v>100</v>
      </c>
      <c r="X40" s="1812"/>
      <c r="Y40" s="3187"/>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187"/>
      <c r="Q41" s="1809"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187" t="s">
        <v>2515</v>
      </c>
      <c r="Q42" s="1809" t="str">
        <f t="shared" si="14"/>
        <v>工程地质条件</v>
      </c>
      <c r="R42" s="774" t="s">
        <v>17</v>
      </c>
      <c r="S42" s="775">
        <f t="shared" si="10"/>
        <v>100</v>
      </c>
      <c r="T42" s="774" t="s">
        <v>17</v>
      </c>
      <c r="U42" s="775">
        <f t="shared" si="11"/>
        <v>100</v>
      </c>
      <c r="V42" s="774" t="s">
        <v>17</v>
      </c>
      <c r="W42" s="775">
        <f t="shared" si="12"/>
        <v>100</v>
      </c>
      <c r="X42" s="1812"/>
      <c r="Y42" s="3187"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09">
        <f t="shared" si="14"/>
        <v>0</v>
      </c>
      <c r="R43" s="774" t="s">
        <v>17</v>
      </c>
      <c r="S43" s="775">
        <f t="shared" si="10"/>
        <v>100</v>
      </c>
      <c r="T43" s="774" t="s">
        <v>17</v>
      </c>
      <c r="U43" s="775">
        <f t="shared" si="11"/>
        <v>100</v>
      </c>
      <c r="V43" s="774" t="s">
        <v>17</v>
      </c>
      <c r="W43" s="775">
        <f t="shared" si="12"/>
        <v>100</v>
      </c>
      <c r="X43" s="1812"/>
      <c r="Y43" s="3187"/>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09">
        <f t="shared" si="14"/>
        <v>0</v>
      </c>
      <c r="R44" s="774" t="s">
        <v>17</v>
      </c>
      <c r="S44" s="775">
        <f t="shared" si="10"/>
        <v>100</v>
      </c>
      <c r="T44" s="774" t="s">
        <v>17</v>
      </c>
      <c r="U44" s="775">
        <f t="shared" si="11"/>
        <v>100</v>
      </c>
      <c r="V44" s="774" t="s">
        <v>17</v>
      </c>
      <c r="W44" s="775">
        <f t="shared" si="12"/>
        <v>100</v>
      </c>
      <c r="X44" s="1812"/>
      <c r="Y44" s="3187"/>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09">
        <f t="shared" si="14"/>
        <v>0</v>
      </c>
      <c r="R45" s="777" t="s">
        <v>17</v>
      </c>
      <c r="S45" s="778">
        <f t="shared" si="10"/>
        <v>100</v>
      </c>
      <c r="T45" s="777" t="s">
        <v>17</v>
      </c>
      <c r="U45" s="778">
        <f t="shared" si="11"/>
        <v>100</v>
      </c>
      <c r="V45" s="777" t="s">
        <v>17</v>
      </c>
      <c r="W45" s="778">
        <f t="shared" si="12"/>
        <v>100</v>
      </c>
      <c r="X45" s="779"/>
      <c r="Y45" s="3187"/>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82" t="str">
        <f>A46</f>
        <v>成交单价</v>
      </c>
      <c r="Q46" s="3182"/>
      <c r="R46" s="3188">
        <f>E46</f>
        <v>1778</v>
      </c>
      <c r="S46" s="3188"/>
      <c r="T46" s="3188">
        <f>G46</f>
        <v>1773</v>
      </c>
      <c r="U46" s="3188"/>
      <c r="V46" s="3188">
        <f>I46</f>
        <v>2178</v>
      </c>
      <c r="W46" s="3188"/>
      <c r="X46" s="759"/>
      <c r="Y46" s="781"/>
      <c r="Z46" s="759"/>
      <c r="AA46" s="759"/>
      <c r="AB46" s="759"/>
      <c r="AC46" s="759"/>
    </row>
    <row r="47" spans="1:29" ht="15.75" thickBot="1">
      <c r="A47" s="486" t="s">
        <v>2618</v>
      </c>
      <c r="B47" s="683"/>
      <c r="C47" s="490">
        <f>R48</f>
        <v>1797</v>
      </c>
      <c r="D47" s="489"/>
      <c r="E47" s="490">
        <f>R47</f>
        <v>1694</v>
      </c>
      <c r="F47" s="491"/>
      <c r="G47" s="488">
        <f>T47</f>
        <v>1689</v>
      </c>
      <c r="H47" s="489"/>
      <c r="I47" s="490">
        <f>V47</f>
        <v>2009</v>
      </c>
      <c r="J47" s="489"/>
      <c r="K47" s="784"/>
      <c r="L47" s="1143"/>
      <c r="M47" s="1144"/>
      <c r="N47" s="1144"/>
      <c r="O47" s="1144"/>
      <c r="P47" s="3182" t="str">
        <f>A47</f>
        <v>比较价值（元/平方米）</v>
      </c>
      <c r="Q47" s="3182"/>
      <c r="R47" s="3175">
        <f>ROUND(PRODUCT(R46,AA7:AA45),0)</f>
        <v>1694</v>
      </c>
      <c r="S47" s="3175"/>
      <c r="T47" s="3175">
        <f>ROUND(PRODUCT(T46,AB7:AB45),0)</f>
        <v>1689</v>
      </c>
      <c r="U47" s="3175"/>
      <c r="V47" s="3175">
        <f>ROUND(PRODUCT(V46,AC7:AC45),0)</f>
        <v>2009</v>
      </c>
      <c r="W47" s="3175"/>
      <c r="X47" s="759"/>
      <c r="Y47" s="759"/>
      <c r="Z47" s="759"/>
      <c r="AA47" s="759"/>
      <c r="AB47" s="759"/>
      <c r="AC47" s="759"/>
    </row>
    <row r="48" spans="1:29" ht="15.75" thickBot="1">
      <c r="A48" s="492" t="s">
        <v>3279</v>
      </c>
      <c r="B48" s="493"/>
      <c r="C48" s="494">
        <f>R48</f>
        <v>1797</v>
      </c>
      <c r="D48" s="494"/>
      <c r="E48" s="494"/>
      <c r="F48" s="494"/>
      <c r="G48" s="494"/>
      <c r="H48" s="494"/>
      <c r="I48" s="494"/>
      <c r="J48" s="494"/>
      <c r="K48" s="785"/>
      <c r="L48" s="1143"/>
      <c r="M48" s="1144"/>
      <c r="N48" s="1144"/>
      <c r="O48" s="1144"/>
      <c r="P48" s="3176" t="str">
        <f>A48</f>
        <v>估价对象地上用房的比较价值（楼面单价，元/平方米）</v>
      </c>
      <c r="Q48" s="3177"/>
      <c r="R48" s="3178">
        <f>ROUND(AVERAGE(R47:V47),0)</f>
        <v>1797</v>
      </c>
      <c r="S48" s="3178"/>
      <c r="T48" s="3178"/>
      <c r="U48" s="3178"/>
      <c r="V48" s="3178"/>
      <c r="W48" s="31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179" t="s">
        <v>2711</v>
      </c>
      <c r="H55" s="3180"/>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45426.31</v>
      </c>
      <c r="F56" s="1103">
        <f t="shared" ref="F56:F65" si="15">ROUND(B56*E56/10000,0)</f>
        <v>8163</v>
      </c>
      <c r="G56" s="3181"/>
      <c r="H56" s="3182"/>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183"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183"/>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183"/>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183"/>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7870.73</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53297.039999999994</v>
      </c>
      <c r="F66" s="697">
        <f>IF(B46="楼面地价",SUM(F56:F65),ROUND(C48*E66/10000,0))</f>
        <v>8163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3281</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89" t="str">
        <f>项目基本情况!B1</f>
        <v>山东省济南市槐荫区西客站片区淮坊路东侧、威海路北侧D-1一期出让国有建设用地使用权及在建建筑物房地产抵押价值预评估</v>
      </c>
      <c r="C37" s="2989"/>
      <c r="D37" s="2989"/>
      <c r="E37" s="2989"/>
      <c r="F37" s="2989"/>
      <c r="G37" s="2989"/>
      <c r="H37" s="2989"/>
      <c r="I37" s="2989"/>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10</v>
      </c>
    </row>
    <row r="2" spans="1:9" s="244" customFormat="1" ht="18" customHeight="1">
      <c r="A2" s="245" t="s">
        <v>2280</v>
      </c>
      <c r="B2" s="246">
        <f ca="1">IF(D2="——",C52,C52-E2)</f>
        <v>24364</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4571</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8412</v>
      </c>
      <c r="D5" s="255" t="s">
        <v>2287</v>
      </c>
      <c r="E5" s="256" t="s">
        <v>2288</v>
      </c>
      <c r="F5" s="256" t="s">
        <v>2289</v>
      </c>
      <c r="G5" s="257"/>
    </row>
    <row r="6" spans="1:9" s="258" customFormat="1" ht="13.5" customHeight="1">
      <c r="A6" s="949" t="s">
        <v>2290</v>
      </c>
      <c r="B6" s="259" t="s">
        <v>2291</v>
      </c>
      <c r="C6" s="260">
        <f>'土地比较法-住宅、综合'!B2</f>
        <v>8163</v>
      </c>
      <c r="D6" s="261"/>
      <c r="E6" s="262"/>
      <c r="F6" s="262"/>
      <c r="G6" s="263"/>
    </row>
    <row r="7" spans="1:9" s="258" customFormat="1" ht="13.5" customHeight="1">
      <c r="A7" s="949" t="s">
        <v>2292</v>
      </c>
      <c r="B7" s="259" t="s">
        <v>2293</v>
      </c>
      <c r="C7" s="264">
        <f>ROUND(C6*F7,0)</f>
        <v>249</v>
      </c>
      <c r="D7" s="264"/>
      <c r="E7" s="262"/>
      <c r="F7" s="265">
        <f>'数据-取费表'!B48+'数据-取费表'!B49</f>
        <v>3.0499999999999999E-2</v>
      </c>
      <c r="G7" s="263"/>
    </row>
    <row r="8" spans="1:9" s="267" customFormat="1">
      <c r="A8" s="949" t="s">
        <v>2294</v>
      </c>
      <c r="B8" s="259" t="s">
        <v>2295</v>
      </c>
      <c r="C8" s="3319">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650</v>
      </c>
      <c r="D10" s="1032">
        <f ca="1">IF(B1="",'数据-汇总表'!E6,IF(INDIRECT("'数据-取费表'!c"&amp;$G$1)="住宅",INDIRECT("'数据-取费表'!s"&amp;$G$1),INDIRECT("'数据-取费表'!k"&amp;$G$1)+INDIRECT("'数据-取费表'!s"&amp;$G$1)))</f>
        <v>53297.039999999994</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53297.039999999994</v>
      </c>
      <c r="E19" s="255">
        <f>'数据-取费表'!B31</f>
        <v>150</v>
      </c>
      <c r="F19" s="275"/>
      <c r="G19" s="2549" t="s">
        <v>3050</v>
      </c>
    </row>
    <row r="20" spans="1:7" s="258" customFormat="1" ht="13.5" customHeight="1">
      <c r="A20" s="299" t="s">
        <v>2311</v>
      </c>
      <c r="B20" s="254" t="s">
        <v>2312</v>
      </c>
      <c r="C20" s="276">
        <f>ROUND((C5+C19)*F20,0)</f>
        <v>84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609</v>
      </c>
      <c r="D22" s="279">
        <f ca="1">C26</f>
        <v>4.0000000000000002E-4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606</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3</v>
      </c>
      <c r="D25" s="282"/>
      <c r="E25" s="285"/>
      <c r="F25" s="283"/>
      <c r="G25" s="286" t="s">
        <v>2328</v>
      </c>
    </row>
    <row r="26" spans="1:7" s="258" customFormat="1">
      <c r="A26" s="951" t="s">
        <v>794</v>
      </c>
      <c r="B26" s="259" t="s">
        <v>2329</v>
      </c>
      <c r="C26" s="282">
        <f ca="1">ROUND(IF('数据-取费表'!B22&lt;=1,F21*F22*'数据-取费表'!B23/2,F21*(POWER((1+F22),'数据-取费表'!B23/2)-1)),4)</f>
        <v>4.0000000000000002E-4</v>
      </c>
      <c r="D26" s="282"/>
      <c r="E26" s="285"/>
      <c r="F26" s="283"/>
      <c r="G26" s="287"/>
    </row>
    <row r="27" spans="1:7" s="258" customFormat="1" ht="24.75">
      <c r="A27" s="299" t="s">
        <v>2330</v>
      </c>
      <c r="B27" s="288" t="s">
        <v>2331</v>
      </c>
      <c r="C27" s="289">
        <f ca="1">C28</f>
        <v>969</v>
      </c>
      <c r="D27" s="279">
        <f ca="1">C29</f>
        <v>1.1000000000000001E-3</v>
      </c>
      <c r="E27" s="280" t="s">
        <v>2332</v>
      </c>
      <c r="F27" s="290">
        <f ca="1">IF(B1="",'数据-取费表'!Q16,INDIRECT("'数据-取费表'!q"&amp;$G$1))</f>
        <v>0.19</v>
      </c>
      <c r="G27" s="291" t="s">
        <v>2333</v>
      </c>
    </row>
    <row r="28" spans="1:7" s="258" customFormat="1" ht="13.5" customHeight="1">
      <c r="A28" s="951" t="s">
        <v>790</v>
      </c>
      <c r="B28" s="292" t="s">
        <v>2334</v>
      </c>
      <c r="C28" s="293">
        <f ca="1">ROUND((C5+C19+C20)*F27*'数据-取费表'!B21/'数据-取费表'!B20,0)</f>
        <v>969</v>
      </c>
      <c r="D28" s="279"/>
      <c r="E28" s="280"/>
      <c r="F28" s="290"/>
      <c r="G28" s="291"/>
    </row>
    <row r="29" spans="1:7" s="258" customFormat="1" ht="13.5" customHeight="1">
      <c r="A29" s="951" t="s">
        <v>791</v>
      </c>
      <c r="B29" s="292" t="s">
        <v>2335</v>
      </c>
      <c r="C29" s="282">
        <f ca="1">ROUND(C21*F27*'数据-取费表'!B21/'数据-取费表'!B20,4)</f>
        <v>1.1000000000000001E-3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10772</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10261</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9222</v>
      </c>
      <c r="D34" s="261"/>
      <c r="E34" s="264"/>
      <c r="F34" s="301">
        <f ca="1">IF('数据-取费表'!B24=0,1,IF(B1="",'数据-取费表'!N16,INDIRECT("'数据-取费表'!n"&amp;$G$1)))</f>
        <v>0.55000000000000004</v>
      </c>
      <c r="G34" s="263" t="s">
        <v>2344</v>
      </c>
    </row>
    <row r="35" spans="1:7" ht="13.5" customHeight="1">
      <c r="A35" s="951" t="s">
        <v>795</v>
      </c>
      <c r="B35" s="259" t="s">
        <v>2345</v>
      </c>
      <c r="C35" s="264">
        <f ca="1">ROUND(C34*F35,0)</f>
        <v>461</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440</v>
      </c>
      <c r="D37" s="261">
        <f ca="1">D19</f>
        <v>53297.039999999994</v>
      </c>
      <c r="E37" s="293">
        <f>'数据-取费表'!B35</f>
        <v>150</v>
      </c>
      <c r="F37" s="303"/>
      <c r="G37" s="305" t="s">
        <v>2350</v>
      </c>
    </row>
    <row r="38" spans="1:7" ht="13.5" customHeight="1">
      <c r="A38" s="951" t="s">
        <v>798</v>
      </c>
      <c r="B38" s="259" t="s">
        <v>2351</v>
      </c>
      <c r="C38" s="264">
        <f ca="1">ROUND(C34*F38,0)</f>
        <v>138</v>
      </c>
      <c r="D38" s="264"/>
      <c r="E38" s="264"/>
      <c r="F38" s="303">
        <f>'数据-取费表'!B36</f>
        <v>1.4999999999999999E-2</v>
      </c>
      <c r="G38" s="263" t="s">
        <v>2346</v>
      </c>
    </row>
    <row r="39" spans="1:7" s="258" customFormat="1" ht="13.5" customHeight="1">
      <c r="A39" s="299" t="s">
        <v>2352</v>
      </c>
      <c r="B39" s="254" t="s">
        <v>2353</v>
      </c>
      <c r="C39" s="276">
        <f ca="1">ROUND(C33*F20,0)</f>
        <v>103</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367</v>
      </c>
      <c r="D41" s="279">
        <f ca="1">C44</f>
        <v>4.0000000000000002E-4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363</v>
      </c>
      <c r="D42" s="282"/>
      <c r="E42" s="282"/>
      <c r="F42" s="283"/>
      <c r="G42" s="3219" t="s">
        <v>2362</v>
      </c>
    </row>
    <row r="43" spans="1:7" ht="13.5" customHeight="1">
      <c r="A43" s="951" t="s">
        <v>791</v>
      </c>
      <c r="B43" s="259" t="s">
        <v>2363</v>
      </c>
      <c r="C43" s="282">
        <f ca="1">ROUND(IF('数据-取费表'!B22&lt;=1,C39*F22*'数据-取费表'!B21/2,C39*(POWER((1+F22),'数据-取费表'!B21/2)-1)),0)</f>
        <v>4</v>
      </c>
      <c r="D43" s="282"/>
      <c r="E43" s="282"/>
      <c r="F43" s="283"/>
      <c r="G43" s="3220"/>
    </row>
    <row r="44" spans="1:7" ht="13.5" customHeight="1">
      <c r="A44" s="951" t="s">
        <v>792</v>
      </c>
      <c r="B44" s="259" t="s">
        <v>2364</v>
      </c>
      <c r="C44" s="282">
        <f ca="1">ROUND(IF('数据-取费表'!B22&lt;=1,C40*F22*'数据-取费表'!B21/2,C40*(POWER((1+F22),'数据-取费表'!B21/2)-1)),4)</f>
        <v>4.0000000000000002E-4</v>
      </c>
      <c r="D44" s="282"/>
      <c r="E44" s="282"/>
      <c r="F44" s="283"/>
      <c r="G44" s="3221"/>
    </row>
    <row r="45" spans="1:7" s="258" customFormat="1" ht="13.5" customHeight="1">
      <c r="A45" s="299" t="s">
        <v>2365</v>
      </c>
      <c r="B45" s="288" t="s">
        <v>2331</v>
      </c>
      <c r="C45" s="289">
        <f ca="1">C46</f>
        <v>1969</v>
      </c>
      <c r="D45" s="279">
        <f ca="1">C47</f>
        <v>1.9E-3</v>
      </c>
      <c r="E45" s="280" t="s">
        <v>2357</v>
      </c>
      <c r="F45" s="290"/>
      <c r="G45" s="291" t="s">
        <v>2366</v>
      </c>
    </row>
    <row r="46" spans="1:7" s="258" customFormat="1" ht="13.5" customHeight="1">
      <c r="A46" s="951" t="s">
        <v>790</v>
      </c>
      <c r="B46" s="292" t="s">
        <v>2367</v>
      </c>
      <c r="C46" s="293">
        <f ca="1">ROUND((C33+C39)*F27,0)</f>
        <v>1969</v>
      </c>
      <c r="D46" s="307"/>
      <c r="E46" s="280"/>
      <c r="F46" s="290"/>
      <c r="G46" s="291"/>
    </row>
    <row r="47" spans="1:7" s="258" customFormat="1" ht="13.5" customHeight="1">
      <c r="A47" s="951" t="s">
        <v>791</v>
      </c>
      <c r="B47" s="292" t="s">
        <v>2368</v>
      </c>
      <c r="C47" s="282">
        <f ca="1">ROUND(C40*F27,4)</f>
        <v>1.9E-3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13592</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13592</v>
      </c>
      <c r="D51" s="276"/>
      <c r="E51" s="276"/>
      <c r="F51" s="308"/>
      <c r="G51" s="278" t="s">
        <v>2378</v>
      </c>
    </row>
    <row r="52" spans="1:7" s="252" customFormat="1" ht="16.5" thickBot="1">
      <c r="A52" s="309" t="s">
        <v>2379</v>
      </c>
      <c r="B52" s="310"/>
      <c r="C52" s="311">
        <f ca="1">C31+C51</f>
        <v>24364</v>
      </c>
      <c r="D52" s="310"/>
      <c r="E52" s="310"/>
      <c r="F52" s="310"/>
      <c r="G52" s="312"/>
    </row>
    <row r="55" spans="1:7" ht="15">
      <c r="B55" s="314" t="s">
        <v>2380</v>
      </c>
      <c r="C55" s="315"/>
    </row>
    <row r="56" spans="1:7">
      <c r="B56" s="317" t="s">
        <v>1505</v>
      </c>
      <c r="C56" s="319">
        <f ca="1">1-C57</f>
        <v>0.44199999999999995</v>
      </c>
    </row>
    <row r="57" spans="1:7">
      <c r="B57" s="317" t="s">
        <v>1506</v>
      </c>
      <c r="C57" s="318">
        <f ca="1">ROUND(C51/C52,3)</f>
        <v>0.55800000000000005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8" sqref="I3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10</v>
      </c>
    </row>
    <row r="2" spans="1:33" ht="18" customHeight="1">
      <c r="A2" s="245" t="s">
        <v>2280</v>
      </c>
      <c r="B2" s="248">
        <f ca="1">C32</f>
        <v>39710</v>
      </c>
      <c r="C2" s="320" t="s">
        <v>2413</v>
      </c>
      <c r="D2" s="320"/>
      <c r="E2" s="320"/>
      <c r="F2" s="320"/>
      <c r="G2" s="320"/>
      <c r="H2" s="320"/>
      <c r="I2" s="320"/>
      <c r="J2" s="320"/>
      <c r="K2" s="320"/>
    </row>
    <row r="3" spans="1:33" ht="18" customHeight="1" thickBot="1">
      <c r="A3" s="247" t="s">
        <v>2282</v>
      </c>
      <c r="B3" s="248">
        <f ca="1">ROUND(B2*10000/IF(C1="",'数据-汇总表'!E3,INDIRECT("'数据-取费表'!K"&amp;$K$1)),0)</f>
        <v>7451</v>
      </c>
      <c r="C3" s="320" t="s">
        <v>2414</v>
      </c>
      <c r="D3" s="320"/>
      <c r="E3" s="320"/>
      <c r="F3" s="320"/>
      <c r="G3" s="320"/>
      <c r="H3" s="320"/>
      <c r="I3" s="320"/>
      <c r="J3" s="320"/>
      <c r="K3" s="320"/>
    </row>
    <row r="4" spans="1:33" s="956" customFormat="1" ht="16.5" customHeight="1">
      <c r="A4" s="953" t="s">
        <v>2415</v>
      </c>
      <c r="B4" s="954"/>
      <c r="C4" s="996">
        <f ca="1">SUM(C8:K8)</f>
        <v>60552</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t="s">
        <v>3351</v>
      </c>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10979</v>
      </c>
      <c r="D6" s="962">
        <f ca="1">'收益法-商业'!B3</f>
        <v>19771</v>
      </c>
      <c r="E6" s="962">
        <f ca="1">'收益法-地下车库'!B3</f>
        <v>4386</v>
      </c>
      <c r="F6" s="962">
        <f>'比较法-LOFT公寓'!B3</f>
        <v>12077</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12632.12</v>
      </c>
      <c r="D7" s="321">
        <f>SUMIF('数据-汇总表'!$C19:$C33,假设开发法!D5,'数据-汇总表'!$E19:$E33)</f>
        <v>4712.3900000000003</v>
      </c>
      <c r="E7" s="321">
        <f>SUMIF('数据-汇总表'!$C19:$C33,假设开发法!E5,'数据-汇总表'!$E19:$E33)</f>
        <v>7870.73</v>
      </c>
      <c r="F7" s="321">
        <f>SUMIF('数据-汇总表'!$C19:$C33,假设开发法!F5,'数据-汇总表'!$E19:$E33)</f>
        <v>28081.800000000003</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13.328185328185327</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13869</v>
      </c>
      <c r="D8" s="997">
        <f ca="1">'收益法-商业'!B2</f>
        <v>9317</v>
      </c>
      <c r="E8" s="997">
        <f ca="1">'收益法-地下车库'!B2</f>
        <v>3452</v>
      </c>
      <c r="F8" s="998">
        <f>'比较法-LOFT公寓'!B2</f>
        <v>33914</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7544</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1327</v>
      </c>
      <c r="B12" s="972" t="s">
        <v>2431</v>
      </c>
      <c r="C12" s="24">
        <f ca="1">ROUND(C11*F12,0)</f>
        <v>377</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360</v>
      </c>
      <c r="D14" s="1033">
        <f ca="1">IF(C1="",'数据-汇总表'!E3,INDIRECT("'数据-取费表'!K"&amp;$K$1)+INDIRECT("'数据-取费表'!S"&amp;$K$1))</f>
        <v>53297.039999999994</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113</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8394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53297.039999999994</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650</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650</v>
      </c>
      <c r="D20" s="1033">
        <f ca="1">IF(C1="",'数据-汇总表'!E6,IF(INDIRECT("'数据-取费表'!c"&amp;$K$1)="住宅",INDIRECT("'数据-取费表'!s"&amp;$K$1),INDIRECT("'数据-取费表'!k"&amp;$K$1)+INDIRECT("'数据-取费表'!s"&amp;$K$1)))</f>
        <v>53297.039999999994</v>
      </c>
      <c r="E20" s="24">
        <f>'数据-取费表'!B28</f>
        <v>122</v>
      </c>
      <c r="F20" s="976"/>
      <c r="G20" s="15"/>
      <c r="H20" s="981"/>
      <c r="I20" s="981"/>
      <c r="J20" s="981"/>
      <c r="K20" s="982"/>
    </row>
    <row r="21" spans="1:33" s="975" customFormat="1" ht="13.5" customHeight="1">
      <c r="A21" s="961" t="s">
        <v>801</v>
      </c>
      <c r="B21" s="985" t="s">
        <v>2446</v>
      </c>
      <c r="C21" s="986">
        <f ca="1">C16+C17+C18</f>
        <v>9044</v>
      </c>
      <c r="D21" s="987"/>
      <c r="E21" s="325"/>
      <c r="F21" s="325"/>
      <c r="G21" s="140" t="s">
        <v>2447</v>
      </c>
      <c r="H21" s="979"/>
      <c r="I21" s="979"/>
      <c r="J21" s="979"/>
      <c r="K21" s="980"/>
    </row>
    <row r="22" spans="1:33" s="975" customFormat="1" ht="13.5" customHeight="1">
      <c r="A22" s="961" t="s">
        <v>2419</v>
      </c>
      <c r="B22" s="985" t="s">
        <v>2448</v>
      </c>
      <c r="C22" s="986">
        <f ca="1">ROUND(C21*F22,0)</f>
        <v>90</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272</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221</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4.8899999999999999E-2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221</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1787</v>
      </c>
      <c r="D28" s="324">
        <f ca="1">C29</f>
        <v>7.8200000000000006E-2</v>
      </c>
      <c r="E28" s="326" t="s">
        <v>15</v>
      </c>
      <c r="F28" s="332">
        <f ca="1">IF(C1="",'数据-取费表'!Q16,INDIRECT("'数据-取费表'!q"&amp;$K$1))</f>
        <v>0.19</v>
      </c>
      <c r="G28" s="989"/>
      <c r="H28" s="990"/>
      <c r="I28" s="990"/>
      <c r="J28" s="990"/>
      <c r="K28" s="991"/>
    </row>
    <row r="29" spans="1:33" s="335" customFormat="1" ht="13.5" customHeight="1">
      <c r="A29" s="971" t="s">
        <v>802</v>
      </c>
      <c r="B29" s="994" t="s">
        <v>2461</v>
      </c>
      <c r="C29" s="328">
        <f ca="1">ROUND((1+C24)*F28*'数据-取费表'!B24/'数据-取费表'!B20,4)</f>
        <v>7.8200000000000006E-2</v>
      </c>
      <c r="D29" s="328"/>
      <c r="E29" s="329"/>
      <c r="F29" s="334"/>
      <c r="G29" s="140" t="s">
        <v>2462</v>
      </c>
      <c r="H29" s="979"/>
      <c r="I29" s="979"/>
      <c r="J29" s="979"/>
      <c r="K29" s="980"/>
    </row>
    <row r="30" spans="1:33" s="335" customFormat="1" ht="13.5" customHeight="1">
      <c r="A30" s="971" t="s">
        <v>803</v>
      </c>
      <c r="B30" s="994" t="s">
        <v>2463</v>
      </c>
      <c r="C30" s="336">
        <f ca="1">ROUND((C21+C22+C23)*F28,0)</f>
        <v>1787</v>
      </c>
      <c r="D30" s="328"/>
      <c r="E30" s="329"/>
      <c r="F30" s="334"/>
      <c r="G30" s="140"/>
      <c r="H30" s="979"/>
      <c r="I30" s="979"/>
      <c r="J30" s="979"/>
      <c r="K30" s="980"/>
    </row>
    <row r="31" spans="1:33" s="975" customFormat="1" ht="13.5" customHeight="1" thickBot="1">
      <c r="A31" s="2559" t="s">
        <v>2464</v>
      </c>
      <c r="B31" s="1005" t="s">
        <v>2465</v>
      </c>
      <c r="C31" s="1006">
        <f ca="1">ROUND(C4*F31/(1+'数据-取费表'!C42),0)</f>
        <v>3229</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39710</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10</v>
      </c>
      <c r="H1" s="1282" t="str">
        <f>IF(ISERROR(FIND("住宅",B1)),"非住宅","住宅")</f>
        <v>非住宅</v>
      </c>
    </row>
    <row r="2" spans="1:8" s="244" customFormat="1" ht="18" customHeight="1">
      <c r="A2" s="245" t="s">
        <v>2280</v>
      </c>
      <c r="B2" s="246">
        <f ca="1">ROUND(IF(D2="——",C52/10000,C52/10000-E2),0)</f>
        <v>27263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5115</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6502239</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6502239</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6502239</v>
      </c>
      <c r="D10" s="1032">
        <f ca="1">IF(B1="",'数据-汇总表'!E6,IF(INDIRECT("'数据-取费表'!c"&amp;$G$1)="住宅",INDIRECT("'数据-取费表'!s"&amp;$G$1),INDIRECT("'数据-取费表'!k"&amp;$G$1)+INDIRECT("'数据-取费表'!s"&amp;$G$1)))</f>
        <v>53297.039999999994</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7994556</v>
      </c>
      <c r="D19" s="1036">
        <f ca="1">D9+D10</f>
        <v>53297.039999999994</v>
      </c>
      <c r="E19" s="255">
        <f>'数据-取费表'!B31</f>
        <v>150</v>
      </c>
      <c r="F19" s="275"/>
      <c r="G19" s="2549"/>
    </row>
    <row r="20" spans="1:7" s="258" customFormat="1" ht="13.5" customHeight="1">
      <c r="A20" s="299" t="s">
        <v>2392</v>
      </c>
      <c r="B20" s="254" t="s">
        <v>2393</v>
      </c>
      <c r="C20" s="276">
        <f ca="1">ROUND((C5+C19)*F20,0)</f>
        <v>144968</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1791963</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799865</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983440</v>
      </c>
      <c r="D24" s="282"/>
      <c r="E24" s="282"/>
      <c r="F24" s="283"/>
      <c r="G24" s="284" t="s">
        <v>2404</v>
      </c>
    </row>
    <row r="25" spans="1:7" s="258" customFormat="1" ht="24">
      <c r="A25" s="951" t="s">
        <v>2294</v>
      </c>
      <c r="B25" s="259" t="s">
        <v>2405</v>
      </c>
      <c r="C25" s="1381">
        <f ca="1">ROUND(IF('数据-取费表'!B22&lt;=1,C20*F22*'数据-取费表'!B22/2,C20*(POWER((1+F22),'数据-取费表'!B22/2)-1)),0)</f>
        <v>8658</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2781935</v>
      </c>
      <c r="D27" s="279">
        <f ca="1">C29</f>
        <v>1.9E-3</v>
      </c>
      <c r="E27" s="280" t="s">
        <v>2332</v>
      </c>
      <c r="F27" s="290">
        <f ca="1">IF(B1="",'数据-取费表'!Q16,INDIRECT("'数据-取费表'!q"&amp;$G$1))</f>
        <v>0.19</v>
      </c>
      <c r="G27" s="291" t="s">
        <v>2333</v>
      </c>
    </row>
    <row r="28" spans="1:7" s="258" customFormat="1" ht="13.5" customHeight="1">
      <c r="A28" s="951" t="s">
        <v>790</v>
      </c>
      <c r="B28" s="292" t="s">
        <v>2334</v>
      </c>
      <c r="C28" s="293">
        <f ca="1">ROUND((C5+C19+C20)*F27,0)</f>
        <v>2781935</v>
      </c>
      <c r="D28" s="279"/>
      <c r="E28" s="280"/>
      <c r="F28" s="290"/>
      <c r="G28" s="291"/>
    </row>
    <row r="29" spans="1:7" s="258" customFormat="1" ht="13.5" customHeight="1">
      <c r="A29" s="951" t="s">
        <v>791</v>
      </c>
      <c r="B29" s="292" t="s">
        <v>2335</v>
      </c>
      <c r="C29" s="282">
        <f ca="1">ROUND(C21*F27,4)</f>
        <v>1.9E-3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20569108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186557738</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167664960</v>
      </c>
      <c r="D34" s="261"/>
      <c r="E34" s="264"/>
      <c r="F34" s="301"/>
      <c r="G34" s="263"/>
    </row>
    <row r="35" spans="1:7" ht="13.5" customHeight="1">
      <c r="A35" s="951" t="s">
        <v>795</v>
      </c>
      <c r="B35" s="259" t="s">
        <v>2345</v>
      </c>
      <c r="C35" s="264">
        <f ca="1">ROUND(C34*F35,0)</f>
        <v>8383248</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7994556</v>
      </c>
      <c r="D37" s="261">
        <f ca="1">D19</f>
        <v>53297.039999999994</v>
      </c>
      <c r="E37" s="293">
        <f>'数据-取费表'!B35</f>
        <v>150</v>
      </c>
      <c r="F37" s="303"/>
      <c r="G37" s="305"/>
    </row>
    <row r="38" spans="1:7" ht="13.5" customHeight="1">
      <c r="A38" s="951" t="s">
        <v>798</v>
      </c>
      <c r="B38" s="259" t="s">
        <v>2351</v>
      </c>
      <c r="C38" s="264">
        <f ca="1">ROUND(C34*F38,0)</f>
        <v>2514974</v>
      </c>
      <c r="D38" s="264"/>
      <c r="E38" s="264"/>
      <c r="F38" s="303">
        <f>'数据-取费表'!B36</f>
        <v>1.4999999999999999E-2</v>
      </c>
      <c r="G38" s="263" t="s">
        <v>2346</v>
      </c>
    </row>
    <row r="39" spans="1:7" s="258" customFormat="1" ht="13.5" customHeight="1">
      <c r="A39" s="299" t="s">
        <v>2352</v>
      </c>
      <c r="B39" s="254" t="s">
        <v>2353</v>
      </c>
      <c r="C39" s="276">
        <f ca="1">ROUND(C33*F20,0)</f>
        <v>1865577</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11253288</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11141869</v>
      </c>
      <c r="D42" s="282"/>
      <c r="E42" s="282"/>
      <c r="F42" s="283"/>
      <c r="G42" s="3219" t="s">
        <v>2409</v>
      </c>
    </row>
    <row r="43" spans="1:7" ht="13.5" customHeight="1">
      <c r="A43" s="951" t="s">
        <v>791</v>
      </c>
      <c r="B43" s="259" t="s">
        <v>2363</v>
      </c>
      <c r="C43" s="282">
        <f ca="1">ROUND(IF('数据-取费表'!B22&lt;=1,C39*F22*'数据-取费表'!B20/2,C39*(POWER((1+F22),'数据-取费表'!B20/2)-1)),0)</f>
        <v>111419</v>
      </c>
      <c r="D43" s="282"/>
      <c r="E43" s="282"/>
      <c r="F43" s="283"/>
      <c r="G43" s="3220"/>
    </row>
    <row r="44" spans="1:7" ht="13.5" customHeight="1">
      <c r="A44" s="951" t="s">
        <v>792</v>
      </c>
      <c r="B44" s="259" t="s">
        <v>2364</v>
      </c>
      <c r="C44" s="282">
        <f ca="1">ROUND(IF('数据-取费表'!B22&lt;=1,C40*F22*'数据-取费表'!B20/2,C40*(POWER((1+F22),'数据-取费表'!B20/2)-1)),4)</f>
        <v>5.9999999999999995E-4</v>
      </c>
      <c r="D44" s="282"/>
      <c r="E44" s="282"/>
      <c r="F44" s="283"/>
      <c r="G44" s="3221"/>
    </row>
    <row r="45" spans="1:7" s="258" customFormat="1" ht="13.5" customHeight="1">
      <c r="A45" s="299" t="s">
        <v>2365</v>
      </c>
      <c r="B45" s="288" t="s">
        <v>2331</v>
      </c>
      <c r="C45" s="289">
        <f ca="1">C46</f>
        <v>35800430</v>
      </c>
      <c r="D45" s="279">
        <f ca="1">C47</f>
        <v>1.9E-3</v>
      </c>
      <c r="E45" s="280" t="s">
        <v>2357</v>
      </c>
      <c r="F45" s="290"/>
      <c r="G45" s="291" t="s">
        <v>2366</v>
      </c>
    </row>
    <row r="46" spans="1:7" s="258" customFormat="1" ht="13.5" customHeight="1">
      <c r="A46" s="951" t="s">
        <v>790</v>
      </c>
      <c r="B46" s="292" t="s">
        <v>2367</v>
      </c>
      <c r="C46" s="293">
        <f ca="1">ROUND((C33+C39)*F27,0)</f>
        <v>35800430</v>
      </c>
      <c r="D46" s="307"/>
      <c r="E46" s="280"/>
      <c r="F46" s="290"/>
      <c r="G46" s="291"/>
    </row>
    <row r="47" spans="1:7" s="258" customFormat="1" ht="13.5" customHeight="1">
      <c r="A47" s="951" t="s">
        <v>791</v>
      </c>
      <c r="B47" s="292" t="s">
        <v>2368</v>
      </c>
      <c r="C47" s="282">
        <f ca="1">ROUND(C40*F27,4)</f>
        <v>1.9E-3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252062763</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252062763</v>
      </c>
      <c r="D51" s="276"/>
      <c r="E51" s="276"/>
      <c r="F51" s="308"/>
      <c r="G51" s="278" t="s">
        <v>2378</v>
      </c>
    </row>
    <row r="52" spans="1:7" s="252" customFormat="1" ht="16.5" thickBot="1">
      <c r="A52" s="309" t="s">
        <v>2379</v>
      </c>
      <c r="B52" s="310"/>
      <c r="C52" s="311">
        <f ca="1">C31+C51</f>
        <v>272631871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K32" sqref="K3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13869</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10979</v>
      </c>
      <c r="C3" s="400" t="s">
        <v>2484</v>
      </c>
      <c r="D3" s="399">
        <f>IF(D1="",'数据-汇总表'!E3,SUMIF('数据-汇总表'!$C19:$C33,D1,'数据-汇总表'!$E19:$E33))</f>
        <v>12632.12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79" t="s">
        <v>2486</v>
      </c>
      <c r="D4" s="3192"/>
      <c r="E4" s="3193" t="s">
        <v>2487</v>
      </c>
      <c r="F4" s="3194"/>
      <c r="G4" s="3179" t="s">
        <v>2488</v>
      </c>
      <c r="H4" s="3192"/>
      <c r="I4" s="3179" t="s">
        <v>2489</v>
      </c>
      <c r="J4" s="3192"/>
      <c r="K4" s="2595" t="s">
        <v>2490</v>
      </c>
      <c r="L4" s="1130"/>
      <c r="M4" s="1131"/>
      <c r="N4" s="1131"/>
      <c r="O4" s="1131"/>
      <c r="P4" s="3195" t="s">
        <v>2491</v>
      </c>
      <c r="Q4" s="3196"/>
      <c r="R4" s="3201" t="s">
        <v>2487</v>
      </c>
      <c r="S4" s="3202"/>
      <c r="T4" s="3201" t="s">
        <v>2488</v>
      </c>
      <c r="U4" s="3202"/>
      <c r="V4" s="3188" t="s">
        <v>2489</v>
      </c>
      <c r="W4" s="3188"/>
      <c r="X4" s="1812"/>
      <c r="Y4" s="3201" t="s">
        <v>2491</v>
      </c>
      <c r="Z4" s="3202"/>
      <c r="AA4" s="3189" t="s">
        <v>2487</v>
      </c>
      <c r="AB4" s="3189" t="s">
        <v>2488</v>
      </c>
      <c r="AC4" s="3189" t="s">
        <v>2489</v>
      </c>
    </row>
    <row r="5" spans="1:29" ht="15">
      <c r="A5" s="404"/>
      <c r="B5" s="405"/>
      <c r="C5" s="3230" t="s">
        <v>3322</v>
      </c>
      <c r="D5" s="3210"/>
      <c r="E5" s="3231" t="s">
        <v>3365</v>
      </c>
      <c r="F5" s="3218"/>
      <c r="G5" s="3230" t="s">
        <v>3366</v>
      </c>
      <c r="H5" s="3210"/>
      <c r="I5" s="3230" t="s">
        <v>3335</v>
      </c>
      <c r="J5" s="3210"/>
      <c r="K5" s="2596"/>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2496</v>
      </c>
      <c r="D6" s="3208"/>
      <c r="E6" s="3215" t="s">
        <v>2496</v>
      </c>
      <c r="F6" s="3216"/>
      <c r="G6" s="3207" t="s">
        <v>2496</v>
      </c>
      <c r="H6" s="3208"/>
      <c r="I6" s="3207" t="s">
        <v>2496</v>
      </c>
      <c r="J6" s="3208"/>
      <c r="K6" s="2596" t="s">
        <v>2497</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1" t="s">
        <v>2499</v>
      </c>
      <c r="Q7" s="3213"/>
      <c r="R7" s="770" t="s">
        <v>23</v>
      </c>
      <c r="S7" s="771">
        <f t="shared" ref="S7:S15" si="0">F7</f>
        <v>100</v>
      </c>
      <c r="T7" s="770" t="s">
        <v>23</v>
      </c>
      <c r="U7" s="771">
        <f t="shared" ref="U7:U15" si="1">H7</f>
        <v>100</v>
      </c>
      <c r="V7" s="770" t="s">
        <v>23</v>
      </c>
      <c r="W7" s="771">
        <f t="shared" ref="W7:W15" si="2">J7</f>
        <v>100</v>
      </c>
      <c r="X7" s="772"/>
      <c r="Y7" s="3211" t="s">
        <v>2499</v>
      </c>
      <c r="Z7" s="3212"/>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1" t="s">
        <v>2502</v>
      </c>
      <c r="Q8" s="3212"/>
      <c r="R8" s="770" t="s">
        <v>23</v>
      </c>
      <c r="S8" s="771">
        <f t="shared" si="0"/>
        <v>100</v>
      </c>
      <c r="T8" s="770" t="s">
        <v>23</v>
      </c>
      <c r="U8" s="771">
        <f t="shared" si="1"/>
        <v>100</v>
      </c>
      <c r="V8" s="770" t="s">
        <v>23</v>
      </c>
      <c r="W8" s="771">
        <f t="shared" si="2"/>
        <v>100</v>
      </c>
      <c r="X8" s="772"/>
      <c r="Y8" s="3211" t="s">
        <v>2502</v>
      </c>
      <c r="Z8" s="3212"/>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1" t="s">
        <v>2505</v>
      </c>
      <c r="Q9" s="1794"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f>'数据-汇总表'!I4</f>
        <v>5.48</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1"/>
      <c r="Q11" s="1794" t="str">
        <f t="shared" si="6"/>
        <v>容积率</v>
      </c>
      <c r="R11" s="770" t="s">
        <v>21</v>
      </c>
      <c r="S11" s="771">
        <f t="shared" si="0"/>
        <v>99</v>
      </c>
      <c r="T11" s="770" t="s">
        <v>21</v>
      </c>
      <c r="U11" s="771">
        <f t="shared" si="1"/>
        <v>100</v>
      </c>
      <c r="V11" s="770" t="s">
        <v>21</v>
      </c>
      <c r="W11" s="771">
        <f t="shared" si="2"/>
        <v>102</v>
      </c>
      <c r="X11" s="772"/>
      <c r="Y11" s="3033"/>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1"/>
      <c r="Q12" s="1794">
        <f t="shared" si="6"/>
        <v>0</v>
      </c>
      <c r="R12" s="770" t="s">
        <v>21</v>
      </c>
      <c r="S12" s="771">
        <f t="shared" si="0"/>
        <v>100</v>
      </c>
      <c r="T12" s="770" t="s">
        <v>21</v>
      </c>
      <c r="U12" s="771">
        <f t="shared" si="1"/>
        <v>100</v>
      </c>
      <c r="V12" s="770" t="s">
        <v>21</v>
      </c>
      <c r="W12" s="771">
        <f t="shared" si="2"/>
        <v>100</v>
      </c>
      <c r="X12" s="772"/>
      <c r="Y12" s="3033"/>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1"/>
      <c r="Q13" s="1794">
        <f t="shared" si="6"/>
        <v>0</v>
      </c>
      <c r="R13" s="770" t="s">
        <v>21</v>
      </c>
      <c r="S13" s="771">
        <f t="shared" si="0"/>
        <v>100</v>
      </c>
      <c r="T13" s="770" t="s">
        <v>21</v>
      </c>
      <c r="U13" s="771">
        <f t="shared" si="1"/>
        <v>100</v>
      </c>
      <c r="V13" s="770" t="s">
        <v>21</v>
      </c>
      <c r="W13" s="771">
        <f t="shared" si="2"/>
        <v>100</v>
      </c>
      <c r="X13" s="772"/>
      <c r="Y13" s="3033"/>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1"/>
      <c r="Q14" s="1794">
        <f t="shared" si="6"/>
        <v>0</v>
      </c>
      <c r="R14" s="770" t="s">
        <v>21</v>
      </c>
      <c r="S14" s="771">
        <f t="shared" si="0"/>
        <v>100</v>
      </c>
      <c r="T14" s="770" t="s">
        <v>21</v>
      </c>
      <c r="U14" s="771">
        <f t="shared" si="1"/>
        <v>100</v>
      </c>
      <c r="V14" s="770" t="s">
        <v>21</v>
      </c>
      <c r="W14" s="771">
        <f t="shared" si="2"/>
        <v>100</v>
      </c>
      <c r="X14" s="772"/>
      <c r="Y14" s="3033"/>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28" t="s">
        <v>2510</v>
      </c>
      <c r="Q15" s="1809" t="str">
        <f t="shared" si="6"/>
        <v>居住社区成熟度</v>
      </c>
      <c r="R15" s="774" t="s">
        <v>21</v>
      </c>
      <c r="S15" s="775">
        <f t="shared" si="0"/>
        <v>100</v>
      </c>
      <c r="T15" s="774" t="s">
        <v>21</v>
      </c>
      <c r="U15" s="775">
        <f t="shared" si="1"/>
        <v>100</v>
      </c>
      <c r="V15" s="774" t="s">
        <v>21</v>
      </c>
      <c r="W15" s="775">
        <f t="shared" si="2"/>
        <v>100</v>
      </c>
      <c r="X15" s="1812"/>
      <c r="Y15" s="3184"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29"/>
      <c r="Q16" s="1809"/>
      <c r="R16" s="774"/>
      <c r="S16" s="775"/>
      <c r="T16" s="774"/>
      <c r="U16" s="775"/>
      <c r="V16" s="774"/>
      <c r="W16" s="775"/>
      <c r="X16" s="1812"/>
      <c r="Y16" s="3185"/>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29"/>
      <c r="Q17" s="1809" t="str">
        <f>B17</f>
        <v>交通便捷度</v>
      </c>
      <c r="R17" s="774" t="s">
        <v>21</v>
      </c>
      <c r="S17" s="775">
        <f>F17</f>
        <v>104</v>
      </c>
      <c r="T17" s="774" t="s">
        <v>21</v>
      </c>
      <c r="U17" s="775">
        <f>H17</f>
        <v>100</v>
      </c>
      <c r="V17" s="774" t="s">
        <v>21</v>
      </c>
      <c r="W17" s="775">
        <f>J17</f>
        <v>104</v>
      </c>
      <c r="X17" s="1812"/>
      <c r="Y17" s="3185"/>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29"/>
      <c r="Q18" s="1809"/>
      <c r="R18" s="774"/>
      <c r="S18" s="775"/>
      <c r="T18" s="774"/>
      <c r="U18" s="775"/>
      <c r="V18" s="774"/>
      <c r="W18" s="775"/>
      <c r="X18" s="1812"/>
      <c r="Y18" s="3185"/>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29"/>
      <c r="Q19" s="1809" t="str">
        <f>B19</f>
        <v>公共配套设施</v>
      </c>
      <c r="R19" s="774" t="s">
        <v>21</v>
      </c>
      <c r="S19" s="775">
        <f>F19</f>
        <v>100</v>
      </c>
      <c r="T19" s="774" t="s">
        <v>21</v>
      </c>
      <c r="U19" s="775">
        <f>H19</f>
        <v>100</v>
      </c>
      <c r="V19" s="774" t="s">
        <v>21</v>
      </c>
      <c r="W19" s="775">
        <f>J19</f>
        <v>100</v>
      </c>
      <c r="X19" s="1812"/>
      <c r="Y19" s="3185"/>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29"/>
      <c r="Q20" s="1809"/>
      <c r="R20" s="774"/>
      <c r="S20" s="775"/>
      <c r="T20" s="774"/>
      <c r="U20" s="775"/>
      <c r="V20" s="774"/>
      <c r="W20" s="775"/>
      <c r="X20" s="1812"/>
      <c r="Y20" s="3185"/>
      <c r="Z20" s="1813"/>
      <c r="AA20" s="1810">
        <v>1</v>
      </c>
      <c r="AB20" s="1810">
        <v>1</v>
      </c>
      <c r="AC20" s="181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29"/>
      <c r="Q22" s="1809"/>
      <c r="R22" s="774"/>
      <c r="S22" s="775"/>
      <c r="T22" s="774"/>
      <c r="U22" s="775"/>
      <c r="V22" s="774"/>
      <c r="W22" s="775"/>
      <c r="X22" s="1812"/>
      <c r="Y22" s="3185"/>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29"/>
      <c r="Q23" s="1809" t="str">
        <f>B23</f>
        <v>自然及人文环境</v>
      </c>
      <c r="R23" s="774" t="s">
        <v>21</v>
      </c>
      <c r="S23" s="775">
        <f>F23</f>
        <v>100</v>
      </c>
      <c r="T23" s="774" t="s">
        <v>21</v>
      </c>
      <c r="U23" s="775">
        <f>H23</f>
        <v>100</v>
      </c>
      <c r="V23" s="774" t="s">
        <v>21</v>
      </c>
      <c r="W23" s="775">
        <f>J23</f>
        <v>100</v>
      </c>
      <c r="X23" s="1812"/>
      <c r="Y23" s="3185"/>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29"/>
      <c r="Q24" s="1809"/>
      <c r="R24" s="774"/>
      <c r="S24" s="775"/>
      <c r="T24" s="774"/>
      <c r="U24" s="775"/>
      <c r="V24" s="774"/>
      <c r="W24" s="775"/>
      <c r="X24" s="1812"/>
      <c r="Y24" s="3185"/>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2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5"/>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29"/>
      <c r="Q26" s="1809" t="str">
        <f t="shared" si="11"/>
        <v>朝向</v>
      </c>
      <c r="R26" s="774" t="s">
        <v>21</v>
      </c>
      <c r="S26" s="775">
        <f t="shared" si="12"/>
        <v>100</v>
      </c>
      <c r="T26" s="774" t="s">
        <v>21</v>
      </c>
      <c r="U26" s="775">
        <f t="shared" si="13"/>
        <v>100</v>
      </c>
      <c r="V26" s="774" t="s">
        <v>21</v>
      </c>
      <c r="W26" s="775">
        <f t="shared" si="14"/>
        <v>100</v>
      </c>
      <c r="X26" s="1812"/>
      <c r="Y26" s="3185"/>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29"/>
      <c r="Q27" s="1794">
        <f t="shared" si="11"/>
        <v>0</v>
      </c>
      <c r="R27" s="770" t="s">
        <v>21</v>
      </c>
      <c r="S27" s="771">
        <f t="shared" si="12"/>
        <v>100</v>
      </c>
      <c r="T27" s="770" t="s">
        <v>21</v>
      </c>
      <c r="U27" s="771">
        <f t="shared" si="13"/>
        <v>100</v>
      </c>
      <c r="V27" s="770" t="s">
        <v>21</v>
      </c>
      <c r="W27" s="771">
        <f t="shared" si="14"/>
        <v>100</v>
      </c>
      <c r="X27" s="772"/>
      <c r="Y27" s="3185"/>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29"/>
      <c r="Q28" s="1809">
        <f t="shared" si="11"/>
        <v>0</v>
      </c>
      <c r="R28" s="774" t="s">
        <v>21</v>
      </c>
      <c r="S28" s="775">
        <f t="shared" si="12"/>
        <v>100</v>
      </c>
      <c r="T28" s="774" t="s">
        <v>21</v>
      </c>
      <c r="U28" s="775">
        <f t="shared" si="13"/>
        <v>100</v>
      </c>
      <c r="V28" s="774" t="s">
        <v>21</v>
      </c>
      <c r="W28" s="775">
        <f t="shared" si="14"/>
        <v>100</v>
      </c>
      <c r="X28" s="1812"/>
      <c r="Y28" s="3185"/>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29"/>
      <c r="Q29" s="1809">
        <f t="shared" si="11"/>
        <v>0</v>
      </c>
      <c r="R29" s="774" t="s">
        <v>21</v>
      </c>
      <c r="S29" s="775">
        <f t="shared" si="12"/>
        <v>100</v>
      </c>
      <c r="T29" s="774" t="s">
        <v>21</v>
      </c>
      <c r="U29" s="775">
        <f t="shared" si="13"/>
        <v>100</v>
      </c>
      <c r="V29" s="774" t="s">
        <v>21</v>
      </c>
      <c r="W29" s="775">
        <f t="shared" si="14"/>
        <v>100</v>
      </c>
      <c r="X29" s="1812"/>
      <c r="Y29" s="3185"/>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29"/>
      <c r="Q30" s="1809">
        <f t="shared" si="11"/>
        <v>0</v>
      </c>
      <c r="R30" s="774" t="s">
        <v>21</v>
      </c>
      <c r="S30" s="775">
        <f t="shared" si="12"/>
        <v>100</v>
      </c>
      <c r="T30" s="774" t="s">
        <v>21</v>
      </c>
      <c r="U30" s="775">
        <f t="shared" si="13"/>
        <v>100</v>
      </c>
      <c r="V30" s="774" t="s">
        <v>21</v>
      </c>
      <c r="W30" s="775">
        <f t="shared" si="14"/>
        <v>100</v>
      </c>
      <c r="X30" s="1812"/>
      <c r="Y30" s="3185"/>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29"/>
      <c r="Q31" s="1809">
        <f t="shared" si="11"/>
        <v>0</v>
      </c>
      <c r="R31" s="774" t="s">
        <v>21</v>
      </c>
      <c r="S31" s="775">
        <f t="shared" si="12"/>
        <v>100</v>
      </c>
      <c r="T31" s="774" t="s">
        <v>21</v>
      </c>
      <c r="U31" s="775">
        <f t="shared" si="13"/>
        <v>100</v>
      </c>
      <c r="V31" s="774" t="s">
        <v>21</v>
      </c>
      <c r="W31" s="775">
        <f t="shared" si="14"/>
        <v>100</v>
      </c>
      <c r="X31" s="1812"/>
      <c r="Y31" s="3185"/>
      <c r="Z31" s="1813">
        <f t="shared" si="18"/>
        <v>0</v>
      </c>
      <c r="AA31" s="1810">
        <f t="shared" si="15"/>
        <v>1</v>
      </c>
      <c r="AB31" s="1810">
        <f t="shared" si="16"/>
        <v>1</v>
      </c>
      <c r="AC31" s="1810">
        <f t="shared" si="17"/>
        <v>1</v>
      </c>
    </row>
    <row r="32" spans="1:29" ht="15">
      <c r="A32" s="440" t="s">
        <v>2513</v>
      </c>
      <c r="B32" s="71" t="s">
        <v>2514</v>
      </c>
      <c r="C32" s="2616" t="s">
        <v>3359</v>
      </c>
      <c r="D32" s="467">
        <v>100</v>
      </c>
      <c r="E32" s="2617" t="s">
        <v>3361</v>
      </c>
      <c r="F32" s="461">
        <f>SUMIF(100:100,E32,101:101)-SUMIF(100:100,C32,101:101)+100</f>
        <v>99</v>
      </c>
      <c r="G32" s="2617" t="s">
        <v>3361</v>
      </c>
      <c r="H32" s="467">
        <f>SUMIF(100:100,G32,101:101)-SUMIF(100:100,C32,101:101)+100</f>
        <v>99</v>
      </c>
      <c r="I32" s="2617" t="s">
        <v>3361</v>
      </c>
      <c r="J32" s="435">
        <f>SUMIF(100:100,I32,101:101)-SUMIF(100:100,C32,101:101)+100</f>
        <v>99</v>
      </c>
      <c r="K32" s="426">
        <v>1</v>
      </c>
      <c r="L32" s="1140"/>
      <c r="M32" s="1131"/>
      <c r="N32" s="1131"/>
      <c r="O32" s="1131"/>
      <c r="P32" s="3224" t="s">
        <v>2515</v>
      </c>
      <c r="Q32" s="1809" t="str">
        <f t="shared" si="11"/>
        <v>建筑类型</v>
      </c>
      <c r="R32" s="774" t="s">
        <v>21</v>
      </c>
      <c r="S32" s="775">
        <f t="shared" si="12"/>
        <v>99</v>
      </c>
      <c r="T32" s="774" t="s">
        <v>21</v>
      </c>
      <c r="U32" s="775">
        <f t="shared" si="13"/>
        <v>99</v>
      </c>
      <c r="V32" s="774" t="s">
        <v>21</v>
      </c>
      <c r="W32" s="775">
        <f t="shared" si="14"/>
        <v>99</v>
      </c>
      <c r="X32" s="1812"/>
      <c r="Y32" s="3187" t="s">
        <v>2515</v>
      </c>
      <c r="Z32" s="1813" t="str">
        <f t="shared" si="18"/>
        <v>建筑类型</v>
      </c>
      <c r="AA32" s="1810">
        <f t="shared" si="15"/>
        <v>1.0101010101010102</v>
      </c>
      <c r="AB32" s="1810">
        <f t="shared" si="16"/>
        <v>1.0101010101010102</v>
      </c>
      <c r="AC32" s="1810">
        <f t="shared" si="17"/>
        <v>1.0101010101010102</v>
      </c>
    </row>
    <row r="33" spans="1:29" s="471" customFormat="1" ht="15">
      <c r="A33" s="468"/>
      <c r="B33" s="422" t="s">
        <v>2516</v>
      </c>
      <c r="C33" s="469">
        <f>'数据-基础表'!G5</f>
        <v>259598.62</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25"/>
      <c r="Q33" s="776" t="str">
        <f t="shared" si="11"/>
        <v>项目建筑规模</v>
      </c>
      <c r="R33" s="777" t="s">
        <v>21</v>
      </c>
      <c r="S33" s="778">
        <f t="shared" si="12"/>
        <v>97</v>
      </c>
      <c r="T33" s="777" t="s">
        <v>21</v>
      </c>
      <c r="U33" s="778">
        <f t="shared" si="13"/>
        <v>98</v>
      </c>
      <c r="V33" s="777" t="s">
        <v>21</v>
      </c>
      <c r="W33" s="778">
        <f t="shared" si="14"/>
        <v>100</v>
      </c>
      <c r="X33" s="779"/>
      <c r="Y33" s="3187"/>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25"/>
      <c r="Q34" s="1809" t="str">
        <f t="shared" si="11"/>
        <v>建筑结构</v>
      </c>
      <c r="R34" s="774" t="s">
        <v>21</v>
      </c>
      <c r="S34" s="775">
        <f t="shared" si="12"/>
        <v>100</v>
      </c>
      <c r="T34" s="774" t="s">
        <v>21</v>
      </c>
      <c r="U34" s="775">
        <f t="shared" si="13"/>
        <v>100</v>
      </c>
      <c r="V34" s="774" t="s">
        <v>21</v>
      </c>
      <c r="W34" s="775">
        <f t="shared" si="14"/>
        <v>100</v>
      </c>
      <c r="X34" s="1812"/>
      <c r="Y34" s="3187"/>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25"/>
      <c r="Q35" s="1809" t="str">
        <f t="shared" si="11"/>
        <v>建筑品质</v>
      </c>
      <c r="R35" s="774" t="s">
        <v>21</v>
      </c>
      <c r="S35" s="775">
        <f t="shared" si="12"/>
        <v>100</v>
      </c>
      <c r="T35" s="774" t="s">
        <v>21</v>
      </c>
      <c r="U35" s="775">
        <f t="shared" si="13"/>
        <v>100</v>
      </c>
      <c r="V35" s="774" t="s">
        <v>21</v>
      </c>
      <c r="W35" s="775">
        <f t="shared" si="14"/>
        <v>100</v>
      </c>
      <c r="X35" s="1812"/>
      <c r="Y35" s="3187"/>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25"/>
      <c r="Q36" s="1809" t="str">
        <f t="shared" si="11"/>
        <v>公共部分装修</v>
      </c>
      <c r="R36" s="774" t="s">
        <v>21</v>
      </c>
      <c r="S36" s="775">
        <f t="shared" si="12"/>
        <v>100</v>
      </c>
      <c r="T36" s="774" t="s">
        <v>21</v>
      </c>
      <c r="U36" s="775">
        <f t="shared" si="13"/>
        <v>100</v>
      </c>
      <c r="V36" s="774" t="s">
        <v>21</v>
      </c>
      <c r="W36" s="775">
        <f t="shared" si="14"/>
        <v>100</v>
      </c>
      <c r="X36" s="1812"/>
      <c r="Y36" s="3187"/>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5"/>
      <c r="Q37" s="1794" t="str">
        <f t="shared" si="11"/>
        <v>成新度</v>
      </c>
      <c r="R37" s="770" t="s">
        <v>21</v>
      </c>
      <c r="S37" s="771">
        <f t="shared" si="12"/>
        <v>100</v>
      </c>
      <c r="T37" s="770" t="s">
        <v>21</v>
      </c>
      <c r="U37" s="771">
        <f t="shared" si="13"/>
        <v>100</v>
      </c>
      <c r="V37" s="770" t="s">
        <v>21</v>
      </c>
      <c r="W37" s="771">
        <f t="shared" si="14"/>
        <v>100</v>
      </c>
      <c r="X37" s="772"/>
      <c r="Y37" s="3187"/>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25" t="s">
        <v>2515</v>
      </c>
      <c r="Q38" s="1809" t="str">
        <f t="shared" si="11"/>
        <v>物业管理</v>
      </c>
      <c r="R38" s="774" t="s">
        <v>21</v>
      </c>
      <c r="S38" s="775">
        <f t="shared" si="12"/>
        <v>100</v>
      </c>
      <c r="T38" s="774" t="s">
        <v>21</v>
      </c>
      <c r="U38" s="775">
        <f t="shared" si="13"/>
        <v>100</v>
      </c>
      <c r="V38" s="774" t="s">
        <v>21</v>
      </c>
      <c r="W38" s="775">
        <f t="shared" si="14"/>
        <v>100</v>
      </c>
      <c r="X38" s="1812"/>
      <c r="Y38" s="3187"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25"/>
      <c r="Q39" s="1809" t="str">
        <f t="shared" si="11"/>
        <v>市政基础设施</v>
      </c>
      <c r="R39" s="774" t="s">
        <v>21</v>
      </c>
      <c r="S39" s="775">
        <f t="shared" si="12"/>
        <v>100</v>
      </c>
      <c r="T39" s="774" t="s">
        <v>21</v>
      </c>
      <c r="U39" s="775">
        <f t="shared" si="13"/>
        <v>100</v>
      </c>
      <c r="V39" s="774" t="s">
        <v>21</v>
      </c>
      <c r="W39" s="775">
        <f t="shared" si="14"/>
        <v>100</v>
      </c>
      <c r="X39" s="1812"/>
      <c r="Y39" s="3187"/>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25"/>
      <c r="Q40" s="1809" t="str">
        <f t="shared" si="11"/>
        <v>房型</v>
      </c>
      <c r="R40" s="774" t="s">
        <v>21</v>
      </c>
      <c r="S40" s="775">
        <f t="shared" si="12"/>
        <v>100</v>
      </c>
      <c r="T40" s="774" t="s">
        <v>21</v>
      </c>
      <c r="U40" s="775">
        <f t="shared" si="13"/>
        <v>100</v>
      </c>
      <c r="V40" s="774" t="s">
        <v>21</v>
      </c>
      <c r="W40" s="775">
        <f t="shared" si="14"/>
        <v>100</v>
      </c>
      <c r="X40" s="1812"/>
      <c r="Y40" s="3187"/>
      <c r="Z40" s="1813" t="str">
        <f t="shared" si="18"/>
        <v>房型</v>
      </c>
      <c r="AA40" s="1810">
        <f t="shared" si="15"/>
        <v>1</v>
      </c>
      <c r="AB40" s="1810">
        <f t="shared" si="16"/>
        <v>1</v>
      </c>
      <c r="AC40" s="1810">
        <f t="shared" si="17"/>
        <v>1</v>
      </c>
    </row>
    <row r="41" spans="1:29" s="471" customFormat="1" ht="28.5">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25"/>
      <c r="Q42" s="1809" t="str">
        <f t="shared" si="11"/>
        <v>内部装修</v>
      </c>
      <c r="R42" s="774" t="s">
        <v>21</v>
      </c>
      <c r="S42" s="775">
        <f t="shared" si="12"/>
        <v>100</v>
      </c>
      <c r="T42" s="774" t="s">
        <v>21</v>
      </c>
      <c r="U42" s="775">
        <f t="shared" si="13"/>
        <v>100</v>
      </c>
      <c r="V42" s="774" t="s">
        <v>21</v>
      </c>
      <c r="W42" s="775">
        <f t="shared" si="14"/>
        <v>100</v>
      </c>
      <c r="X42" s="1812"/>
      <c r="Y42" s="3187"/>
      <c r="Z42" s="1813" t="str">
        <f t="shared" si="18"/>
        <v>内部装修</v>
      </c>
      <c r="AA42" s="1810">
        <f t="shared" si="15"/>
        <v>1</v>
      </c>
      <c r="AB42" s="1810">
        <f t="shared" si="16"/>
        <v>1</v>
      </c>
      <c r="AC42" s="1810">
        <f t="shared" si="17"/>
        <v>1</v>
      </c>
    </row>
    <row r="43" spans="1:29" ht="15">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25"/>
      <c r="Q43" s="1809" t="str">
        <f t="shared" si="11"/>
        <v>内部装修维护情况</v>
      </c>
      <c r="R43" s="774" t="s">
        <v>21</v>
      </c>
      <c r="S43" s="775">
        <f t="shared" si="12"/>
        <v>100</v>
      </c>
      <c r="T43" s="774" t="s">
        <v>21</v>
      </c>
      <c r="U43" s="775">
        <f t="shared" si="13"/>
        <v>100</v>
      </c>
      <c r="V43" s="774" t="s">
        <v>21</v>
      </c>
      <c r="W43" s="775">
        <f t="shared" si="14"/>
        <v>100</v>
      </c>
      <c r="X43" s="1812"/>
      <c r="Y43" s="3187"/>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5"/>
      <c r="Q44" s="1794">
        <f t="shared" si="11"/>
        <v>0</v>
      </c>
      <c r="R44" s="770" t="s">
        <v>21</v>
      </c>
      <c r="S44" s="771">
        <f t="shared" si="12"/>
        <v>100</v>
      </c>
      <c r="T44" s="770" t="s">
        <v>21</v>
      </c>
      <c r="U44" s="771">
        <f t="shared" si="13"/>
        <v>100</v>
      </c>
      <c r="V44" s="770" t="s">
        <v>21</v>
      </c>
      <c r="W44" s="771">
        <f t="shared" si="14"/>
        <v>100</v>
      </c>
      <c r="X44" s="772"/>
      <c r="Y44" s="3187"/>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5"/>
      <c r="Q45" s="1809">
        <f t="shared" si="11"/>
        <v>0</v>
      </c>
      <c r="R45" s="774" t="s">
        <v>21</v>
      </c>
      <c r="S45" s="775">
        <f t="shared" si="12"/>
        <v>100</v>
      </c>
      <c r="T45" s="774" t="s">
        <v>21</v>
      </c>
      <c r="U45" s="775">
        <f t="shared" si="13"/>
        <v>100</v>
      </c>
      <c r="V45" s="774" t="s">
        <v>21</v>
      </c>
      <c r="W45" s="775">
        <f t="shared" si="14"/>
        <v>100</v>
      </c>
      <c r="X45" s="1812"/>
      <c r="Y45" s="3187"/>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6"/>
      <c r="Q46" s="1809">
        <f t="shared" si="11"/>
        <v>0</v>
      </c>
      <c r="R46" s="774" t="s">
        <v>20</v>
      </c>
      <c r="S46" s="775">
        <f t="shared" si="12"/>
        <v>100</v>
      </c>
      <c r="T46" s="774" t="s">
        <v>20</v>
      </c>
      <c r="U46" s="775">
        <f t="shared" si="13"/>
        <v>100</v>
      </c>
      <c r="V46" s="774" t="s">
        <v>20</v>
      </c>
      <c r="W46" s="775">
        <f t="shared" si="14"/>
        <v>100</v>
      </c>
      <c r="X46" s="1812"/>
      <c r="Y46" s="3227"/>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2" t="str">
        <f>A47</f>
        <v>成交单价（元/平方米）</v>
      </c>
      <c r="Q47" s="3182"/>
      <c r="R47" s="3223">
        <f>E47</f>
        <v>11000</v>
      </c>
      <c r="S47" s="3223"/>
      <c r="T47" s="3223">
        <f>G47</f>
        <v>11000</v>
      </c>
      <c r="U47" s="3223"/>
      <c r="V47" s="3223">
        <f>I47</f>
        <v>11000</v>
      </c>
      <c r="W47" s="3223"/>
      <c r="X47" s="759"/>
      <c r="Y47" s="781"/>
      <c r="Z47" s="759"/>
      <c r="AA47" s="759"/>
      <c r="AB47" s="759"/>
      <c r="AC47" s="759"/>
    </row>
    <row r="48" spans="1:29" ht="15.75" thickBot="1">
      <c r="A48" s="486" t="s">
        <v>2528</v>
      </c>
      <c r="B48" s="487"/>
      <c r="C48" s="1413">
        <f>R49</f>
        <v>10979</v>
      </c>
      <c r="D48" s="1414"/>
      <c r="E48" s="1415">
        <f>R48</f>
        <v>11125</v>
      </c>
      <c r="F48" s="1415"/>
      <c r="G48" s="1413">
        <f>T48</f>
        <v>11338</v>
      </c>
      <c r="H48" s="1414"/>
      <c r="I48" s="1415">
        <f>V48</f>
        <v>10474</v>
      </c>
      <c r="J48" s="1414"/>
      <c r="K48" s="2621"/>
      <c r="L48" s="1143"/>
      <c r="M48" s="1144"/>
      <c r="N48" s="1144"/>
      <c r="O48" s="1144"/>
      <c r="P48" s="3182" t="str">
        <f>A48</f>
        <v>比较价值（元/平方米）</v>
      </c>
      <c r="Q48" s="3182"/>
      <c r="R48" s="3223">
        <f>IF(F1="售价",ROUND(PRODUCT(R47,AA7:AA46),0),ROUND(PRODUCT(R47,AA7:AA46),1))</f>
        <v>11125</v>
      </c>
      <c r="S48" s="3223"/>
      <c r="T48" s="3223">
        <f>IF(F1="售价",ROUND(PRODUCT(T47,AB7:AB46),0),ROUND(PRODUCT(T47,AB7:AB46),1))</f>
        <v>11338</v>
      </c>
      <c r="U48" s="3223"/>
      <c r="V48" s="3223">
        <f>IF(F1="售价",ROUND(PRODUCT(V47,AC7:AC46),0),ROUND(PRODUCT(V47,AC7:AC46),1))</f>
        <v>10474</v>
      </c>
      <c r="W48" s="3223"/>
      <c r="X48" s="759"/>
      <c r="Y48" s="759"/>
      <c r="Z48" s="759"/>
      <c r="AA48" s="759"/>
      <c r="AB48" s="759"/>
      <c r="AC48" s="759"/>
    </row>
    <row r="49" spans="1:29" ht="15.75" thickBot="1">
      <c r="A49" s="492" t="s">
        <v>3277</v>
      </c>
      <c r="B49" s="493"/>
      <c r="C49" s="1416">
        <f>R49</f>
        <v>10979</v>
      </c>
      <c r="D49" s="1417"/>
      <c r="E49" s="1417"/>
      <c r="F49" s="1417"/>
      <c r="G49" s="1417"/>
      <c r="H49" s="1417"/>
      <c r="I49" s="1417"/>
      <c r="J49" s="1417"/>
      <c r="K49" s="2622"/>
      <c r="L49" s="1143"/>
      <c r="M49" s="1144"/>
      <c r="N49" s="1144"/>
      <c r="O49" s="1144"/>
      <c r="P49" s="3176" t="str">
        <f>A49</f>
        <v>估价对象公寓用房的比较价值（楼面单价，元/平方米）</v>
      </c>
      <c r="Q49" s="3177"/>
      <c r="R49" s="3222">
        <f>IF(F1="售价",ROUND(AVERAGE(R48:V48),0),ROUND(AVERAGE(R48:V48),1))</f>
        <v>10979</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1.1363636363636465E-2</v>
      </c>
      <c r="F52" s="500" t="str">
        <f>IF(OR(E52&gt;=0.3,E52&lt;=-0.3),"超过30%","")</f>
        <v/>
      </c>
      <c r="G52" s="499">
        <f>IF(G47&lt;G48,G48/G47-1,G47/G48-1)</f>
        <v>3.0727272727272714E-2</v>
      </c>
      <c r="H52" s="500" t="str">
        <f>IF(OR(G52&gt;=0.3,G52&lt;=-0.3),"超过30%","")</f>
        <v/>
      </c>
      <c r="I52" s="499">
        <f>IF(I47&lt;I48,I48/I47-1,I47/I48-1)</f>
        <v>5.0219591369104366E-2</v>
      </c>
      <c r="J52" s="500" t="str">
        <f>IF(OR(I52&gt;=0.3,I52&lt;=-0.3),"超过30%","")</f>
        <v/>
      </c>
      <c r="K52" s="1105"/>
      <c r="L52" s="1106"/>
      <c r="M52" s="1144"/>
      <c r="N52" s="1144"/>
      <c r="O52" s="1144"/>
    </row>
    <row r="53" spans="1:29" ht="13.5" customHeight="1">
      <c r="A53" s="1144"/>
      <c r="B53" s="1144"/>
      <c r="C53" s="497" t="s">
        <v>2530</v>
      </c>
      <c r="D53" s="501"/>
      <c r="E53" s="499">
        <f>IF(E48&lt;G48,G48/E48-1,E48/G48-1)</f>
        <v>1.9146067415730439E-2</v>
      </c>
      <c r="F53" s="500" t="str">
        <f>IF(OR(E53&gt;=0.2,E53&lt;=-0.2),"超过20%","")</f>
        <v/>
      </c>
      <c r="G53" s="499">
        <f>IF(G48&lt;I48,I48/G48-1,G48/I48-1)</f>
        <v>8.2489975176627928E-2</v>
      </c>
      <c r="H53" s="500" t="str">
        <f>IF(OR(G53&gt;=0.2,G53&lt;=-0.2),"超过20%","")</f>
        <v/>
      </c>
      <c r="I53" s="499">
        <f>IF(I48&lt;E48,E48/I48-1,I48/E48-1)</f>
        <v>6.2153904907389812E-2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9" zoomScale="90" zoomScaleNormal="90" workbookViewId="0">
      <selection activeCell="N47" sqref="N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33914</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28081.800000000003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79" t="s">
        <v>2486</v>
      </c>
      <c r="D4" s="3192"/>
      <c r="E4" s="3193" t="s">
        <v>2487</v>
      </c>
      <c r="F4" s="3194"/>
      <c r="G4" s="3179" t="s">
        <v>2488</v>
      </c>
      <c r="H4" s="3192"/>
      <c r="I4" s="3179" t="s">
        <v>2489</v>
      </c>
      <c r="J4" s="3192"/>
      <c r="K4" s="2595" t="s">
        <v>2490</v>
      </c>
      <c r="L4" s="1130"/>
      <c r="M4" s="1131"/>
      <c r="N4" s="1131"/>
      <c r="O4" s="1131"/>
      <c r="P4" s="3195" t="s">
        <v>2491</v>
      </c>
      <c r="Q4" s="3196"/>
      <c r="R4" s="3201" t="s">
        <v>2487</v>
      </c>
      <c r="S4" s="3202"/>
      <c r="T4" s="3201" t="s">
        <v>2488</v>
      </c>
      <c r="U4" s="3202"/>
      <c r="V4" s="3188" t="s">
        <v>2489</v>
      </c>
      <c r="W4" s="3188"/>
      <c r="X4" s="2979"/>
      <c r="Y4" s="3201" t="s">
        <v>2491</v>
      </c>
      <c r="Z4" s="3202"/>
      <c r="AA4" s="3189" t="s">
        <v>2487</v>
      </c>
      <c r="AB4" s="3189" t="s">
        <v>2488</v>
      </c>
      <c r="AC4" s="3189" t="s">
        <v>2489</v>
      </c>
    </row>
    <row r="5" spans="1:29" ht="15">
      <c r="A5" s="404"/>
      <c r="B5" s="405"/>
      <c r="C5" s="3230" t="s">
        <v>3322</v>
      </c>
      <c r="D5" s="3210"/>
      <c r="E5" s="3231" t="s">
        <v>3365</v>
      </c>
      <c r="F5" s="3218"/>
      <c r="G5" s="3230" t="s">
        <v>3366</v>
      </c>
      <c r="H5" s="3210"/>
      <c r="I5" s="3230" t="s">
        <v>3335</v>
      </c>
      <c r="J5" s="3210"/>
      <c r="K5" s="2596"/>
      <c r="L5" s="1130"/>
      <c r="M5" s="1131"/>
      <c r="N5" s="1131"/>
      <c r="O5" s="1131"/>
      <c r="P5" s="3197"/>
      <c r="Q5" s="3198"/>
      <c r="R5" s="3203"/>
      <c r="S5" s="3204"/>
      <c r="T5" s="3203"/>
      <c r="U5" s="3204"/>
      <c r="V5" s="3188"/>
      <c r="W5" s="3188"/>
      <c r="X5" s="2979"/>
      <c r="Y5" s="3203"/>
      <c r="Z5" s="3204"/>
      <c r="AA5" s="3190"/>
      <c r="AB5" s="3190"/>
      <c r="AC5" s="3190"/>
    </row>
    <row r="6" spans="1:29" ht="15.75" thickBot="1">
      <c r="A6" s="406"/>
      <c r="B6" s="407"/>
      <c r="C6" s="3207" t="s">
        <v>2496</v>
      </c>
      <c r="D6" s="3208"/>
      <c r="E6" s="3215" t="s">
        <v>2496</v>
      </c>
      <c r="F6" s="3216"/>
      <c r="G6" s="3207" t="s">
        <v>2496</v>
      </c>
      <c r="H6" s="3208"/>
      <c r="I6" s="3207" t="s">
        <v>2496</v>
      </c>
      <c r="J6" s="3208"/>
      <c r="K6" s="2596" t="s">
        <v>2497</v>
      </c>
      <c r="L6" s="1130"/>
      <c r="M6" s="1131"/>
      <c r="N6" s="1131"/>
      <c r="O6" s="1131"/>
      <c r="P6" s="3199"/>
      <c r="Q6" s="3200"/>
      <c r="R6" s="3203"/>
      <c r="S6" s="3204"/>
      <c r="T6" s="3205"/>
      <c r="U6" s="3206"/>
      <c r="V6" s="3188"/>
      <c r="W6" s="3188"/>
      <c r="X6" s="2979"/>
      <c r="Y6" s="3205"/>
      <c r="Z6" s="3206"/>
      <c r="AA6" s="3191"/>
      <c r="AB6" s="3191"/>
      <c r="AC6" s="3191"/>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1" t="s">
        <v>2499</v>
      </c>
      <c r="Q7" s="3213"/>
      <c r="R7" s="770" t="s">
        <v>23</v>
      </c>
      <c r="S7" s="771">
        <f t="shared" ref="S7:S15" si="0">F7</f>
        <v>100</v>
      </c>
      <c r="T7" s="770" t="s">
        <v>23</v>
      </c>
      <c r="U7" s="771">
        <f t="shared" ref="U7:U15" si="1">H7</f>
        <v>100</v>
      </c>
      <c r="V7" s="770" t="s">
        <v>23</v>
      </c>
      <c r="W7" s="771">
        <f t="shared" ref="W7:W15" si="2">J7</f>
        <v>100</v>
      </c>
      <c r="X7" s="772"/>
      <c r="Y7" s="3211" t="s">
        <v>2499</v>
      </c>
      <c r="Z7" s="3212"/>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1" t="s">
        <v>2502</v>
      </c>
      <c r="Q8" s="3212"/>
      <c r="R8" s="770" t="s">
        <v>23</v>
      </c>
      <c r="S8" s="771">
        <f t="shared" si="0"/>
        <v>100</v>
      </c>
      <c r="T8" s="770" t="s">
        <v>23</v>
      </c>
      <c r="U8" s="771">
        <f t="shared" si="1"/>
        <v>100</v>
      </c>
      <c r="V8" s="770" t="s">
        <v>23</v>
      </c>
      <c r="W8" s="771">
        <f t="shared" si="2"/>
        <v>100</v>
      </c>
      <c r="X8" s="772"/>
      <c r="Y8" s="3211" t="s">
        <v>2502</v>
      </c>
      <c r="Z8" s="3212"/>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1" t="s">
        <v>2505</v>
      </c>
      <c r="Q9" s="2965" t="str">
        <f t="shared" ref="Q9:Q15" si="6">B9</f>
        <v>用途</v>
      </c>
      <c r="R9" s="770" t="s">
        <v>17</v>
      </c>
      <c r="S9" s="771">
        <f t="shared" si="0"/>
        <v>100</v>
      </c>
      <c r="T9" s="770" t="s">
        <v>17</v>
      </c>
      <c r="U9" s="771">
        <f t="shared" si="1"/>
        <v>100</v>
      </c>
      <c r="V9" s="770" t="s">
        <v>17</v>
      </c>
      <c r="W9" s="771">
        <f t="shared" si="2"/>
        <v>100</v>
      </c>
      <c r="X9" s="772"/>
      <c r="Y9" s="3033" t="s">
        <v>2506</v>
      </c>
      <c r="Z9" s="2966" t="str">
        <f t="shared" ref="Z9:Z15" si="7">Q9</f>
        <v>用途</v>
      </c>
      <c r="AA9" s="773">
        <f t="shared" si="3"/>
        <v>1</v>
      </c>
      <c r="AB9" s="773">
        <f t="shared" si="4"/>
        <v>1</v>
      </c>
      <c r="AC9" s="773">
        <f t="shared" si="5"/>
        <v>1</v>
      </c>
    </row>
    <row r="10" spans="1:29" s="427" customFormat="1" ht="27">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1"/>
      <c r="Q10" s="2965" t="str">
        <f t="shared" si="6"/>
        <v>土地使用年限（年）</v>
      </c>
      <c r="R10" s="770" t="s">
        <v>17</v>
      </c>
      <c r="S10" s="771">
        <f t="shared" si="0"/>
        <v>100</v>
      </c>
      <c r="T10" s="770" t="s">
        <v>17</v>
      </c>
      <c r="U10" s="771">
        <f t="shared" si="1"/>
        <v>100</v>
      </c>
      <c r="V10" s="770" t="s">
        <v>17</v>
      </c>
      <c r="W10" s="771">
        <f t="shared" si="2"/>
        <v>100</v>
      </c>
      <c r="X10" s="772"/>
      <c r="Y10" s="3033"/>
      <c r="Z10" s="2966" t="str">
        <f t="shared" si="7"/>
        <v>土地使用年限（年）</v>
      </c>
      <c r="AA10" s="773">
        <f t="shared" si="3"/>
        <v>1</v>
      </c>
      <c r="AB10" s="773">
        <f t="shared" si="4"/>
        <v>1</v>
      </c>
      <c r="AC10" s="773">
        <f t="shared" si="5"/>
        <v>1</v>
      </c>
    </row>
    <row r="11" spans="1:29" ht="15">
      <c r="A11" s="428"/>
      <c r="B11" s="2971" t="s">
        <v>2508</v>
      </c>
      <c r="C11" s="429">
        <f>'数据-汇总表'!I4</f>
        <v>5.48</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1"/>
      <c r="Q11" s="2965" t="str">
        <f t="shared" si="6"/>
        <v>容积率</v>
      </c>
      <c r="R11" s="770" t="s">
        <v>21</v>
      </c>
      <c r="S11" s="771">
        <f t="shared" si="0"/>
        <v>99</v>
      </c>
      <c r="T11" s="770" t="s">
        <v>21</v>
      </c>
      <c r="U11" s="771">
        <f t="shared" si="1"/>
        <v>100</v>
      </c>
      <c r="V11" s="770" t="s">
        <v>21</v>
      </c>
      <c r="W11" s="771">
        <f t="shared" si="2"/>
        <v>102</v>
      </c>
      <c r="X11" s="772"/>
      <c r="Y11" s="3033"/>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1"/>
      <c r="Q12" s="2965">
        <f t="shared" si="6"/>
        <v>0</v>
      </c>
      <c r="R12" s="770" t="s">
        <v>21</v>
      </c>
      <c r="S12" s="771">
        <f t="shared" si="0"/>
        <v>100</v>
      </c>
      <c r="T12" s="770" t="s">
        <v>21</v>
      </c>
      <c r="U12" s="771">
        <f t="shared" si="1"/>
        <v>100</v>
      </c>
      <c r="V12" s="770" t="s">
        <v>21</v>
      </c>
      <c r="W12" s="771">
        <f t="shared" si="2"/>
        <v>100</v>
      </c>
      <c r="X12" s="772"/>
      <c r="Y12" s="3033"/>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1"/>
      <c r="Q13" s="2965">
        <f t="shared" si="6"/>
        <v>0</v>
      </c>
      <c r="R13" s="770" t="s">
        <v>21</v>
      </c>
      <c r="S13" s="771">
        <f t="shared" si="0"/>
        <v>100</v>
      </c>
      <c r="T13" s="770" t="s">
        <v>21</v>
      </c>
      <c r="U13" s="771">
        <f t="shared" si="1"/>
        <v>100</v>
      </c>
      <c r="V13" s="770" t="s">
        <v>21</v>
      </c>
      <c r="W13" s="771">
        <f t="shared" si="2"/>
        <v>100</v>
      </c>
      <c r="X13" s="772"/>
      <c r="Y13" s="3033"/>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1"/>
      <c r="Q14" s="2965">
        <f t="shared" si="6"/>
        <v>0</v>
      </c>
      <c r="R14" s="770" t="s">
        <v>21</v>
      </c>
      <c r="S14" s="771">
        <f t="shared" si="0"/>
        <v>100</v>
      </c>
      <c r="T14" s="770" t="s">
        <v>21</v>
      </c>
      <c r="U14" s="771">
        <f t="shared" si="1"/>
        <v>100</v>
      </c>
      <c r="V14" s="770" t="s">
        <v>21</v>
      </c>
      <c r="W14" s="771">
        <f t="shared" si="2"/>
        <v>100</v>
      </c>
      <c r="X14" s="772"/>
      <c r="Y14" s="3033"/>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28" t="s">
        <v>2510</v>
      </c>
      <c r="Q15" s="2977" t="str">
        <f t="shared" si="6"/>
        <v>居住社区成熟度</v>
      </c>
      <c r="R15" s="774" t="s">
        <v>21</v>
      </c>
      <c r="S15" s="775">
        <f t="shared" si="0"/>
        <v>100</v>
      </c>
      <c r="T15" s="774" t="s">
        <v>21</v>
      </c>
      <c r="U15" s="775">
        <f t="shared" si="1"/>
        <v>100</v>
      </c>
      <c r="V15" s="774" t="s">
        <v>21</v>
      </c>
      <c r="W15" s="775">
        <f t="shared" si="2"/>
        <v>100</v>
      </c>
      <c r="X15" s="2979"/>
      <c r="Y15" s="3184"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29"/>
      <c r="Q16" s="2977"/>
      <c r="R16" s="774"/>
      <c r="S16" s="775"/>
      <c r="T16" s="774"/>
      <c r="U16" s="775"/>
      <c r="V16" s="774"/>
      <c r="W16" s="775"/>
      <c r="X16" s="2979"/>
      <c r="Y16" s="3185"/>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29"/>
      <c r="Q17" s="2977" t="str">
        <f>B17</f>
        <v>交通便捷度</v>
      </c>
      <c r="R17" s="774" t="s">
        <v>21</v>
      </c>
      <c r="S17" s="775">
        <f>F17</f>
        <v>104</v>
      </c>
      <c r="T17" s="774" t="s">
        <v>21</v>
      </c>
      <c r="U17" s="775">
        <f>H17</f>
        <v>100</v>
      </c>
      <c r="V17" s="774" t="s">
        <v>21</v>
      </c>
      <c r="W17" s="775">
        <f>J17</f>
        <v>104</v>
      </c>
      <c r="X17" s="2979"/>
      <c r="Y17" s="3185"/>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29"/>
      <c r="Q18" s="2977"/>
      <c r="R18" s="774"/>
      <c r="S18" s="775"/>
      <c r="T18" s="774"/>
      <c r="U18" s="775"/>
      <c r="V18" s="774"/>
      <c r="W18" s="775"/>
      <c r="X18" s="2979"/>
      <c r="Y18" s="3185"/>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29"/>
      <c r="Q19" s="2977" t="str">
        <f>B19</f>
        <v>公共配套设施</v>
      </c>
      <c r="R19" s="774" t="s">
        <v>21</v>
      </c>
      <c r="S19" s="775">
        <f>F19</f>
        <v>100</v>
      </c>
      <c r="T19" s="774" t="s">
        <v>21</v>
      </c>
      <c r="U19" s="775">
        <f>H19</f>
        <v>100</v>
      </c>
      <c r="V19" s="774" t="s">
        <v>21</v>
      </c>
      <c r="W19" s="775">
        <f>J19</f>
        <v>100</v>
      </c>
      <c r="X19" s="2979"/>
      <c r="Y19" s="3185"/>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29"/>
      <c r="Q20" s="2977"/>
      <c r="R20" s="774"/>
      <c r="S20" s="775"/>
      <c r="T20" s="774"/>
      <c r="U20" s="775"/>
      <c r="V20" s="774"/>
      <c r="W20" s="775"/>
      <c r="X20" s="2979"/>
      <c r="Y20" s="3185"/>
      <c r="Z20" s="2978"/>
      <c r="AA20" s="2980">
        <v>1</v>
      </c>
      <c r="AB20" s="2980">
        <v>1</v>
      </c>
      <c r="AC20" s="298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29"/>
      <c r="Q21" s="2977" t="str">
        <f>B21</f>
        <v>基础设施水平</v>
      </c>
      <c r="R21" s="774" t="s">
        <v>17</v>
      </c>
      <c r="S21" s="775">
        <f>F21</f>
        <v>100</v>
      </c>
      <c r="T21" s="774" t="s">
        <v>17</v>
      </c>
      <c r="U21" s="775">
        <f>H21</f>
        <v>100</v>
      </c>
      <c r="V21" s="774" t="s">
        <v>17</v>
      </c>
      <c r="W21" s="775">
        <f>J21</f>
        <v>100</v>
      </c>
      <c r="X21" s="2979"/>
      <c r="Y21" s="3185"/>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29"/>
      <c r="Q22" s="2977"/>
      <c r="R22" s="774"/>
      <c r="S22" s="775"/>
      <c r="T22" s="774"/>
      <c r="U22" s="775"/>
      <c r="V22" s="774"/>
      <c r="W22" s="775"/>
      <c r="X22" s="2979"/>
      <c r="Y22" s="3185"/>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29"/>
      <c r="Q23" s="2977" t="str">
        <f>B23</f>
        <v>自然及人文环境</v>
      </c>
      <c r="R23" s="774" t="s">
        <v>21</v>
      </c>
      <c r="S23" s="775">
        <f>F23</f>
        <v>100</v>
      </c>
      <c r="T23" s="774" t="s">
        <v>21</v>
      </c>
      <c r="U23" s="775">
        <f>H23</f>
        <v>100</v>
      </c>
      <c r="V23" s="774" t="s">
        <v>21</v>
      </c>
      <c r="W23" s="775">
        <f>J23</f>
        <v>100</v>
      </c>
      <c r="X23" s="2979"/>
      <c r="Y23" s="3185"/>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29"/>
      <c r="Q24" s="2977"/>
      <c r="R24" s="774"/>
      <c r="S24" s="775"/>
      <c r="T24" s="774"/>
      <c r="U24" s="775"/>
      <c r="V24" s="774"/>
      <c r="W24" s="775"/>
      <c r="X24" s="2979"/>
      <c r="Y24" s="3185"/>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29"/>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185"/>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29"/>
      <c r="Q26" s="2977" t="str">
        <f t="shared" si="11"/>
        <v>朝向</v>
      </c>
      <c r="R26" s="774" t="s">
        <v>21</v>
      </c>
      <c r="S26" s="775">
        <f t="shared" si="12"/>
        <v>100</v>
      </c>
      <c r="T26" s="774" t="s">
        <v>21</v>
      </c>
      <c r="U26" s="775">
        <f t="shared" si="13"/>
        <v>100</v>
      </c>
      <c r="V26" s="774" t="s">
        <v>21</v>
      </c>
      <c r="W26" s="775">
        <f t="shared" si="14"/>
        <v>100</v>
      </c>
      <c r="X26" s="2979"/>
      <c r="Y26" s="3185"/>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29"/>
      <c r="Q27" s="2965">
        <f t="shared" si="11"/>
        <v>0</v>
      </c>
      <c r="R27" s="770" t="s">
        <v>21</v>
      </c>
      <c r="S27" s="771">
        <f t="shared" si="12"/>
        <v>100</v>
      </c>
      <c r="T27" s="770" t="s">
        <v>21</v>
      </c>
      <c r="U27" s="771">
        <f t="shared" si="13"/>
        <v>100</v>
      </c>
      <c r="V27" s="770" t="s">
        <v>21</v>
      </c>
      <c r="W27" s="771">
        <f t="shared" si="14"/>
        <v>100</v>
      </c>
      <c r="X27" s="772"/>
      <c r="Y27" s="3185"/>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29"/>
      <c r="Q28" s="2977">
        <f t="shared" si="11"/>
        <v>0</v>
      </c>
      <c r="R28" s="774" t="s">
        <v>21</v>
      </c>
      <c r="S28" s="775">
        <f t="shared" si="12"/>
        <v>100</v>
      </c>
      <c r="T28" s="774" t="s">
        <v>21</v>
      </c>
      <c r="U28" s="775">
        <f t="shared" si="13"/>
        <v>100</v>
      </c>
      <c r="V28" s="774" t="s">
        <v>21</v>
      </c>
      <c r="W28" s="775">
        <f t="shared" si="14"/>
        <v>100</v>
      </c>
      <c r="X28" s="2979"/>
      <c r="Y28" s="3185"/>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29"/>
      <c r="Q29" s="2977">
        <f t="shared" si="11"/>
        <v>0</v>
      </c>
      <c r="R29" s="774" t="s">
        <v>21</v>
      </c>
      <c r="S29" s="775">
        <f t="shared" si="12"/>
        <v>100</v>
      </c>
      <c r="T29" s="774" t="s">
        <v>21</v>
      </c>
      <c r="U29" s="775">
        <f t="shared" si="13"/>
        <v>100</v>
      </c>
      <c r="V29" s="774" t="s">
        <v>21</v>
      </c>
      <c r="W29" s="775">
        <f t="shared" si="14"/>
        <v>100</v>
      </c>
      <c r="X29" s="2979"/>
      <c r="Y29" s="3185"/>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29"/>
      <c r="Q30" s="2977">
        <f t="shared" si="11"/>
        <v>0</v>
      </c>
      <c r="R30" s="774" t="s">
        <v>21</v>
      </c>
      <c r="S30" s="775">
        <f t="shared" si="12"/>
        <v>100</v>
      </c>
      <c r="T30" s="774" t="s">
        <v>21</v>
      </c>
      <c r="U30" s="775">
        <f t="shared" si="13"/>
        <v>100</v>
      </c>
      <c r="V30" s="774" t="s">
        <v>21</v>
      </c>
      <c r="W30" s="775">
        <f t="shared" si="14"/>
        <v>100</v>
      </c>
      <c r="X30" s="2979"/>
      <c r="Y30" s="3185"/>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29"/>
      <c r="Q31" s="2977">
        <f t="shared" si="11"/>
        <v>0</v>
      </c>
      <c r="R31" s="774" t="s">
        <v>21</v>
      </c>
      <c r="S31" s="775">
        <f t="shared" si="12"/>
        <v>100</v>
      </c>
      <c r="T31" s="774" t="s">
        <v>21</v>
      </c>
      <c r="U31" s="775">
        <f t="shared" si="13"/>
        <v>100</v>
      </c>
      <c r="V31" s="774" t="s">
        <v>21</v>
      </c>
      <c r="W31" s="775">
        <f t="shared" si="14"/>
        <v>100</v>
      </c>
      <c r="X31" s="2979"/>
      <c r="Y31" s="3185"/>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24" t="s">
        <v>2515</v>
      </c>
      <c r="Q32" s="2977" t="str">
        <f t="shared" si="11"/>
        <v>建筑类型</v>
      </c>
      <c r="R32" s="774" t="s">
        <v>21</v>
      </c>
      <c r="S32" s="775">
        <f t="shared" si="12"/>
        <v>90</v>
      </c>
      <c r="T32" s="774" t="s">
        <v>21</v>
      </c>
      <c r="U32" s="775">
        <f t="shared" si="13"/>
        <v>90</v>
      </c>
      <c r="V32" s="774" t="s">
        <v>21</v>
      </c>
      <c r="W32" s="775">
        <f t="shared" si="14"/>
        <v>90</v>
      </c>
      <c r="X32" s="2979"/>
      <c r="Y32" s="3187"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259598.62</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25"/>
      <c r="Q33" s="776" t="str">
        <f t="shared" si="11"/>
        <v>项目建筑规模</v>
      </c>
      <c r="R33" s="777" t="s">
        <v>21</v>
      </c>
      <c r="S33" s="778">
        <f t="shared" si="12"/>
        <v>97</v>
      </c>
      <c r="T33" s="777" t="s">
        <v>21</v>
      </c>
      <c r="U33" s="778">
        <f t="shared" si="13"/>
        <v>98</v>
      </c>
      <c r="V33" s="777" t="s">
        <v>21</v>
      </c>
      <c r="W33" s="778">
        <f t="shared" si="14"/>
        <v>100</v>
      </c>
      <c r="X33" s="779"/>
      <c r="Y33" s="3187"/>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25"/>
      <c r="Q34" s="2977" t="str">
        <f t="shared" si="11"/>
        <v>建筑结构</v>
      </c>
      <c r="R34" s="774" t="s">
        <v>21</v>
      </c>
      <c r="S34" s="775">
        <f t="shared" si="12"/>
        <v>100</v>
      </c>
      <c r="T34" s="774" t="s">
        <v>21</v>
      </c>
      <c r="U34" s="775">
        <f t="shared" si="13"/>
        <v>100</v>
      </c>
      <c r="V34" s="774" t="s">
        <v>21</v>
      </c>
      <c r="W34" s="775">
        <f t="shared" si="14"/>
        <v>100</v>
      </c>
      <c r="X34" s="2979"/>
      <c r="Y34" s="3187"/>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25"/>
      <c r="Q35" s="2977" t="str">
        <f t="shared" si="11"/>
        <v>建筑品质</v>
      </c>
      <c r="R35" s="774" t="s">
        <v>21</v>
      </c>
      <c r="S35" s="775">
        <f t="shared" si="12"/>
        <v>100</v>
      </c>
      <c r="T35" s="774" t="s">
        <v>21</v>
      </c>
      <c r="U35" s="775">
        <f t="shared" si="13"/>
        <v>100</v>
      </c>
      <c r="V35" s="774" t="s">
        <v>21</v>
      </c>
      <c r="W35" s="775">
        <f t="shared" si="14"/>
        <v>100</v>
      </c>
      <c r="X35" s="2979"/>
      <c r="Y35" s="3187"/>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25"/>
      <c r="Q36" s="2977" t="str">
        <f t="shared" si="11"/>
        <v>公共部分装修</v>
      </c>
      <c r="R36" s="774" t="s">
        <v>21</v>
      </c>
      <c r="S36" s="775">
        <f t="shared" si="12"/>
        <v>100</v>
      </c>
      <c r="T36" s="774" t="s">
        <v>21</v>
      </c>
      <c r="U36" s="775">
        <f t="shared" si="13"/>
        <v>100</v>
      </c>
      <c r="V36" s="774" t="s">
        <v>21</v>
      </c>
      <c r="W36" s="775">
        <f t="shared" si="14"/>
        <v>100</v>
      </c>
      <c r="X36" s="2979"/>
      <c r="Y36" s="3187"/>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5"/>
      <c r="Q37" s="2965" t="str">
        <f t="shared" si="11"/>
        <v>成新度</v>
      </c>
      <c r="R37" s="770" t="s">
        <v>21</v>
      </c>
      <c r="S37" s="771">
        <f t="shared" si="12"/>
        <v>100</v>
      </c>
      <c r="T37" s="770" t="s">
        <v>21</v>
      </c>
      <c r="U37" s="771">
        <f t="shared" si="13"/>
        <v>100</v>
      </c>
      <c r="V37" s="770" t="s">
        <v>21</v>
      </c>
      <c r="W37" s="771">
        <f t="shared" si="14"/>
        <v>100</v>
      </c>
      <c r="X37" s="772"/>
      <c r="Y37" s="3187"/>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25" t="s">
        <v>2515</v>
      </c>
      <c r="Q38" s="2977" t="str">
        <f t="shared" si="11"/>
        <v>物业管理</v>
      </c>
      <c r="R38" s="774" t="s">
        <v>21</v>
      </c>
      <c r="S38" s="775">
        <f t="shared" si="12"/>
        <v>100</v>
      </c>
      <c r="T38" s="774" t="s">
        <v>21</v>
      </c>
      <c r="U38" s="775">
        <f t="shared" si="13"/>
        <v>100</v>
      </c>
      <c r="V38" s="774" t="s">
        <v>21</v>
      </c>
      <c r="W38" s="775">
        <f t="shared" si="14"/>
        <v>100</v>
      </c>
      <c r="X38" s="2979"/>
      <c r="Y38" s="3187"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25"/>
      <c r="Q39" s="2977" t="str">
        <f t="shared" si="11"/>
        <v>市政基础设施</v>
      </c>
      <c r="R39" s="774" t="s">
        <v>21</v>
      </c>
      <c r="S39" s="775">
        <f t="shared" si="12"/>
        <v>100</v>
      </c>
      <c r="T39" s="774" t="s">
        <v>21</v>
      </c>
      <c r="U39" s="775">
        <f t="shared" si="13"/>
        <v>100</v>
      </c>
      <c r="V39" s="774" t="s">
        <v>21</v>
      </c>
      <c r="W39" s="775">
        <f t="shared" si="14"/>
        <v>100</v>
      </c>
      <c r="X39" s="2979"/>
      <c r="Y39" s="3187"/>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25"/>
      <c r="Q40" s="2977" t="str">
        <f t="shared" si="11"/>
        <v>房型</v>
      </c>
      <c r="R40" s="774" t="s">
        <v>21</v>
      </c>
      <c r="S40" s="775">
        <f t="shared" si="12"/>
        <v>100</v>
      </c>
      <c r="T40" s="774" t="s">
        <v>21</v>
      </c>
      <c r="U40" s="775">
        <f t="shared" si="13"/>
        <v>100</v>
      </c>
      <c r="V40" s="774" t="s">
        <v>21</v>
      </c>
      <c r="W40" s="775">
        <f t="shared" si="14"/>
        <v>100</v>
      </c>
      <c r="X40" s="2979"/>
      <c r="Y40" s="3187"/>
      <c r="Z40" s="2978" t="str">
        <f t="shared" si="18"/>
        <v>房型</v>
      </c>
      <c r="AA40" s="2980">
        <f t="shared" si="15"/>
        <v>1</v>
      </c>
      <c r="AB40" s="2980">
        <f t="shared" si="16"/>
        <v>1</v>
      </c>
      <c r="AC40" s="2980">
        <f t="shared" si="17"/>
        <v>1</v>
      </c>
    </row>
    <row r="41" spans="1:29" s="471" customFormat="1" ht="28.5">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25"/>
      <c r="Q42" s="2977" t="str">
        <f t="shared" si="11"/>
        <v>内部装修</v>
      </c>
      <c r="R42" s="774" t="s">
        <v>21</v>
      </c>
      <c r="S42" s="775">
        <f t="shared" si="12"/>
        <v>100</v>
      </c>
      <c r="T42" s="774" t="s">
        <v>21</v>
      </c>
      <c r="U42" s="775">
        <f t="shared" si="13"/>
        <v>100</v>
      </c>
      <c r="V42" s="774" t="s">
        <v>21</v>
      </c>
      <c r="W42" s="775">
        <f t="shared" si="14"/>
        <v>100</v>
      </c>
      <c r="X42" s="2979"/>
      <c r="Y42" s="3187"/>
      <c r="Z42" s="2978" t="str">
        <f t="shared" si="18"/>
        <v>内部装修</v>
      </c>
      <c r="AA42" s="2980">
        <f t="shared" si="15"/>
        <v>1</v>
      </c>
      <c r="AB42" s="2980">
        <f t="shared" si="16"/>
        <v>1</v>
      </c>
      <c r="AC42" s="2980">
        <f t="shared" si="17"/>
        <v>1</v>
      </c>
    </row>
    <row r="43" spans="1:29" ht="15">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25"/>
      <c r="Q43" s="2977" t="str">
        <f t="shared" si="11"/>
        <v>内部装修维护情况</v>
      </c>
      <c r="R43" s="774" t="s">
        <v>21</v>
      </c>
      <c r="S43" s="775">
        <f t="shared" si="12"/>
        <v>100</v>
      </c>
      <c r="T43" s="774" t="s">
        <v>21</v>
      </c>
      <c r="U43" s="775">
        <f t="shared" si="13"/>
        <v>100</v>
      </c>
      <c r="V43" s="774" t="s">
        <v>21</v>
      </c>
      <c r="W43" s="775">
        <f t="shared" si="14"/>
        <v>100</v>
      </c>
      <c r="X43" s="2979"/>
      <c r="Y43" s="3187"/>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5"/>
      <c r="Q44" s="2965">
        <f t="shared" si="11"/>
        <v>0</v>
      </c>
      <c r="R44" s="770" t="s">
        <v>21</v>
      </c>
      <c r="S44" s="771">
        <f t="shared" si="12"/>
        <v>100</v>
      </c>
      <c r="T44" s="770" t="s">
        <v>21</v>
      </c>
      <c r="U44" s="771">
        <f t="shared" si="13"/>
        <v>100</v>
      </c>
      <c r="V44" s="770" t="s">
        <v>21</v>
      </c>
      <c r="W44" s="771">
        <f t="shared" si="14"/>
        <v>100</v>
      </c>
      <c r="X44" s="772"/>
      <c r="Y44" s="3187"/>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5"/>
      <c r="Q45" s="2977">
        <f t="shared" si="11"/>
        <v>0</v>
      </c>
      <c r="R45" s="774" t="s">
        <v>21</v>
      </c>
      <c r="S45" s="775">
        <f t="shared" si="12"/>
        <v>100</v>
      </c>
      <c r="T45" s="774" t="s">
        <v>21</v>
      </c>
      <c r="U45" s="775">
        <f t="shared" si="13"/>
        <v>100</v>
      </c>
      <c r="V45" s="774" t="s">
        <v>21</v>
      </c>
      <c r="W45" s="775">
        <f t="shared" si="14"/>
        <v>100</v>
      </c>
      <c r="X45" s="2979"/>
      <c r="Y45" s="3187"/>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6"/>
      <c r="Q46" s="2977">
        <f t="shared" si="11"/>
        <v>0</v>
      </c>
      <c r="R46" s="774" t="s">
        <v>20</v>
      </c>
      <c r="S46" s="775">
        <f t="shared" si="12"/>
        <v>100</v>
      </c>
      <c r="T46" s="774" t="s">
        <v>20</v>
      </c>
      <c r="U46" s="775">
        <f t="shared" si="13"/>
        <v>100</v>
      </c>
      <c r="V46" s="774" t="s">
        <v>20</v>
      </c>
      <c r="W46" s="775">
        <f t="shared" si="14"/>
        <v>100</v>
      </c>
      <c r="X46" s="2979"/>
      <c r="Y46" s="3227"/>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2" t="str">
        <f>A47</f>
        <v>成交单价（元/平方米）</v>
      </c>
      <c r="Q47" s="3182"/>
      <c r="R47" s="3223">
        <f>E47</f>
        <v>11000</v>
      </c>
      <c r="S47" s="3223"/>
      <c r="T47" s="3223">
        <f>G47</f>
        <v>11000</v>
      </c>
      <c r="U47" s="3223"/>
      <c r="V47" s="3223">
        <f>I47</f>
        <v>11000</v>
      </c>
      <c r="W47" s="3223"/>
      <c r="X47" s="759"/>
      <c r="Y47" s="781"/>
      <c r="Z47" s="759"/>
      <c r="AA47" s="759"/>
      <c r="AB47" s="759"/>
      <c r="AC47" s="759"/>
    </row>
    <row r="48" spans="1:29" ht="15.7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82" t="str">
        <f>A48</f>
        <v>比较价值（元/平方米）</v>
      </c>
      <c r="Q48" s="3182"/>
      <c r="R48" s="3223">
        <f>IF(F1="售价",ROUND(PRODUCT(R47,AA7:AA46),0),ROUND(PRODUCT(R47,AA7:AA46),1))</f>
        <v>12238</v>
      </c>
      <c r="S48" s="3223"/>
      <c r="T48" s="3223">
        <f>IF(F1="售价",ROUND(PRODUCT(T47,AB7:AB46),0),ROUND(PRODUCT(T47,AB7:AB46),1))</f>
        <v>12472</v>
      </c>
      <c r="U48" s="3223"/>
      <c r="V48" s="3223">
        <f>IF(F1="售价",ROUND(PRODUCT(V47,AC7:AC46),0),ROUND(PRODUCT(V47,AC7:AC46),1))</f>
        <v>11522</v>
      </c>
      <c r="W48" s="3223"/>
      <c r="X48" s="759"/>
      <c r="Y48" s="759"/>
      <c r="Z48" s="759"/>
      <c r="AA48" s="759"/>
      <c r="AB48" s="759"/>
      <c r="AC48" s="759"/>
    </row>
    <row r="49" spans="1:29" ht="15.75" thickBot="1">
      <c r="A49" s="492" t="s">
        <v>3277</v>
      </c>
      <c r="B49" s="493"/>
      <c r="C49" s="1416">
        <f>R49</f>
        <v>12077</v>
      </c>
      <c r="D49" s="1417"/>
      <c r="E49" s="1417"/>
      <c r="F49" s="1417"/>
      <c r="G49" s="1417"/>
      <c r="H49" s="1417"/>
      <c r="I49" s="1417"/>
      <c r="J49" s="1417"/>
      <c r="K49" s="2622"/>
      <c r="L49" s="1143"/>
      <c r="M49" s="1144"/>
      <c r="N49" s="1144"/>
      <c r="O49" s="1144"/>
      <c r="P49" s="3176" t="str">
        <f>A49</f>
        <v>估价对象公寓用房的比较价值（楼面单价，元/平方米）</v>
      </c>
      <c r="Q49" s="3177"/>
      <c r="R49" s="3222">
        <f>IF(F1="售价",ROUND(AVERAGE(R48:V48),0),ROUND(AVERAGE(R48:V48),1))</f>
        <v>12077</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3317</v>
      </c>
      <c r="E1" s="1820" t="s">
        <v>1379</v>
      </c>
      <c r="F1" s="1283">
        <f ca="1">J53</f>
        <v>33.43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9317</v>
      </c>
      <c r="C2" s="1844" t="s">
        <v>1508</v>
      </c>
      <c r="D2" s="1844"/>
      <c r="E2" s="1845"/>
      <c r="F2" s="1846"/>
      <c r="G2" s="1847"/>
      <c r="H2" s="1839"/>
      <c r="I2" s="1839"/>
      <c r="J2" s="1839"/>
      <c r="K2" s="1840"/>
      <c r="L2" s="1839"/>
      <c r="M2" s="1839"/>
    </row>
    <row r="3" spans="1:37" ht="18" customHeight="1" thickBot="1">
      <c r="A3" s="1848" t="s">
        <v>1509</v>
      </c>
      <c r="B3" s="1849">
        <f ca="1">IF(ISERROR(B2*10000/F43),0,ROUND(B2*10000/F43,0))</f>
        <v>19771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620</v>
      </c>
      <c r="D5" s="1821" t="s">
        <v>1394</v>
      </c>
      <c r="E5" s="1293"/>
      <c r="F5" s="1294"/>
      <c r="G5" s="1850"/>
      <c r="H5" s="344">
        <v>1</v>
      </c>
      <c r="I5" s="345" t="s">
        <v>1393</v>
      </c>
      <c r="J5" s="1292">
        <f ca="1">J6+J10+J12</f>
        <v>0</v>
      </c>
      <c r="K5" s="1821" t="s">
        <v>1394</v>
      </c>
      <c r="L5" s="1293"/>
      <c r="M5" s="1294"/>
    </row>
    <row r="6" spans="1:37" ht="18" customHeight="1">
      <c r="A6" s="1291" t="s">
        <v>1031</v>
      </c>
      <c r="B6" s="3234" t="s">
        <v>1395</v>
      </c>
      <c r="C6" s="1296">
        <f ca="1">ROUND(F6*F8*F7*(1-F9)/10000,0)</f>
        <v>619</v>
      </c>
      <c r="D6" s="164" t="s">
        <v>2981</v>
      </c>
      <c r="E6" s="347" t="s">
        <v>1397</v>
      </c>
      <c r="F6" s="348">
        <f ca="1">INDIRECT("'数据-取费表'!u"&amp;$G$1)</f>
        <v>4</v>
      </c>
      <c r="G6" s="1850"/>
      <c r="H6" s="1291" t="s">
        <v>1031</v>
      </c>
      <c r="I6" s="3234" t="s">
        <v>1395</v>
      </c>
      <c r="J6" s="346">
        <f ca="1">ROUND(M6*M8*M7*(1-M9)/10000,0)</f>
        <v>0</v>
      </c>
      <c r="K6" s="164" t="s">
        <v>2980</v>
      </c>
      <c r="L6" s="347" t="s">
        <v>1397</v>
      </c>
      <c r="M6" s="348">
        <f ca="1">INDIRECT("'数据-取费表'!z"&amp;$G$1)</f>
        <v>0</v>
      </c>
    </row>
    <row r="7" spans="1:37" ht="18" customHeight="1">
      <c r="A7" s="1295"/>
      <c r="B7" s="3235"/>
      <c r="C7" s="1297"/>
      <c r="D7" s="352"/>
      <c r="E7" s="1298" t="s">
        <v>1398</v>
      </c>
      <c r="F7" s="348">
        <f ca="1">IF(INDIRECT("'数据-取费表'!ah"&amp;$G$1)="",INDIRECT("'数据-取费表'!k"&amp;$G$1),INDIRECT("'数据-取费表'!ah"&amp;$G$1))</f>
        <v>4712.3900000000003</v>
      </c>
      <c r="G7" s="1850"/>
      <c r="H7" s="349"/>
      <c r="I7" s="3235"/>
      <c r="J7" s="351"/>
      <c r="K7" s="352"/>
      <c r="L7" s="347" t="s">
        <v>1398</v>
      </c>
      <c r="M7" s="348">
        <f ca="1">F7</f>
        <v>4712.3900000000003</v>
      </c>
    </row>
    <row r="8" spans="1:37" ht="18" customHeight="1">
      <c r="A8" s="349"/>
      <c r="B8" s="3235"/>
      <c r="C8" s="351"/>
      <c r="D8" s="352"/>
      <c r="E8" s="347" t="s">
        <v>1399</v>
      </c>
      <c r="F8" s="348">
        <f ca="1">INDIRECT("'数据-取费表'!ai"&amp;$G$1)</f>
        <v>365</v>
      </c>
      <c r="G8" s="1850"/>
      <c r="H8" s="349"/>
      <c r="I8" s="3235"/>
      <c r="J8" s="351"/>
      <c r="K8" s="352"/>
      <c r="L8" s="347" t="s">
        <v>1399</v>
      </c>
      <c r="M8" s="348">
        <f ca="1">INDIRECT("'数据-取费表'!ai"&amp;$G$1)</f>
        <v>365</v>
      </c>
    </row>
    <row r="9" spans="1:37" ht="18" customHeight="1">
      <c r="A9" s="349"/>
      <c r="B9" s="3236"/>
      <c r="C9" s="351"/>
      <c r="D9" s="352"/>
      <c r="E9" s="347" t="s">
        <v>1400</v>
      </c>
      <c r="F9" s="357">
        <f ca="1">INDIRECT("'数据-取费表'!w"&amp;$G$1)</f>
        <v>0.1</v>
      </c>
      <c r="G9" s="1850"/>
      <c r="H9" s="349"/>
      <c r="I9" s="3236"/>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1582</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942</v>
      </c>
      <c r="D14" s="1799" t="s">
        <v>1410</v>
      </c>
      <c r="E14" s="1793"/>
      <c r="F14" s="364"/>
      <c r="G14" s="1850"/>
      <c r="H14" s="1201" t="s">
        <v>1031</v>
      </c>
      <c r="I14" s="347" t="s">
        <v>1411</v>
      </c>
      <c r="J14" s="24">
        <f ca="1">C29</f>
        <v>1582</v>
      </c>
      <c r="K14" s="15"/>
      <c r="L14" s="979"/>
      <c r="M14" s="980"/>
    </row>
    <row r="15" spans="1:37" s="1857" customFormat="1" ht="18" customHeight="1" thickBot="1">
      <c r="A15" s="1201" t="s">
        <v>1032</v>
      </c>
      <c r="B15" s="347" t="s">
        <v>1412</v>
      </c>
      <c r="C15" s="24">
        <f ca="1">ROUND(C14*F15,0)</f>
        <v>47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53</v>
      </c>
      <c r="K16" s="1337" t="s">
        <v>1417</v>
      </c>
      <c r="L16" s="1338"/>
      <c r="M16" s="1294"/>
    </row>
    <row r="17" spans="1:37" s="1857" customFormat="1" ht="18" customHeight="1">
      <c r="A17" s="1201" t="s">
        <v>1382</v>
      </c>
      <c r="B17" s="347" t="s">
        <v>1418</v>
      </c>
      <c r="C17" s="24">
        <f ca="1">ROUND(F17*(F43+INDIRECT("'数据-取费表'!S"&amp;$G$1))/10000,0)</f>
        <v>71</v>
      </c>
      <c r="D17" s="347" t="s">
        <v>1419</v>
      </c>
      <c r="E17" s="347" t="s">
        <v>1420</v>
      </c>
      <c r="F17" s="26">
        <f>'数据-取费表'!B35</f>
        <v>150</v>
      </c>
      <c r="G17" s="1853"/>
      <c r="H17" s="1201" t="s">
        <v>1031</v>
      </c>
      <c r="I17" s="347" t="s">
        <v>1421</v>
      </c>
      <c r="J17" s="24">
        <f ca="1">ROUND(IF(项目基本情况!B11="自然人",J5*M17,J18+J19+J20),1)</f>
        <v>13.4</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1074</v>
      </c>
      <c r="D19" s="140" t="s">
        <v>1428</v>
      </c>
      <c r="E19" s="1817"/>
      <c r="F19" s="26"/>
      <c r="G19" s="1850"/>
      <c r="H19" s="1201" t="s">
        <v>1032</v>
      </c>
      <c r="I19" s="347" t="s">
        <v>1429</v>
      </c>
      <c r="J19" s="24">
        <f ca="1">IF(K19="按租金收入计税",ROUND(J5*M19,2),ROUND(C29*M19*0.7,2))</f>
        <v>13.29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v>
      </c>
      <c r="D20" s="369" t="s">
        <v>1432</v>
      </c>
      <c r="E20" s="347" t="s">
        <v>1414</v>
      </c>
      <c r="F20" s="367">
        <f>'数据-取费表'!B37</f>
        <v>0.01</v>
      </c>
      <c r="G20" s="1853"/>
      <c r="H20" s="1201" t="s">
        <v>1381</v>
      </c>
      <c r="I20" s="164" t="s">
        <v>1433</v>
      </c>
      <c r="J20" s="25">
        <f ca="1">ROUND(M20*M21/10000,2)</f>
        <v>0.15</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741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39.6</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65</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-53</v>
      </c>
      <c r="K25" s="1345" t="s">
        <v>1456</v>
      </c>
      <c r="L25" s="1346"/>
      <c r="M25" s="1347"/>
    </row>
    <row r="26" spans="1:37">
      <c r="A26" s="1201" t="s">
        <v>1030</v>
      </c>
      <c r="B26" s="347" t="s">
        <v>1457</v>
      </c>
      <c r="C26" s="24">
        <f ca="1">ROUND((C19+C20)*F26,0)</f>
        <v>326</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1582</v>
      </c>
      <c r="D29" s="1342"/>
      <c r="E29" s="1340"/>
      <c r="F29" s="1343"/>
      <c r="G29" s="1853"/>
      <c r="H29" s="380" t="s">
        <v>1029</v>
      </c>
      <c r="I29" s="381" t="s">
        <v>1471</v>
      </c>
      <c r="J29" s="382">
        <f ca="1">ROUND(J26/(1+F40)^F41,0)</f>
        <v>0</v>
      </c>
      <c r="K29" s="383" t="s">
        <v>1472</v>
      </c>
      <c r="L29" s="384"/>
      <c r="M29" s="385">
        <f ca="1">INDIRECT("'数据-取费表'!k"&amp;$G$1)</f>
        <v>4712.3900000000003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167</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107.6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33.07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74.400000000000006</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0.15</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741</v>
      </c>
      <c r="G35" s="1850"/>
      <c r="H35" s="745"/>
      <c r="I35" s="1859"/>
      <c r="J35" s="1860"/>
      <c r="K35" s="1861"/>
      <c r="L35" s="1858"/>
      <c r="M35" s="1858"/>
    </row>
    <row r="36" spans="1:18" ht="18" customHeight="1">
      <c r="A36" s="1352" t="s">
        <v>1035</v>
      </c>
      <c r="B36" s="347" t="s">
        <v>1441</v>
      </c>
      <c r="C36" s="24">
        <f ca="1">ROUND(C29*F36,1)</f>
        <v>39.6</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15.5</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453</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9317</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33.43</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19771</v>
      </c>
      <c r="D43" s="383" t="s">
        <v>1480</v>
      </c>
      <c r="E43" s="384" t="s">
        <v>1481</v>
      </c>
      <c r="F43" s="385">
        <f ca="1">INDIRECT("'数据-取费表'!k"&amp;$G$1)</f>
        <v>4712.3900000000003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-11846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9317</v>
      </c>
      <c r="R47" s="1885" t="s">
        <v>1521</v>
      </c>
    </row>
    <row r="48" spans="1:18" s="1841" customFormat="1" ht="28.5"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1582</v>
      </c>
      <c r="R49" s="1885" t="s">
        <v>1521</v>
      </c>
    </row>
    <row r="50" spans="1:18" s="1841" customFormat="1" ht="13.5" thickBot="1">
      <c r="A50" s="1195"/>
      <c r="B50" s="1198"/>
      <c r="C50" s="1368"/>
      <c r="D50" s="1172"/>
      <c r="E50" s="1277" t="s">
        <v>1398</v>
      </c>
      <c r="F50" s="1278">
        <f ca="1">F7</f>
        <v>4712.3900000000003</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4875</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33.43</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33.43</v>
      </c>
      <c r="K53" s="3232" t="s">
        <v>1540</v>
      </c>
      <c r="L53" s="3233"/>
      <c r="O53" s="1883" t="s">
        <v>1042</v>
      </c>
      <c r="P53" s="1884" t="s">
        <v>1541</v>
      </c>
      <c r="Q53" s="1885">
        <f ca="1">Q47+Q48</f>
        <v>9317</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1582</v>
      </c>
      <c r="D56" s="1913"/>
      <c r="E56" s="1914"/>
      <c r="F56" s="1906"/>
      <c r="I56" s="1915" t="s">
        <v>1546</v>
      </c>
      <c r="J56" s="1916" t="s">
        <v>3023</v>
      </c>
      <c r="K56" s="1886" t="s">
        <v>1547</v>
      </c>
      <c r="L56" s="1889" t="str">
        <f ca="1">IF(L48&lt;J51,"——",L48-J53)</f>
        <v>——</v>
      </c>
      <c r="O56" s="1883" t="s">
        <v>1036</v>
      </c>
      <c r="P56" s="1884" t="s">
        <v>1520</v>
      </c>
      <c r="Q56" s="1885">
        <f ca="1">C40+J29</f>
        <v>9317</v>
      </c>
      <c r="R56" s="1885" t="s">
        <v>1521</v>
      </c>
    </row>
    <row r="57" spans="1:18" s="1841" customFormat="1" ht="24.75" thickBot="1">
      <c r="A57" s="1917"/>
      <c r="B57" s="1169" t="s">
        <v>1470</v>
      </c>
      <c r="C57" s="282">
        <f ca="1">C29</f>
        <v>1582</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177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133</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132.88999999999999</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0.15</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9317</v>
      </c>
      <c r="R62" s="1885" t="s">
        <v>1043</v>
      </c>
    </row>
    <row r="63" spans="1:18" s="1841" customFormat="1" ht="13.5" thickBot="1">
      <c r="A63" s="372"/>
      <c r="B63" s="1175"/>
      <c r="C63" s="29"/>
      <c r="D63" s="1185"/>
      <c r="E63" s="1169" t="s">
        <v>1491</v>
      </c>
      <c r="F63" s="348">
        <f t="shared" ca="1" si="0"/>
        <v>741</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39.6</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9317</v>
      </c>
      <c r="R65" s="1885" t="s">
        <v>1521</v>
      </c>
    </row>
    <row r="66" spans="1:18" s="1841" customFormat="1" ht="16.5"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-177</v>
      </c>
      <c r="D67" s="1182" t="s">
        <v>1456</v>
      </c>
      <c r="E67" s="1187"/>
      <c r="F67" s="1188"/>
      <c r="O67" s="1893" t="s">
        <v>1038</v>
      </c>
      <c r="P67" s="1884" t="s">
        <v>1554</v>
      </c>
      <c r="Q67" s="1932">
        <f ca="1">L51</f>
        <v>4875</v>
      </c>
      <c r="R67" s="1885" t="s">
        <v>1574</v>
      </c>
    </row>
    <row r="68" spans="1:18" s="1841" customFormat="1" ht="16.5" thickBot="1">
      <c r="A68" s="1166" t="s">
        <v>1028</v>
      </c>
      <c r="B68" s="1167" t="s">
        <v>1477</v>
      </c>
      <c r="C68" s="346">
        <f ca="1">ROUND(C67*(1-((1+F70)/(1+F68))^F69)/(F68-F70),0)</f>
        <v>-2529</v>
      </c>
      <c r="D68" s="1184" t="s">
        <v>1461</v>
      </c>
      <c r="E68" s="1169" t="s">
        <v>1462</v>
      </c>
      <c r="F68" s="357">
        <f ca="1">F40</f>
        <v>0.06</v>
      </c>
      <c r="O68" s="1893" t="s">
        <v>1039</v>
      </c>
      <c r="P68" s="1933" t="s">
        <v>1575</v>
      </c>
      <c r="Q68" s="1885">
        <f ca="1">ROUND(Q69-Q70*Q71,0)</f>
        <v>319</v>
      </c>
      <c r="R68" s="1885" t="s">
        <v>1047</v>
      </c>
    </row>
    <row r="69" spans="1:18" s="1841" customFormat="1" ht="13.5" thickBot="1">
      <c r="A69" s="1170"/>
      <c r="B69" s="1171"/>
      <c r="C69" s="351"/>
      <c r="D69" s="1189" t="s">
        <v>1465</v>
      </c>
      <c r="E69" s="1169" t="s">
        <v>1466</v>
      </c>
      <c r="F69" s="379">
        <f ca="1">F41</f>
        <v>33.43</v>
      </c>
      <c r="O69" s="1893" t="s">
        <v>1044</v>
      </c>
      <c r="P69" s="1933" t="s">
        <v>1576</v>
      </c>
      <c r="Q69" s="1885">
        <f ca="1">C39</f>
        <v>453</v>
      </c>
      <c r="R69" s="1885" t="s">
        <v>1521</v>
      </c>
    </row>
    <row r="70" spans="1:18" s="1841" customFormat="1" ht="13.5" thickBot="1">
      <c r="A70" s="1173"/>
      <c r="B70" s="1174"/>
      <c r="C70" s="355"/>
      <c r="D70" s="1185"/>
      <c r="E70" s="1169" t="s">
        <v>1469</v>
      </c>
      <c r="F70" s="1275"/>
      <c r="O70" s="1893" t="s">
        <v>1045</v>
      </c>
      <c r="P70" s="1933" t="s">
        <v>1577</v>
      </c>
      <c r="Q70" s="1885">
        <f ca="1">C13</f>
        <v>1582</v>
      </c>
      <c r="R70" s="1885" t="s">
        <v>1521</v>
      </c>
    </row>
    <row r="71" spans="1:18" s="1841" customFormat="1" ht="13.5" thickBot="1">
      <c r="A71" s="1190" t="s">
        <v>1029</v>
      </c>
      <c r="B71" s="1191" t="s">
        <v>1479</v>
      </c>
      <c r="C71" s="382">
        <f ca="1">ROUND(C68*10000/F71,0)</f>
        <v>-5367</v>
      </c>
      <c r="D71" s="1192" t="s">
        <v>1480</v>
      </c>
      <c r="E71" s="1193" t="s">
        <v>1481</v>
      </c>
      <c r="F71" s="385">
        <f ca="1">F43</f>
        <v>4712.3900000000003</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134</v>
      </c>
      <c r="D75" s="1841"/>
      <c r="E75" s="1841"/>
      <c r="F75" s="1841"/>
      <c r="K75" s="1867"/>
      <c r="L75" s="1841"/>
      <c r="O75" s="1883" t="s">
        <v>1042</v>
      </c>
      <c r="P75" s="1884" t="s">
        <v>1541</v>
      </c>
      <c r="Q75" s="1885">
        <f ca="1">Q65+Q66</f>
        <v>9317</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0.70399999999999996</v>
      </c>
    </row>
    <row r="80" spans="1:18">
      <c r="B80" s="386" t="s">
        <v>1503</v>
      </c>
      <c r="C80" s="318">
        <f ca="1">ROUND(C75/C39,3)</f>
        <v>0.29599999999999999</v>
      </c>
    </row>
    <row r="81" spans="2:3">
      <c r="B81" s="314" t="s">
        <v>1504</v>
      </c>
      <c r="C81" s="282"/>
    </row>
    <row r="82" spans="2:3">
      <c r="B82" s="317" t="s">
        <v>1505</v>
      </c>
      <c r="C82" s="319">
        <f ca="1">1-C83</f>
        <v>0.83</v>
      </c>
    </row>
    <row r="83" spans="2:3">
      <c r="B83" s="317" t="s">
        <v>1506</v>
      </c>
      <c r="C83" s="318">
        <f ca="1">ROUND(C13/C40,3)</f>
        <v>0.17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34" t="s">
        <v>1395</v>
      </c>
      <c r="C6" s="1296">
        <f ca="1">ROUND(F6*F8*F7*(1-F9),0)</f>
        <v>0</v>
      </c>
      <c r="D6" s="164" t="s">
        <v>2978</v>
      </c>
      <c r="E6" s="347" t="s">
        <v>1397</v>
      </c>
      <c r="F6" s="348">
        <f ca="1">INDIRECT("'数据-取费表'!u"&amp;$G$1)</f>
        <v>0</v>
      </c>
      <c r="G6" s="1850"/>
      <c r="H6" s="1291" t="s">
        <v>1031</v>
      </c>
      <c r="I6" s="3234" t="s">
        <v>1395</v>
      </c>
      <c r="J6" s="346">
        <f ca="1">ROUND(M6*M8*M7*(1-M9),0)</f>
        <v>0</v>
      </c>
      <c r="K6" s="1833" t="s">
        <v>2979</v>
      </c>
      <c r="L6" s="347" t="s">
        <v>1397</v>
      </c>
      <c r="M6" s="348">
        <f ca="1">INDIRECT("'数据-取费表'!z"&amp;$G$1)</f>
        <v>0</v>
      </c>
    </row>
    <row r="7" spans="1:37" ht="18" customHeight="1">
      <c r="A7" s="1295"/>
      <c r="B7" s="3235"/>
      <c r="C7" s="1297"/>
      <c r="D7" s="352"/>
      <c r="E7" s="1298" t="s">
        <v>1398</v>
      </c>
      <c r="F7" s="348">
        <f ca="1">IF(INDIRECT("'数据-取费表'!ah"&amp;$G$1)="",INDIRECT("'数据-取费表'!k"&amp;$G$1),INDIRECT("'数据-取费表'!ah"&amp;$G$1))</f>
        <v>0</v>
      </c>
      <c r="G7" s="1850"/>
      <c r="H7" s="349"/>
      <c r="I7" s="3235"/>
      <c r="J7" s="351"/>
      <c r="K7" s="352"/>
      <c r="L7" s="347" t="s">
        <v>1398</v>
      </c>
      <c r="M7" s="348">
        <f ca="1">F7</f>
        <v>0</v>
      </c>
    </row>
    <row r="8" spans="1:37" ht="18" customHeight="1">
      <c r="A8" s="349"/>
      <c r="B8" s="3235"/>
      <c r="C8" s="351"/>
      <c r="D8" s="352"/>
      <c r="E8" s="347" t="s">
        <v>1399</v>
      </c>
      <c r="F8" s="348">
        <f ca="1">INDIRECT("'数据-取费表'!ai"&amp;$G$1)</f>
        <v>0</v>
      </c>
      <c r="G8" s="1850"/>
      <c r="H8" s="349"/>
      <c r="I8" s="3235"/>
      <c r="J8" s="351"/>
      <c r="K8" s="352"/>
      <c r="L8" s="347" t="s">
        <v>1399</v>
      </c>
      <c r="M8" s="348">
        <f ca="1">INDIRECT("'数据-取费表'!ai"&amp;$G$1)</f>
        <v>0</v>
      </c>
    </row>
    <row r="9" spans="1:37" ht="18" customHeight="1">
      <c r="A9" s="349"/>
      <c r="B9" s="3236"/>
      <c r="C9" s="351"/>
      <c r="D9" s="352"/>
      <c r="E9" s="347" t="s">
        <v>1400</v>
      </c>
      <c r="F9" s="357">
        <f ca="1">INDIRECT("'数据-取费表'!w"&amp;$G$1)</f>
        <v>0</v>
      </c>
      <c r="G9" s="1850"/>
      <c r="H9" s="349"/>
      <c r="I9" s="3236"/>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2" t="s">
        <v>1540</v>
      </c>
      <c r="L53" s="3233"/>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12769</v>
      </c>
      <c r="C2" s="2565" t="s">
        <v>2469</v>
      </c>
      <c r="D2" s="2566" t="s">
        <v>2470</v>
      </c>
      <c r="E2" s="2567">
        <f>SUM(E6:E13)</f>
        <v>12583.119999999999</v>
      </c>
    </row>
    <row r="3" spans="1:6" ht="15.75">
      <c r="A3" s="2563" t="s">
        <v>1387</v>
      </c>
      <c r="B3" s="2564">
        <f ca="1">ROUND(B2*10000/E2,0)</f>
        <v>10148</v>
      </c>
      <c r="C3" s="2565" t="s">
        <v>2477</v>
      </c>
      <c r="D3" s="2568"/>
      <c r="E3" s="2569"/>
    </row>
    <row r="4" spans="1:6" ht="15.75">
      <c r="A4" s="2570"/>
      <c r="B4" s="2568"/>
      <c r="C4" s="2568"/>
      <c r="D4" s="2568"/>
      <c r="E4" s="2569"/>
    </row>
    <row r="5" spans="1:6" ht="15">
      <c r="A5" s="2571" t="s">
        <v>2471</v>
      </c>
      <c r="B5" s="3237" t="s">
        <v>2472</v>
      </c>
      <c r="C5" s="3237"/>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收益法-商业</v>
      </c>
      <c r="B7" s="2574">
        <f ca="1">IF(F7="是",'数据-取费表'!AO7,0)</f>
        <v>9317</v>
      </c>
      <c r="C7" s="2565" t="s">
        <v>2469</v>
      </c>
      <c r="D7" s="2568"/>
      <c r="E7" s="2576">
        <f>IF(OR(A7=0,F7="否"),0,'数据-取费表'!K7+'数据-取费表'!S7)</f>
        <v>4712.3900000000003</v>
      </c>
      <c r="F7" s="2577" t="s">
        <v>2475</v>
      </c>
    </row>
    <row r="8" spans="1:6">
      <c r="A8" s="2575" t="str">
        <f>'数据-取费表'!AN8</f>
        <v>收益法-地下车库</v>
      </c>
      <c r="B8" s="2574">
        <f ca="1">IF(F8="是",'数据-取费表'!AO8,0)</f>
        <v>3452</v>
      </c>
      <c r="C8" s="2565" t="s">
        <v>2469</v>
      </c>
      <c r="D8" s="2568"/>
      <c r="E8" s="2576">
        <f>IF(OR(A8=0,F8="否"),0,'数据-取费表'!K8+'数据-取费表'!S8)</f>
        <v>7870.73</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54" t="s">
        <v>1072</v>
      </c>
      <c r="B1" s="3255"/>
      <c r="C1" s="3256"/>
      <c r="D1" s="3257">
        <f>SUM(I10,I15,I20,I21,I23)</f>
        <v>0</v>
      </c>
      <c r="E1" s="3257"/>
      <c r="F1" s="3257"/>
      <c r="G1" s="3257"/>
      <c r="H1" s="3257"/>
      <c r="I1" s="3258"/>
    </row>
    <row r="2" spans="1:9">
      <c r="A2" s="3244" t="s">
        <v>1073</v>
      </c>
      <c r="B2" s="3245" t="s">
        <v>1074</v>
      </c>
      <c r="C2" s="3245"/>
      <c r="D2" s="1301" t="s">
        <v>1075</v>
      </c>
      <c r="E2" s="1301" t="s">
        <v>1076</v>
      </c>
      <c r="F2" s="1301" t="s">
        <v>1077</v>
      </c>
      <c r="G2" s="1301" t="s">
        <v>1078</v>
      </c>
      <c r="H2" s="1301" t="s">
        <v>1079</v>
      </c>
      <c r="I2" s="1302" t="s">
        <v>1080</v>
      </c>
    </row>
    <row r="3" spans="1:9">
      <c r="A3" s="3244"/>
      <c r="B3" s="3245" t="s">
        <v>1081</v>
      </c>
      <c r="C3" s="3245"/>
      <c r="D3" s="1303"/>
      <c r="E3" s="1301"/>
      <c r="F3" s="1304"/>
      <c r="G3" s="1304"/>
      <c r="H3" s="1305"/>
      <c r="I3" s="1306">
        <f>ROUND(D3*E3*F3*G3*H3/10000,0)</f>
        <v>0</v>
      </c>
    </row>
    <row r="4" spans="1:9">
      <c r="A4" s="3244"/>
      <c r="B4" s="3245" t="s">
        <v>1082</v>
      </c>
      <c r="C4" s="3245"/>
      <c r="D4" s="1303"/>
      <c r="E4" s="1301"/>
      <c r="F4" s="1304"/>
      <c r="G4" s="1304"/>
      <c r="H4" s="1305"/>
      <c r="I4" s="1306">
        <f t="shared" ref="I4:I9" si="0">ROUND(D4*E4*F4*G4*H4/10000,0)</f>
        <v>0</v>
      </c>
    </row>
    <row r="5" spans="1:9">
      <c r="A5" s="3244"/>
      <c r="B5" s="3245" t="s">
        <v>1083</v>
      </c>
      <c r="C5" s="3245"/>
      <c r="D5" s="1303"/>
      <c r="E5" s="1301"/>
      <c r="F5" s="1304"/>
      <c r="G5" s="1304"/>
      <c r="H5" s="1305"/>
      <c r="I5" s="1306">
        <f t="shared" si="0"/>
        <v>0</v>
      </c>
    </row>
    <row r="6" spans="1:9">
      <c r="A6" s="3244"/>
      <c r="B6" s="3245" t="s">
        <v>1084</v>
      </c>
      <c r="C6" s="3245"/>
      <c r="D6" s="1303"/>
      <c r="E6" s="1301"/>
      <c r="F6" s="1304"/>
      <c r="G6" s="1304"/>
      <c r="H6" s="1305"/>
      <c r="I6" s="1306">
        <f t="shared" si="0"/>
        <v>0</v>
      </c>
    </row>
    <row r="7" spans="1:9">
      <c r="A7" s="3244"/>
      <c r="B7" s="3245" t="s">
        <v>1085</v>
      </c>
      <c r="C7" s="3245"/>
      <c r="D7" s="1303"/>
      <c r="E7" s="1301"/>
      <c r="F7" s="1304"/>
      <c r="G7" s="1304"/>
      <c r="H7" s="1305"/>
      <c r="I7" s="1306">
        <f t="shared" si="0"/>
        <v>0</v>
      </c>
    </row>
    <row r="8" spans="1:9">
      <c r="A8" s="3244"/>
      <c r="B8" s="3245" t="s">
        <v>1086</v>
      </c>
      <c r="C8" s="3245"/>
      <c r="D8" s="1303"/>
      <c r="E8" s="1301"/>
      <c r="F8" s="1304"/>
      <c r="G8" s="1304"/>
      <c r="H8" s="1305"/>
      <c r="I8" s="1306">
        <f t="shared" si="0"/>
        <v>0</v>
      </c>
    </row>
    <row r="9" spans="1:9">
      <c r="A9" s="3244"/>
      <c r="B9" s="3245" t="s">
        <v>1087</v>
      </c>
      <c r="C9" s="3245"/>
      <c r="D9" s="1303"/>
      <c r="E9" s="1301"/>
      <c r="F9" s="1304"/>
      <c r="G9" s="1304"/>
      <c r="H9" s="1305"/>
      <c r="I9" s="1306">
        <f t="shared" si="0"/>
        <v>0</v>
      </c>
    </row>
    <row r="10" spans="1:9">
      <c r="A10" s="3244"/>
      <c r="B10" s="3246" t="s">
        <v>1088</v>
      </c>
      <c r="C10" s="3246"/>
      <c r="D10" s="1307"/>
      <c r="E10" s="1307" t="e">
        <f>ROUND(D1*10000/D10/H9,0)</f>
        <v>#DIV/0!</v>
      </c>
      <c r="F10" s="1308"/>
      <c r="G10" s="1308"/>
      <c r="H10" s="1309"/>
      <c r="I10" s="1310">
        <f>SUM(I3:I9)</f>
        <v>0</v>
      </c>
    </row>
    <row r="11" spans="1:9" ht="14.25">
      <c r="A11" s="3244" t="s">
        <v>1089</v>
      </c>
      <c r="B11" s="3245" t="s">
        <v>1090</v>
      </c>
      <c r="C11" s="3245"/>
      <c r="D11" s="1303" t="s">
        <v>1091</v>
      </c>
      <c r="E11" s="1303" t="s">
        <v>1092</v>
      </c>
      <c r="F11" s="1304" t="s">
        <v>1093</v>
      </c>
      <c r="G11" s="1304" t="s">
        <v>1079</v>
      </c>
      <c r="H11" s="1311" t="s">
        <v>1094</v>
      </c>
      <c r="I11" s="1302" t="s">
        <v>1080</v>
      </c>
    </row>
    <row r="12" spans="1:9">
      <c r="A12" s="3244"/>
      <c r="B12" s="3245" t="s">
        <v>1095</v>
      </c>
      <c r="C12" s="3245"/>
      <c r="D12" s="1303"/>
      <c r="E12" s="1303"/>
      <c r="F12" s="1304"/>
      <c r="G12" s="1305"/>
      <c r="H12" s="1312"/>
      <c r="I12" s="1302">
        <f>ROUND(D12*E12*F12*G12/10000,0)</f>
        <v>0</v>
      </c>
    </row>
    <row r="13" spans="1:9">
      <c r="A13" s="3244"/>
      <c r="B13" s="3245" t="s">
        <v>1096</v>
      </c>
      <c r="C13" s="3245"/>
      <c r="D13" s="1303"/>
      <c r="E13" s="1303"/>
      <c r="F13" s="1304"/>
      <c r="G13" s="1305"/>
      <c r="H13" s="1312"/>
      <c r="I13" s="1302">
        <f>ROUND(D13*E13*F13*G13/10000,0)</f>
        <v>0</v>
      </c>
    </row>
    <row r="14" spans="1:9">
      <c r="A14" s="3244"/>
      <c r="B14" s="3245" t="s">
        <v>1097</v>
      </c>
      <c r="C14" s="3245"/>
      <c r="D14" s="1303"/>
      <c r="E14" s="1303"/>
      <c r="F14" s="1304"/>
      <c r="G14" s="1305"/>
      <c r="H14" s="1312"/>
      <c r="I14" s="1302">
        <f>ROUND(D14*E14*F14*G14/10000,0)</f>
        <v>0</v>
      </c>
    </row>
    <row r="15" spans="1:9">
      <c r="A15" s="3244"/>
      <c r="B15" s="3246" t="s">
        <v>1088</v>
      </c>
      <c r="C15" s="3246"/>
      <c r="D15" s="1307"/>
      <c r="E15" s="1307">
        <f>SUM(E12:E14)</f>
        <v>0</v>
      </c>
      <c r="F15" s="1308"/>
      <c r="G15" s="1305"/>
      <c r="H15" s="1312"/>
      <c r="I15" s="1313">
        <f>SUM(I12:I14)</f>
        <v>0</v>
      </c>
    </row>
    <row r="16" spans="1:9" ht="24">
      <c r="A16" s="3244" t="s">
        <v>1098</v>
      </c>
      <c r="B16" s="3245" t="s">
        <v>1099</v>
      </c>
      <c r="C16" s="3245"/>
      <c r="D16" s="1303" t="s">
        <v>1075</v>
      </c>
      <c r="E16" s="1314" t="s">
        <v>1100</v>
      </c>
      <c r="F16" s="1304" t="s">
        <v>1101</v>
      </c>
      <c r="G16" s="1305" t="s">
        <v>1079</v>
      </c>
      <c r="H16" s="1311" t="s">
        <v>1094</v>
      </c>
      <c r="I16" s="1302" t="s">
        <v>1080</v>
      </c>
    </row>
    <row r="17" spans="1:9" ht="14.25">
      <c r="A17" s="3244"/>
      <c r="B17" s="3245" t="s">
        <v>1102</v>
      </c>
      <c r="C17" s="3245"/>
      <c r="D17" s="1303"/>
      <c r="E17" s="1303"/>
      <c r="F17" s="1304"/>
      <c r="G17" s="1305"/>
      <c r="H17" s="1315"/>
      <c r="I17" s="1316">
        <f>ROUND(D17*E17*F17*G17/10000,0)</f>
        <v>0</v>
      </c>
    </row>
    <row r="18" spans="1:9" ht="14.25">
      <c r="A18" s="3244"/>
      <c r="B18" s="3245" t="s">
        <v>1103</v>
      </c>
      <c r="C18" s="3245"/>
      <c r="D18" s="1303"/>
      <c r="E18" s="1303"/>
      <c r="F18" s="1304"/>
      <c r="G18" s="1305"/>
      <c r="H18" s="1315"/>
      <c r="I18" s="1316">
        <f>ROUND(D18*E18*F18*G18/10000,0)</f>
        <v>0</v>
      </c>
    </row>
    <row r="19" spans="1:9" ht="14.25">
      <c r="A19" s="3244"/>
      <c r="B19" s="3245" t="s">
        <v>1104</v>
      </c>
      <c r="C19" s="3245"/>
      <c r="D19" s="1303"/>
      <c r="E19" s="1303"/>
      <c r="F19" s="1304"/>
      <c r="G19" s="1305"/>
      <c r="H19" s="1315"/>
      <c r="I19" s="1316">
        <f>ROUND(D19*E19*F19*G19/10000,0)</f>
        <v>0</v>
      </c>
    </row>
    <row r="20" spans="1:9">
      <c r="A20" s="3244"/>
      <c r="B20" s="3246" t="s">
        <v>1088</v>
      </c>
      <c r="C20" s="3246"/>
      <c r="D20" s="1307">
        <f>SUM(D17:D19)</f>
        <v>0</v>
      </c>
      <c r="E20" s="1307"/>
      <c r="F20" s="1308"/>
      <c r="G20" s="1305"/>
      <c r="H20" s="1312"/>
      <c r="I20" s="1313">
        <f>SUM(I17:I19)</f>
        <v>0</v>
      </c>
    </row>
    <row r="21" spans="1:9">
      <c r="A21" s="3244" t="s">
        <v>1105</v>
      </c>
      <c r="B21" s="3247"/>
      <c r="C21" s="3247"/>
      <c r="D21" s="3247"/>
      <c r="E21" s="3247"/>
      <c r="F21" s="3247"/>
      <c r="G21" s="3247"/>
      <c r="H21" s="1764">
        <v>0.1</v>
      </c>
      <c r="I21" s="1310">
        <f>ROUND(I10*H21,0)</f>
        <v>0</v>
      </c>
    </row>
    <row r="22" spans="1:9" ht="14.25">
      <c r="A22" s="3248" t="s">
        <v>1106</v>
      </c>
      <c r="B22" s="3249"/>
      <c r="C22" s="3250"/>
      <c r="D22" s="1317" t="s">
        <v>1107</v>
      </c>
      <c r="E22" s="1317" t="s">
        <v>1108</v>
      </c>
      <c r="F22" s="1318" t="s">
        <v>1109</v>
      </c>
      <c r="G22" s="1318" t="s">
        <v>1110</v>
      </c>
      <c r="H22" s="1311" t="s">
        <v>1111</v>
      </c>
      <c r="I22" s="1302" t="s">
        <v>1112</v>
      </c>
    </row>
    <row r="23" spans="1:9" ht="14.25" thickBot="1">
      <c r="A23" s="3251"/>
      <c r="B23" s="3252"/>
      <c r="C23" s="3253"/>
      <c r="D23" s="1319"/>
      <c r="E23" s="1319"/>
      <c r="F23" s="1319"/>
      <c r="G23" s="1320"/>
      <c r="H23" s="1321"/>
      <c r="I23" s="1322">
        <f>ROUND(E23*D23*F23*(1-G23)/10000,0)</f>
        <v>0</v>
      </c>
    </row>
    <row r="26" spans="1:9">
      <c r="A26" s="1323" t="s">
        <v>1113</v>
      </c>
      <c r="B26" s="1323"/>
      <c r="C26" s="1323"/>
      <c r="D26" s="1323"/>
      <c r="E26" s="3241">
        <f>C27-C30-C31-C32</f>
        <v>0</v>
      </c>
      <c r="F26" s="3241"/>
      <c r="G26" s="3241"/>
      <c r="H26" s="1736" t="s">
        <v>1332</v>
      </c>
    </row>
    <row r="27" spans="1:9">
      <c r="A27" s="1324">
        <v>1</v>
      </c>
      <c r="B27" s="1325" t="s">
        <v>1114</v>
      </c>
      <c r="C27" s="1325">
        <f>C28+C29</f>
        <v>0</v>
      </c>
      <c r="D27" s="1325"/>
      <c r="E27" s="3242"/>
      <c r="F27" s="3242"/>
      <c r="G27" s="3242"/>
    </row>
    <row r="28" spans="1:9">
      <c r="A28" s="1326" t="s">
        <v>1115</v>
      </c>
      <c r="B28" s="1325" t="s">
        <v>1116</v>
      </c>
      <c r="C28" s="1325"/>
      <c r="D28" s="1325"/>
      <c r="E28" s="3242"/>
      <c r="F28" s="3242"/>
      <c r="G28" s="324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3"/>
      <c r="F32" s="3243"/>
      <c r="G32" s="3243"/>
    </row>
    <row r="33" spans="1:7" hidden="1">
      <c r="A33" s="3238" t="s">
        <v>1125</v>
      </c>
      <c r="B33" s="3239"/>
      <c r="C33" s="3239"/>
      <c r="D33" s="3240"/>
      <c r="E33" s="3241"/>
      <c r="F33" s="3241"/>
      <c r="G33" s="3241"/>
    </row>
    <row r="34" spans="1:7" hidden="1">
      <c r="A34" s="1328">
        <v>1</v>
      </c>
      <c r="B34" s="1325" t="s">
        <v>1126</v>
      </c>
      <c r="C34" s="1325"/>
      <c r="D34" s="1325"/>
      <c r="E34" s="3242"/>
      <c r="F34" s="3242"/>
      <c r="G34" s="3242"/>
    </row>
    <row r="35" spans="1:7" hidden="1">
      <c r="A35" s="1328">
        <v>2</v>
      </c>
      <c r="B35" s="1325" t="s">
        <v>1127</v>
      </c>
      <c r="C35" s="1325"/>
      <c r="D35" s="1325"/>
      <c r="E35" s="3242"/>
      <c r="F35" s="3242"/>
      <c r="G35" s="3242"/>
    </row>
    <row r="36" spans="1:7" hidden="1">
      <c r="A36" s="1328">
        <v>3</v>
      </c>
      <c r="B36" s="1325" t="s">
        <v>1128</v>
      </c>
      <c r="C36" s="1325"/>
      <c r="D36" s="1325"/>
      <c r="E36" s="3242"/>
      <c r="F36" s="3242"/>
      <c r="G36" s="3242"/>
    </row>
    <row r="37" spans="1:7" hidden="1">
      <c r="A37" s="1328">
        <v>4</v>
      </c>
      <c r="B37" s="1325" t="s">
        <v>1129</v>
      </c>
      <c r="C37" s="1325"/>
      <c r="D37" s="1325"/>
      <c r="E37" s="3242"/>
      <c r="F37" s="3242"/>
      <c r="G37" s="3242"/>
    </row>
    <row r="38" spans="1:7" hidden="1">
      <c r="A38" s="3238" t="s">
        <v>1130</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53297.039999999994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179" t="s">
        <v>2595</v>
      </c>
      <c r="D4" s="3192"/>
      <c r="E4" s="3193" t="s">
        <v>2596</v>
      </c>
      <c r="F4" s="3194"/>
      <c r="G4" s="3179" t="s">
        <v>2597</v>
      </c>
      <c r="H4" s="3192"/>
      <c r="I4" s="3179" t="s">
        <v>2598</v>
      </c>
      <c r="J4" s="3192"/>
      <c r="K4" s="610" t="s">
        <v>2599</v>
      </c>
      <c r="L4" s="1130"/>
      <c r="M4" s="1131"/>
      <c r="N4" s="1131"/>
      <c r="O4" s="1131"/>
      <c r="P4" s="3195" t="s">
        <v>2600</v>
      </c>
      <c r="Q4" s="3196"/>
      <c r="R4" s="3201" t="s">
        <v>2596</v>
      </c>
      <c r="S4" s="3202"/>
      <c r="T4" s="3201" t="s">
        <v>2597</v>
      </c>
      <c r="U4" s="3202"/>
      <c r="V4" s="3188" t="s">
        <v>2598</v>
      </c>
      <c r="W4" s="3188"/>
      <c r="X4" s="1812"/>
      <c r="Y4" s="3201" t="s">
        <v>2600</v>
      </c>
      <c r="Z4" s="3202"/>
      <c r="AA4" s="3189" t="s">
        <v>2596</v>
      </c>
      <c r="AB4" s="3188" t="s">
        <v>2597</v>
      </c>
      <c r="AC4" s="3189" t="s">
        <v>2598</v>
      </c>
    </row>
    <row r="5" spans="1:29" ht="15">
      <c r="A5" s="404"/>
      <c r="B5" s="405"/>
      <c r="C5" s="3209" t="s">
        <v>2492</v>
      </c>
      <c r="D5" s="3210"/>
      <c r="E5" s="3217" t="s">
        <v>2493</v>
      </c>
      <c r="F5" s="3218"/>
      <c r="G5" s="3209" t="s">
        <v>2494</v>
      </c>
      <c r="H5" s="3210"/>
      <c r="I5" s="3209" t="s">
        <v>2495</v>
      </c>
      <c r="J5" s="3210"/>
      <c r="K5" s="610"/>
      <c r="L5" s="1130"/>
      <c r="M5" s="1131"/>
      <c r="N5" s="1131"/>
      <c r="O5" s="1131"/>
      <c r="P5" s="3197"/>
      <c r="Q5" s="3198"/>
      <c r="R5" s="3203"/>
      <c r="S5" s="3204"/>
      <c r="T5" s="3203"/>
      <c r="U5" s="3204"/>
      <c r="V5" s="3188"/>
      <c r="W5" s="3188"/>
      <c r="X5" s="1812"/>
      <c r="Y5" s="3203"/>
      <c r="Z5" s="3204"/>
      <c r="AA5" s="3190"/>
      <c r="AB5" s="3188"/>
      <c r="AC5" s="3190"/>
    </row>
    <row r="6" spans="1:29" ht="15.75" thickBot="1">
      <c r="A6" s="406"/>
      <c r="B6" s="407"/>
      <c r="C6" s="3207" t="s">
        <v>2496</v>
      </c>
      <c r="D6" s="3208"/>
      <c r="E6" s="3215" t="s">
        <v>2496</v>
      </c>
      <c r="F6" s="3216"/>
      <c r="G6" s="3207" t="s">
        <v>2496</v>
      </c>
      <c r="H6" s="3208"/>
      <c r="I6" s="3207" t="s">
        <v>2496</v>
      </c>
      <c r="J6" s="3208"/>
      <c r="K6" s="610" t="s">
        <v>2497</v>
      </c>
      <c r="L6" s="1130"/>
      <c r="M6" s="1131"/>
      <c r="N6" s="1131"/>
      <c r="O6" s="1131"/>
      <c r="P6" s="3199"/>
      <c r="Q6" s="3200"/>
      <c r="R6" s="3203"/>
      <c r="S6" s="3204"/>
      <c r="T6" s="3205"/>
      <c r="U6" s="3206"/>
      <c r="V6" s="3188"/>
      <c r="W6" s="3188"/>
      <c r="X6" s="1812"/>
      <c r="Y6" s="3205"/>
      <c r="Z6" s="3206"/>
      <c r="AA6" s="3191"/>
      <c r="AB6" s="3188"/>
      <c r="AC6" s="3191"/>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2499</v>
      </c>
      <c r="Q7" s="3213"/>
      <c r="R7" s="770" t="s">
        <v>17</v>
      </c>
      <c r="S7" s="771">
        <f t="shared" ref="S7:S15" si="0">F7</f>
        <v>0</v>
      </c>
      <c r="T7" s="770" t="s">
        <v>17</v>
      </c>
      <c r="U7" s="771">
        <f t="shared" ref="U7:U15" si="1">H7</f>
        <v>0</v>
      </c>
      <c r="V7" s="770" t="s">
        <v>17</v>
      </c>
      <c r="W7" s="771">
        <f t="shared" ref="W7:W15" si="2">J7</f>
        <v>0</v>
      </c>
      <c r="X7" s="772"/>
      <c r="Y7" s="3211" t="s">
        <v>2499</v>
      </c>
      <c r="Z7" s="3212"/>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2502</v>
      </c>
      <c r="Q8" s="3212"/>
      <c r="R8" s="770" t="s">
        <v>17</v>
      </c>
      <c r="S8" s="771">
        <f t="shared" si="0"/>
        <v>0</v>
      </c>
      <c r="T8" s="770" t="s">
        <v>17</v>
      </c>
      <c r="U8" s="771">
        <f t="shared" si="1"/>
        <v>0</v>
      </c>
      <c r="V8" s="770" t="s">
        <v>17</v>
      </c>
      <c r="W8" s="771">
        <f t="shared" si="2"/>
        <v>0</v>
      </c>
      <c r="X8" s="772"/>
      <c r="Y8" s="3211" t="s">
        <v>2502</v>
      </c>
      <c r="Z8" s="3212"/>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2505</v>
      </c>
      <c r="Q9" s="1794"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2510</v>
      </c>
      <c r="Q15" s="1809" t="str">
        <f t="shared" si="6"/>
        <v>商业繁华度</v>
      </c>
      <c r="R15" s="774" t="s">
        <v>17</v>
      </c>
      <c r="S15" s="775">
        <f t="shared" si="0"/>
        <v>100</v>
      </c>
      <c r="T15" s="774" t="s">
        <v>17</v>
      </c>
      <c r="U15" s="775">
        <f t="shared" si="1"/>
        <v>100</v>
      </c>
      <c r="V15" s="774" t="s">
        <v>17</v>
      </c>
      <c r="W15" s="775">
        <f t="shared" si="2"/>
        <v>100</v>
      </c>
      <c r="X15" s="1812"/>
      <c r="Y15" s="3184"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9"/>
      <c r="Q16" s="1809"/>
      <c r="R16" s="774"/>
      <c r="S16" s="775"/>
      <c r="T16" s="774"/>
      <c r="U16" s="775"/>
      <c r="V16" s="774"/>
      <c r="W16" s="775"/>
      <c r="X16" s="1812"/>
      <c r="Y16" s="3185"/>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29"/>
      <c r="Q18" s="1809"/>
      <c r="R18" s="774"/>
      <c r="S18" s="775"/>
      <c r="T18" s="774"/>
      <c r="U18" s="775"/>
      <c r="V18" s="774"/>
      <c r="W18" s="775"/>
      <c r="X18" s="1812"/>
      <c r="Y18" s="3185"/>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29"/>
      <c r="Q20" s="1809"/>
      <c r="R20" s="774"/>
      <c r="S20" s="775"/>
      <c r="T20" s="774"/>
      <c r="U20" s="775"/>
      <c r="V20" s="774"/>
      <c r="W20" s="775"/>
      <c r="X20" s="1812"/>
      <c r="Y20" s="3185"/>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29"/>
      <c r="Q22" s="1809"/>
      <c r="R22" s="774"/>
      <c r="S22" s="775"/>
      <c r="T22" s="774"/>
      <c r="U22" s="775"/>
      <c r="V22" s="774"/>
      <c r="W22" s="775"/>
      <c r="X22" s="1812"/>
      <c r="Y22" s="3185"/>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09" t="str">
        <f>B23</f>
        <v>自然及人文环境</v>
      </c>
      <c r="R23" s="774" t="s">
        <v>17</v>
      </c>
      <c r="S23" s="775">
        <f>F23</f>
        <v>100</v>
      </c>
      <c r="T23" s="774" t="s">
        <v>17</v>
      </c>
      <c r="U23" s="775">
        <f>H23</f>
        <v>100</v>
      </c>
      <c r="V23" s="774" t="s">
        <v>17</v>
      </c>
      <c r="W23" s="775">
        <f>J23</f>
        <v>100</v>
      </c>
      <c r="X23" s="1812"/>
      <c r="Y23" s="3185"/>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29"/>
      <c r="Q24" s="1809"/>
      <c r="R24" s="774"/>
      <c r="S24" s="775"/>
      <c r="T24" s="774"/>
      <c r="U24" s="775"/>
      <c r="V24" s="774"/>
      <c r="W24" s="775"/>
      <c r="X24" s="1812"/>
      <c r="Y24" s="3185"/>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9" t="str">
        <f t="shared" ref="Q25:Q46" si="11">B25</f>
        <v>临街状况</v>
      </c>
      <c r="R25" s="774" t="s">
        <v>17</v>
      </c>
      <c r="S25" s="775">
        <f>F25</f>
        <v>100</v>
      </c>
      <c r="T25" s="774" t="s">
        <v>17</v>
      </c>
      <c r="U25" s="775">
        <f>H25</f>
        <v>100</v>
      </c>
      <c r="V25" s="774" t="s">
        <v>17</v>
      </c>
      <c r="W25" s="775">
        <f>J25</f>
        <v>100</v>
      </c>
      <c r="X25" s="1812"/>
      <c r="Y25" s="3185"/>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9" t="str">
        <f t="shared" si="11"/>
        <v>平面位置/可视性</v>
      </c>
      <c r="R26" s="774" t="s">
        <v>17</v>
      </c>
      <c r="S26" s="775">
        <f>F26</f>
        <v>100</v>
      </c>
      <c r="T26" s="774" t="s">
        <v>17</v>
      </c>
      <c r="U26" s="775">
        <f>H26</f>
        <v>100</v>
      </c>
      <c r="V26" s="774" t="s">
        <v>17</v>
      </c>
      <c r="W26" s="775">
        <f>J26</f>
        <v>100</v>
      </c>
      <c r="X26" s="1812"/>
      <c r="Y26" s="3185"/>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9"/>
      <c r="Q27" s="1794" t="str">
        <f t="shared" si="11"/>
        <v>人流量</v>
      </c>
      <c r="R27" s="770" t="s">
        <v>17</v>
      </c>
      <c r="S27" s="771">
        <f>F27</f>
        <v>100</v>
      </c>
      <c r="T27" s="770" t="s">
        <v>17</v>
      </c>
      <c r="U27" s="771">
        <f>H27</f>
        <v>100</v>
      </c>
      <c r="V27" s="770" t="s">
        <v>17</v>
      </c>
      <c r="W27" s="771">
        <f>J27</f>
        <v>100</v>
      </c>
      <c r="X27" s="772"/>
      <c r="Y27" s="3185"/>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9">
        <f t="shared" si="11"/>
        <v>111</v>
      </c>
      <c r="R29" s="774" t="s">
        <v>17</v>
      </c>
      <c r="S29" s="775">
        <f t="shared" si="12"/>
        <v>100</v>
      </c>
      <c r="T29" s="774" t="s">
        <v>17</v>
      </c>
      <c r="U29" s="775">
        <f t="shared" si="13"/>
        <v>100</v>
      </c>
      <c r="V29" s="774" t="s">
        <v>17</v>
      </c>
      <c r="W29" s="775">
        <f t="shared" si="14"/>
        <v>100</v>
      </c>
      <c r="X29" s="1812"/>
      <c r="Y29" s="318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18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185"/>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4" t="s">
        <v>2515</v>
      </c>
      <c r="Q32" s="1809" t="str">
        <f t="shared" si="11"/>
        <v>商业类型</v>
      </c>
      <c r="R32" s="774" t="s">
        <v>17</v>
      </c>
      <c r="S32" s="775">
        <f t="shared" si="12"/>
        <v>100</v>
      </c>
      <c r="T32" s="774" t="s">
        <v>17</v>
      </c>
      <c r="U32" s="775">
        <f t="shared" si="13"/>
        <v>100</v>
      </c>
      <c r="V32" s="774" t="s">
        <v>17</v>
      </c>
      <c r="W32" s="775">
        <f t="shared" si="14"/>
        <v>100</v>
      </c>
      <c r="X32" s="1812"/>
      <c r="Y32" s="3187"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5"/>
      <c r="Q34" s="1809" t="str">
        <f t="shared" si="11"/>
        <v>建筑结构</v>
      </c>
      <c r="R34" s="774" t="s">
        <v>17</v>
      </c>
      <c r="S34" s="775">
        <f t="shared" si="12"/>
        <v>100</v>
      </c>
      <c r="T34" s="774" t="s">
        <v>17</v>
      </c>
      <c r="U34" s="775">
        <f t="shared" si="13"/>
        <v>100</v>
      </c>
      <c r="V34" s="774" t="s">
        <v>17</v>
      </c>
      <c r="W34" s="775">
        <f t="shared" si="14"/>
        <v>100</v>
      </c>
      <c r="X34" s="1812"/>
      <c r="Y34" s="3187"/>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5"/>
      <c r="Q35" s="1809" t="str">
        <f t="shared" si="11"/>
        <v>公共部分装修</v>
      </c>
      <c r="R35" s="774" t="s">
        <v>17</v>
      </c>
      <c r="S35" s="775">
        <f t="shared" si="12"/>
        <v>100</v>
      </c>
      <c r="T35" s="774" t="s">
        <v>17</v>
      </c>
      <c r="U35" s="775">
        <f t="shared" si="13"/>
        <v>100</v>
      </c>
      <c r="V35" s="774" t="s">
        <v>17</v>
      </c>
      <c r="W35" s="775">
        <f t="shared" si="14"/>
        <v>100</v>
      </c>
      <c r="X35" s="1812"/>
      <c r="Y35" s="3187"/>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09" t="str">
        <f t="shared" si="11"/>
        <v>成新度</v>
      </c>
      <c r="R36" s="774" t="s">
        <v>17</v>
      </c>
      <c r="S36" s="775" t="e">
        <f t="shared" si="12"/>
        <v>#N/A</v>
      </c>
      <c r="T36" s="774" t="s">
        <v>17</v>
      </c>
      <c r="U36" s="775" t="e">
        <f t="shared" si="13"/>
        <v>#N/A</v>
      </c>
      <c r="V36" s="774" t="s">
        <v>17</v>
      </c>
      <c r="W36" s="775" t="e">
        <f t="shared" si="14"/>
        <v>#N/A</v>
      </c>
      <c r="X36" s="1812"/>
      <c r="Y36" s="3187"/>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5"/>
      <c r="Q37" s="1794"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5" t="s">
        <v>2515</v>
      </c>
      <c r="Q38" s="1809" t="str">
        <f t="shared" si="11"/>
        <v>业态</v>
      </c>
      <c r="R38" s="774" t="s">
        <v>17</v>
      </c>
      <c r="S38" s="775">
        <f t="shared" si="12"/>
        <v>100</v>
      </c>
      <c r="T38" s="774" t="s">
        <v>17</v>
      </c>
      <c r="U38" s="775">
        <f t="shared" si="13"/>
        <v>100</v>
      </c>
      <c r="V38" s="774" t="s">
        <v>17</v>
      </c>
      <c r="W38" s="775">
        <f t="shared" si="14"/>
        <v>100</v>
      </c>
      <c r="X38" s="1812"/>
      <c r="Y38" s="3187"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5"/>
      <c r="Q39" s="1809" t="str">
        <f t="shared" si="11"/>
        <v>层高</v>
      </c>
      <c r="R39" s="774" t="s">
        <v>17</v>
      </c>
      <c r="S39" s="775">
        <f t="shared" si="12"/>
        <v>100</v>
      </c>
      <c r="T39" s="774" t="s">
        <v>17</v>
      </c>
      <c r="U39" s="775">
        <f t="shared" si="13"/>
        <v>100</v>
      </c>
      <c r="V39" s="774" t="s">
        <v>17</v>
      </c>
      <c r="W39" s="775">
        <f t="shared" si="14"/>
        <v>100</v>
      </c>
      <c r="X39" s="1812"/>
      <c r="Y39" s="3187"/>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09" t="str">
        <f t="shared" si="11"/>
        <v>单套建筑面积</v>
      </c>
      <c r="R40" s="774" t="s">
        <v>17</v>
      </c>
      <c r="S40" s="775">
        <f t="shared" si="12"/>
        <v>100</v>
      </c>
      <c r="T40" s="774" t="s">
        <v>17</v>
      </c>
      <c r="U40" s="775">
        <f t="shared" si="13"/>
        <v>100</v>
      </c>
      <c r="V40" s="774" t="s">
        <v>17</v>
      </c>
      <c r="W40" s="775">
        <f t="shared" si="14"/>
        <v>100</v>
      </c>
      <c r="X40" s="1812"/>
      <c r="Y40" s="3187"/>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5"/>
      <c r="Q42" s="1809" t="str">
        <f t="shared" si="11"/>
        <v>内部装修</v>
      </c>
      <c r="R42" s="774" t="s">
        <v>17</v>
      </c>
      <c r="S42" s="775">
        <f t="shared" si="12"/>
        <v>100</v>
      </c>
      <c r="T42" s="774" t="s">
        <v>17</v>
      </c>
      <c r="U42" s="775">
        <f t="shared" si="13"/>
        <v>100</v>
      </c>
      <c r="V42" s="774" t="s">
        <v>17</v>
      </c>
      <c r="W42" s="775">
        <f t="shared" si="14"/>
        <v>100</v>
      </c>
      <c r="X42" s="1812"/>
      <c r="Y42" s="3187"/>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5"/>
      <c r="Q43" s="1809" t="str">
        <f t="shared" si="11"/>
        <v>内部装修维护情况</v>
      </c>
      <c r="R43" s="774" t="s">
        <v>17</v>
      </c>
      <c r="S43" s="775">
        <f t="shared" si="12"/>
        <v>100</v>
      </c>
      <c r="T43" s="774" t="s">
        <v>17</v>
      </c>
      <c r="U43" s="775">
        <f t="shared" si="13"/>
        <v>100</v>
      </c>
      <c r="V43" s="774" t="s">
        <v>17</v>
      </c>
      <c r="W43" s="775">
        <f t="shared" si="14"/>
        <v>100</v>
      </c>
      <c r="X43" s="1812"/>
      <c r="Y43" s="318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4">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09">
        <f t="shared" si="11"/>
        <v>111</v>
      </c>
      <c r="R45" s="774" t="s">
        <v>17</v>
      </c>
      <c r="S45" s="775">
        <f t="shared" si="12"/>
        <v>100</v>
      </c>
      <c r="T45" s="774" t="s">
        <v>17</v>
      </c>
      <c r="U45" s="775">
        <f t="shared" si="13"/>
        <v>100</v>
      </c>
      <c r="V45" s="774" t="s">
        <v>17</v>
      </c>
      <c r="W45" s="775">
        <f t="shared" si="14"/>
        <v>100</v>
      </c>
      <c r="X45" s="1812"/>
      <c r="Y45" s="318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09">
        <f t="shared" si="11"/>
        <v>111</v>
      </c>
      <c r="R46" s="774" t="s">
        <v>17</v>
      </c>
      <c r="S46" s="775">
        <f t="shared" si="12"/>
        <v>100</v>
      </c>
      <c r="T46" s="774" t="s">
        <v>17</v>
      </c>
      <c r="U46" s="775">
        <f t="shared" si="13"/>
        <v>100</v>
      </c>
      <c r="V46" s="774" t="s">
        <v>17</v>
      </c>
      <c r="W46" s="775">
        <f t="shared" si="14"/>
        <v>100</v>
      </c>
      <c r="X46" s="1812"/>
      <c r="Y46" s="3227"/>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82" t="str">
        <f>A47</f>
        <v>成交单价（元/平方米）</v>
      </c>
      <c r="Q47" s="3182"/>
      <c r="R47" s="3188">
        <f>E47</f>
        <v>0</v>
      </c>
      <c r="S47" s="3188"/>
      <c r="T47" s="3188">
        <f>G47</f>
        <v>0</v>
      </c>
      <c r="U47" s="3188"/>
      <c r="V47" s="3188">
        <f>I47</f>
        <v>0</v>
      </c>
      <c r="W47" s="3188"/>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76" t="str">
        <f>A49</f>
        <v>估价对象XX用房的比较价值（楼面单价，元/平方米）</v>
      </c>
      <c r="Q49" s="3177"/>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54">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48" t="s">
        <v>1604</v>
      </c>
    </row>
    <row r="6" spans="1:1" ht="18.75">
      <c r="A6" s="1949" t="s">
        <v>1605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8380.73平方米，建筑面积为53297.04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8380.73平方米，规划建筑面积为53297.04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2019年6月14日（评估专业人员实地查勘之日）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53297.039999999994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79" t="s">
        <v>2595</v>
      </c>
      <c r="D4" s="3192"/>
      <c r="E4" s="3193" t="s">
        <v>2596</v>
      </c>
      <c r="F4" s="3194"/>
      <c r="G4" s="3179" t="s">
        <v>2597</v>
      </c>
      <c r="H4" s="3192"/>
      <c r="I4" s="3179" t="s">
        <v>2598</v>
      </c>
      <c r="J4" s="3192"/>
      <c r="K4" s="610" t="s">
        <v>2599</v>
      </c>
      <c r="L4" s="1130"/>
      <c r="M4" s="1131"/>
      <c r="N4" s="1131"/>
      <c r="O4" s="1131"/>
      <c r="P4" s="3265" t="s">
        <v>2600</v>
      </c>
      <c r="Q4" s="3266"/>
      <c r="R4" s="3269" t="s">
        <v>2596</v>
      </c>
      <c r="S4" s="3270"/>
      <c r="T4" s="3269" t="s">
        <v>2597</v>
      </c>
      <c r="U4" s="3270"/>
      <c r="V4" s="3271" t="s">
        <v>2598</v>
      </c>
      <c r="W4" s="3271"/>
      <c r="X4" s="2669"/>
      <c r="Y4" s="3269" t="s">
        <v>2600</v>
      </c>
      <c r="Z4" s="3270"/>
      <c r="AA4" s="3273" t="s">
        <v>2596</v>
      </c>
      <c r="AB4" s="3273" t="s">
        <v>2597</v>
      </c>
      <c r="AC4" s="3262" t="s">
        <v>2598</v>
      </c>
    </row>
    <row r="5" spans="1:29" ht="15">
      <c r="A5" s="404"/>
      <c r="B5" s="405"/>
      <c r="C5" s="3209" t="s">
        <v>2492</v>
      </c>
      <c r="D5" s="3210"/>
      <c r="E5" s="3217" t="s">
        <v>2493</v>
      </c>
      <c r="F5" s="3218"/>
      <c r="G5" s="3209" t="s">
        <v>2494</v>
      </c>
      <c r="H5" s="3210"/>
      <c r="I5" s="3209" t="s">
        <v>2495</v>
      </c>
      <c r="J5" s="3210"/>
      <c r="K5" s="610"/>
      <c r="L5" s="1130"/>
      <c r="M5" s="1131"/>
      <c r="N5" s="1131"/>
      <c r="O5" s="1131"/>
      <c r="P5" s="3267"/>
      <c r="Q5" s="3198"/>
      <c r="R5" s="3203"/>
      <c r="S5" s="3204"/>
      <c r="T5" s="3203"/>
      <c r="U5" s="3204"/>
      <c r="V5" s="3188"/>
      <c r="W5" s="3188"/>
      <c r="X5" s="1812"/>
      <c r="Y5" s="3203"/>
      <c r="Z5" s="3204"/>
      <c r="AA5" s="3190"/>
      <c r="AB5" s="3190"/>
      <c r="AC5" s="3263"/>
    </row>
    <row r="6" spans="1:29" ht="15.75" thickBot="1">
      <c r="A6" s="406"/>
      <c r="B6" s="407"/>
      <c r="C6" s="3207" t="s">
        <v>2496</v>
      </c>
      <c r="D6" s="3208"/>
      <c r="E6" s="3215" t="s">
        <v>2496</v>
      </c>
      <c r="F6" s="3216"/>
      <c r="G6" s="3207" t="s">
        <v>2496</v>
      </c>
      <c r="H6" s="3208"/>
      <c r="I6" s="3207" t="s">
        <v>2496</v>
      </c>
      <c r="J6" s="3208"/>
      <c r="K6" s="610" t="s">
        <v>2497</v>
      </c>
      <c r="L6" s="1130"/>
      <c r="M6" s="1131"/>
      <c r="N6" s="1131"/>
      <c r="O6" s="1131"/>
      <c r="P6" s="3268"/>
      <c r="Q6" s="3200"/>
      <c r="R6" s="3203"/>
      <c r="S6" s="3204"/>
      <c r="T6" s="3205"/>
      <c r="U6" s="3206"/>
      <c r="V6" s="3188"/>
      <c r="W6" s="3188"/>
      <c r="X6" s="1812"/>
      <c r="Y6" s="3205"/>
      <c r="Z6" s="3206"/>
      <c r="AA6" s="3191"/>
      <c r="AB6" s="3191"/>
      <c r="AC6" s="3264"/>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2" t="s">
        <v>2499</v>
      </c>
      <c r="Q7" s="3213"/>
      <c r="R7" s="770" t="s">
        <v>17</v>
      </c>
      <c r="S7" s="771">
        <f t="shared" ref="S7:S15" si="0">F7</f>
        <v>0</v>
      </c>
      <c r="T7" s="770" t="s">
        <v>17</v>
      </c>
      <c r="U7" s="771">
        <f t="shared" ref="U7:U15" si="1">H7</f>
        <v>0</v>
      </c>
      <c r="V7" s="770" t="s">
        <v>17</v>
      </c>
      <c r="W7" s="771">
        <f t="shared" ref="W7:W15" si="2">J7</f>
        <v>0</v>
      </c>
      <c r="X7" s="772"/>
      <c r="Y7" s="3211" t="s">
        <v>2499</v>
      </c>
      <c r="Z7" s="3212"/>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2" t="s">
        <v>2502</v>
      </c>
      <c r="Q8" s="3212"/>
      <c r="R8" s="770" t="s">
        <v>17</v>
      </c>
      <c r="S8" s="771">
        <f t="shared" si="0"/>
        <v>0</v>
      </c>
      <c r="T8" s="770" t="s">
        <v>17</v>
      </c>
      <c r="U8" s="771">
        <f t="shared" si="1"/>
        <v>0</v>
      </c>
      <c r="V8" s="770" t="s">
        <v>17</v>
      </c>
      <c r="W8" s="771">
        <f t="shared" si="2"/>
        <v>0</v>
      </c>
      <c r="X8" s="772"/>
      <c r="Y8" s="3211" t="s">
        <v>2502</v>
      </c>
      <c r="Z8" s="3212"/>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2505</v>
      </c>
      <c r="Q9" s="1794"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1"/>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2510</v>
      </c>
      <c r="Q15" s="1809" t="str">
        <f t="shared" si="6"/>
        <v>办公集聚程度</v>
      </c>
      <c r="R15" s="774" t="s">
        <v>17</v>
      </c>
      <c r="S15" s="775">
        <f t="shared" si="0"/>
        <v>100</v>
      </c>
      <c r="T15" s="774" t="s">
        <v>17</v>
      </c>
      <c r="U15" s="775">
        <f t="shared" si="1"/>
        <v>100</v>
      </c>
      <c r="V15" s="774" t="s">
        <v>17</v>
      </c>
      <c r="W15" s="775">
        <f t="shared" si="2"/>
        <v>100</v>
      </c>
      <c r="X15" s="1812"/>
      <c r="Y15" s="3184"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29"/>
      <c r="Q16" s="1809"/>
      <c r="R16" s="774"/>
      <c r="S16" s="775"/>
      <c r="T16" s="774"/>
      <c r="U16" s="775"/>
      <c r="V16" s="774"/>
      <c r="W16" s="775"/>
      <c r="X16" s="1812"/>
      <c r="Y16" s="3185"/>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9"/>
      <c r="Q18" s="1809"/>
      <c r="R18" s="774"/>
      <c r="S18" s="775"/>
      <c r="T18" s="774"/>
      <c r="U18" s="775"/>
      <c r="V18" s="774"/>
      <c r="W18" s="775"/>
      <c r="X18" s="1812"/>
      <c r="Y18" s="3185"/>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9"/>
      <c r="Q20" s="1809"/>
      <c r="R20" s="774"/>
      <c r="S20" s="775"/>
      <c r="T20" s="774"/>
      <c r="U20" s="775"/>
      <c r="V20" s="774"/>
      <c r="W20" s="775"/>
      <c r="X20" s="1812"/>
      <c r="Y20" s="3185"/>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9"/>
      <c r="Q22" s="1809"/>
      <c r="R22" s="774"/>
      <c r="S22" s="775"/>
      <c r="T22" s="774"/>
      <c r="U22" s="775"/>
      <c r="V22" s="774"/>
      <c r="W22" s="775"/>
      <c r="X22" s="1812"/>
      <c r="Y22" s="3185"/>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09" t="str">
        <f>B23</f>
        <v>环境质量</v>
      </c>
      <c r="R23" s="774" t="s">
        <v>17</v>
      </c>
      <c r="S23" s="775">
        <f>F23</f>
        <v>100</v>
      </c>
      <c r="T23" s="774" t="s">
        <v>17</v>
      </c>
      <c r="U23" s="775">
        <f>H23</f>
        <v>100</v>
      </c>
      <c r="V23" s="774" t="s">
        <v>17</v>
      </c>
      <c r="W23" s="775">
        <f>J23</f>
        <v>100</v>
      </c>
      <c r="X23" s="1812"/>
      <c r="Y23" s="3185"/>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9"/>
      <c r="Q24" s="1809"/>
      <c r="R24" s="774"/>
      <c r="S24" s="775"/>
      <c r="T24" s="774"/>
      <c r="U24" s="775"/>
      <c r="V24" s="774"/>
      <c r="W24" s="775"/>
      <c r="X24" s="1812"/>
      <c r="Y24" s="3185"/>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9"/>
      <c r="Q25" s="1809" t="str">
        <f>B25</f>
        <v>毗邻道路的类型与等级</v>
      </c>
      <c r="R25" s="774" t="s">
        <v>17</v>
      </c>
      <c r="S25" s="775">
        <f>F25</f>
        <v>100</v>
      </c>
      <c r="T25" s="774" t="s">
        <v>17</v>
      </c>
      <c r="U25" s="775">
        <f>H25</f>
        <v>100</v>
      </c>
      <c r="V25" s="774" t="s">
        <v>17</v>
      </c>
      <c r="W25" s="775">
        <f>J25</f>
        <v>100</v>
      </c>
      <c r="X25" s="1812"/>
      <c r="Y25" s="3185"/>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29"/>
      <c r="Q26" s="1809"/>
      <c r="R26" s="774"/>
      <c r="S26" s="775"/>
      <c r="T26" s="774"/>
      <c r="U26" s="775"/>
      <c r="V26" s="774"/>
      <c r="W26" s="775"/>
      <c r="X26" s="1812"/>
      <c r="Y26" s="3185"/>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9" t="str">
        <f t="shared" ref="Q27:Q47" si="11">B27</f>
        <v>楼层</v>
      </c>
      <c r="R27" s="774" t="s">
        <v>17</v>
      </c>
      <c r="S27" s="775">
        <f>F27</f>
        <v>100</v>
      </c>
      <c r="T27" s="774" t="s">
        <v>17</v>
      </c>
      <c r="U27" s="775">
        <f>H27</f>
        <v>100</v>
      </c>
      <c r="V27" s="774" t="s">
        <v>17</v>
      </c>
      <c r="W27" s="775">
        <f>J27</f>
        <v>100</v>
      </c>
      <c r="X27" s="1812"/>
      <c r="Y27" s="3185"/>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9"/>
      <c r="Q28" s="1794" t="str">
        <f t="shared" si="11"/>
        <v>朝向</v>
      </c>
      <c r="R28" s="770" t="s">
        <v>17</v>
      </c>
      <c r="S28" s="771">
        <f>F28</f>
        <v>100</v>
      </c>
      <c r="T28" s="770" t="s">
        <v>17</v>
      </c>
      <c r="U28" s="771">
        <f>H28</f>
        <v>100</v>
      </c>
      <c r="V28" s="770" t="s">
        <v>17</v>
      </c>
      <c r="W28" s="771">
        <f>J28</f>
        <v>100</v>
      </c>
      <c r="X28" s="772"/>
      <c r="Y28" s="3185"/>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9"/>
      <c r="Q29" s="1809">
        <f t="shared" si="11"/>
        <v>111</v>
      </c>
      <c r="R29" s="774" t="s">
        <v>17</v>
      </c>
      <c r="S29" s="775">
        <f t="shared" ref="S29:S47" si="12">F29</f>
        <v>100</v>
      </c>
      <c r="T29" s="774" t="s">
        <v>17</v>
      </c>
      <c r="U29" s="775">
        <f t="shared" ref="U29:U47" si="13">H29</f>
        <v>100</v>
      </c>
      <c r="V29" s="774" t="s">
        <v>17</v>
      </c>
      <c r="W29" s="775">
        <f t="shared" ref="W29:W47" si="14">J29</f>
        <v>100</v>
      </c>
      <c r="X29" s="1812"/>
      <c r="Y29" s="3185"/>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185"/>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185"/>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9"/>
      <c r="Q32" s="1809">
        <f t="shared" si="11"/>
        <v>111</v>
      </c>
      <c r="R32" s="774" t="s">
        <v>17</v>
      </c>
      <c r="S32" s="775">
        <f t="shared" si="12"/>
        <v>100</v>
      </c>
      <c r="T32" s="774" t="s">
        <v>17</v>
      </c>
      <c r="U32" s="775">
        <f t="shared" si="13"/>
        <v>100</v>
      </c>
      <c r="V32" s="774" t="s">
        <v>17</v>
      </c>
      <c r="W32" s="775">
        <f t="shared" si="14"/>
        <v>100</v>
      </c>
      <c r="X32" s="1812"/>
      <c r="Y32" s="3185"/>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4" t="s">
        <v>2515</v>
      </c>
      <c r="Q33" s="1809" t="str">
        <f t="shared" si="11"/>
        <v>建筑类型</v>
      </c>
      <c r="R33" s="774" t="s">
        <v>17</v>
      </c>
      <c r="S33" s="775">
        <f t="shared" si="12"/>
        <v>100</v>
      </c>
      <c r="T33" s="774" t="s">
        <v>17</v>
      </c>
      <c r="U33" s="775">
        <f t="shared" si="13"/>
        <v>100</v>
      </c>
      <c r="V33" s="774" t="s">
        <v>17</v>
      </c>
      <c r="W33" s="775">
        <f t="shared" si="14"/>
        <v>100</v>
      </c>
      <c r="X33" s="1812"/>
      <c r="Y33" s="3187"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09" t="str">
        <f t="shared" si="11"/>
        <v>建筑结构</v>
      </c>
      <c r="R35" s="774" t="s">
        <v>17</v>
      </c>
      <c r="S35" s="775">
        <f t="shared" si="12"/>
        <v>100</v>
      </c>
      <c r="T35" s="774" t="s">
        <v>17</v>
      </c>
      <c r="U35" s="775">
        <f t="shared" si="13"/>
        <v>100</v>
      </c>
      <c r="V35" s="774" t="s">
        <v>17</v>
      </c>
      <c r="W35" s="775">
        <f t="shared" si="14"/>
        <v>100</v>
      </c>
      <c r="X35" s="1812"/>
      <c r="Y35" s="3187"/>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09" t="str">
        <f t="shared" si="11"/>
        <v>公共部分装修</v>
      </c>
      <c r="R36" s="774" t="s">
        <v>17</v>
      </c>
      <c r="S36" s="775">
        <f t="shared" si="12"/>
        <v>100</v>
      </c>
      <c r="T36" s="774" t="s">
        <v>17</v>
      </c>
      <c r="U36" s="775">
        <f t="shared" si="13"/>
        <v>100</v>
      </c>
      <c r="V36" s="774" t="s">
        <v>17</v>
      </c>
      <c r="W36" s="775">
        <f t="shared" si="14"/>
        <v>100</v>
      </c>
      <c r="X36" s="1812"/>
      <c r="Y36" s="3187"/>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09" t="str">
        <f t="shared" si="11"/>
        <v>成新度</v>
      </c>
      <c r="R37" s="774" t="s">
        <v>17</v>
      </c>
      <c r="S37" s="775" t="e">
        <f t="shared" si="12"/>
        <v>#N/A</v>
      </c>
      <c r="T37" s="774" t="s">
        <v>17</v>
      </c>
      <c r="U37" s="775" t="e">
        <f t="shared" si="13"/>
        <v>#N/A</v>
      </c>
      <c r="V37" s="774" t="s">
        <v>17</v>
      </c>
      <c r="W37" s="775" t="e">
        <f t="shared" si="14"/>
        <v>#N/A</v>
      </c>
      <c r="X37" s="1812"/>
      <c r="Y37" s="3187"/>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4"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2515</v>
      </c>
      <c r="Q39" s="1809" t="str">
        <f t="shared" si="11"/>
        <v>物业管理</v>
      </c>
      <c r="R39" s="774" t="s">
        <v>17</v>
      </c>
      <c r="S39" s="775">
        <f t="shared" si="12"/>
        <v>100</v>
      </c>
      <c r="T39" s="774" t="s">
        <v>17</v>
      </c>
      <c r="U39" s="775">
        <f t="shared" si="13"/>
        <v>100</v>
      </c>
      <c r="V39" s="774" t="s">
        <v>17</v>
      </c>
      <c r="W39" s="775">
        <f t="shared" si="14"/>
        <v>100</v>
      </c>
      <c r="X39" s="1812"/>
      <c r="Y39" s="3187"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09" t="str">
        <f t="shared" si="11"/>
        <v>市政基础设施</v>
      </c>
      <c r="R40" s="774" t="s">
        <v>17</v>
      </c>
      <c r="S40" s="775">
        <f t="shared" si="12"/>
        <v>100</v>
      </c>
      <c r="T40" s="774" t="s">
        <v>17</v>
      </c>
      <c r="U40" s="775">
        <f t="shared" si="13"/>
        <v>100</v>
      </c>
      <c r="V40" s="774" t="s">
        <v>17</v>
      </c>
      <c r="W40" s="775">
        <f t="shared" si="14"/>
        <v>100</v>
      </c>
      <c r="X40" s="1812"/>
      <c r="Y40" s="3187"/>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09" t="str">
        <f t="shared" si="11"/>
        <v>层高</v>
      </c>
      <c r="R41" s="774" t="s">
        <v>17</v>
      </c>
      <c r="S41" s="775">
        <f t="shared" si="12"/>
        <v>100</v>
      </c>
      <c r="T41" s="774" t="s">
        <v>17</v>
      </c>
      <c r="U41" s="775">
        <f t="shared" si="13"/>
        <v>100</v>
      </c>
      <c r="V41" s="774" t="s">
        <v>17</v>
      </c>
      <c r="W41" s="775">
        <f t="shared" si="14"/>
        <v>100</v>
      </c>
      <c r="X41" s="1812"/>
      <c r="Y41" s="3187"/>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09" t="str">
        <f t="shared" si="11"/>
        <v>内部装修</v>
      </c>
      <c r="R43" s="774" t="s">
        <v>17</v>
      </c>
      <c r="S43" s="775">
        <f t="shared" si="12"/>
        <v>100</v>
      </c>
      <c r="T43" s="774" t="s">
        <v>17</v>
      </c>
      <c r="U43" s="775">
        <f t="shared" si="13"/>
        <v>100</v>
      </c>
      <c r="V43" s="774" t="s">
        <v>17</v>
      </c>
      <c r="W43" s="775">
        <f t="shared" si="14"/>
        <v>100</v>
      </c>
      <c r="X43" s="1812"/>
      <c r="Y43" s="3187"/>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5"/>
      <c r="Q44" s="1809" t="str">
        <f t="shared" si="11"/>
        <v>内部装修维护情况</v>
      </c>
      <c r="R44" s="774" t="s">
        <v>17</v>
      </c>
      <c r="S44" s="775">
        <f t="shared" si="12"/>
        <v>100</v>
      </c>
      <c r="T44" s="774" t="s">
        <v>17</v>
      </c>
      <c r="U44" s="775">
        <f t="shared" si="13"/>
        <v>100</v>
      </c>
      <c r="V44" s="774" t="s">
        <v>17</v>
      </c>
      <c r="W44" s="775">
        <f t="shared" si="14"/>
        <v>100</v>
      </c>
      <c r="X44" s="1812"/>
      <c r="Y44" s="3187"/>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4">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09">
        <f t="shared" si="11"/>
        <v>111</v>
      </c>
      <c r="R46" s="774" t="s">
        <v>17</v>
      </c>
      <c r="S46" s="775">
        <f t="shared" si="12"/>
        <v>100</v>
      </c>
      <c r="T46" s="774" t="s">
        <v>17</v>
      </c>
      <c r="U46" s="775">
        <f t="shared" si="13"/>
        <v>100</v>
      </c>
      <c r="V46" s="774" t="s">
        <v>17</v>
      </c>
      <c r="W46" s="775">
        <f t="shared" si="14"/>
        <v>100</v>
      </c>
      <c r="X46" s="1812"/>
      <c r="Y46" s="3187"/>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09">
        <f t="shared" si="11"/>
        <v>111</v>
      </c>
      <c r="R47" s="774" t="s">
        <v>17</v>
      </c>
      <c r="S47" s="775">
        <f t="shared" si="12"/>
        <v>100</v>
      </c>
      <c r="T47" s="774" t="s">
        <v>17</v>
      </c>
      <c r="U47" s="775">
        <f t="shared" si="13"/>
        <v>100</v>
      </c>
      <c r="V47" s="774" t="s">
        <v>17</v>
      </c>
      <c r="W47" s="775">
        <f t="shared" si="14"/>
        <v>100</v>
      </c>
      <c r="X47" s="1812"/>
      <c r="Y47" s="3227"/>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181" t="str">
        <f>A48</f>
        <v>成交单价（元/平方米）</v>
      </c>
      <c r="Q48" s="3182"/>
      <c r="R48" s="3223">
        <f>E48</f>
        <v>0</v>
      </c>
      <c r="S48" s="3223"/>
      <c r="T48" s="3223">
        <f>G48</f>
        <v>0</v>
      </c>
      <c r="U48" s="3223"/>
      <c r="V48" s="3223">
        <f>I48</f>
        <v>0</v>
      </c>
      <c r="W48" s="3223"/>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8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53297.039999999994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79" t="s">
        <v>2595</v>
      </c>
      <c r="D4" s="3192"/>
      <c r="E4" s="3193" t="s">
        <v>2596</v>
      </c>
      <c r="F4" s="3194"/>
      <c r="G4" s="3179" t="s">
        <v>2597</v>
      </c>
      <c r="H4" s="3192"/>
      <c r="I4" s="3179" t="s">
        <v>2598</v>
      </c>
      <c r="J4" s="3192"/>
      <c r="K4" s="610" t="s">
        <v>2599</v>
      </c>
      <c r="L4" s="1130"/>
      <c r="M4" s="1131"/>
      <c r="N4" s="1131"/>
      <c r="O4" s="1131"/>
      <c r="P4" s="3195" t="s">
        <v>2600</v>
      </c>
      <c r="Q4" s="3196"/>
      <c r="R4" s="3201" t="s">
        <v>2596</v>
      </c>
      <c r="S4" s="3202"/>
      <c r="T4" s="3201" t="s">
        <v>2597</v>
      </c>
      <c r="U4" s="3202"/>
      <c r="V4" s="3188" t="s">
        <v>2598</v>
      </c>
      <c r="W4" s="3188"/>
      <c r="X4" s="1812"/>
      <c r="Y4" s="3201" t="s">
        <v>2600</v>
      </c>
      <c r="Z4" s="3202"/>
      <c r="AA4" s="3189" t="s">
        <v>2596</v>
      </c>
      <c r="AB4" s="3190" t="s">
        <v>2597</v>
      </c>
      <c r="AC4" s="3189" t="s">
        <v>2598</v>
      </c>
    </row>
    <row r="5" spans="1:29" ht="15">
      <c r="A5" s="404"/>
      <c r="B5" s="405"/>
      <c r="C5" s="3209" t="s">
        <v>2492</v>
      </c>
      <c r="D5" s="3210"/>
      <c r="E5" s="3217" t="s">
        <v>2493</v>
      </c>
      <c r="F5" s="3218"/>
      <c r="G5" s="3209" t="s">
        <v>2494</v>
      </c>
      <c r="H5" s="3210"/>
      <c r="I5" s="3209" t="s">
        <v>2495</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2496</v>
      </c>
      <c r="D6" s="3208"/>
      <c r="E6" s="3215" t="s">
        <v>2496</v>
      </c>
      <c r="F6" s="3216"/>
      <c r="G6" s="3207" t="s">
        <v>2496</v>
      </c>
      <c r="H6" s="3208"/>
      <c r="I6" s="3207" t="s">
        <v>2496</v>
      </c>
      <c r="J6" s="3208"/>
      <c r="K6" s="610" t="s">
        <v>2497</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2499</v>
      </c>
      <c r="Q7" s="3213"/>
      <c r="R7" s="770" t="s">
        <v>17</v>
      </c>
      <c r="S7" s="771">
        <f t="shared" ref="S7:S15" si="0">F7</f>
        <v>0</v>
      </c>
      <c r="T7" s="770" t="s">
        <v>17</v>
      </c>
      <c r="U7" s="771">
        <f t="shared" ref="U7:U15" si="1">H7</f>
        <v>0</v>
      </c>
      <c r="V7" s="770" t="s">
        <v>17</v>
      </c>
      <c r="W7" s="771">
        <f t="shared" ref="W7:W15" si="2">J7</f>
        <v>0</v>
      </c>
      <c r="X7" s="772"/>
      <c r="Y7" s="3211" t="s">
        <v>2499</v>
      </c>
      <c r="Z7" s="3212"/>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2502</v>
      </c>
      <c r="Q8" s="3212"/>
      <c r="R8" s="770" t="s">
        <v>17</v>
      </c>
      <c r="S8" s="771">
        <f t="shared" si="0"/>
        <v>0</v>
      </c>
      <c r="T8" s="770" t="s">
        <v>17</v>
      </c>
      <c r="U8" s="771">
        <f t="shared" si="1"/>
        <v>0</v>
      </c>
      <c r="V8" s="770" t="s">
        <v>17</v>
      </c>
      <c r="W8" s="771">
        <f t="shared" si="2"/>
        <v>0</v>
      </c>
      <c r="X8" s="772"/>
      <c r="Y8" s="3211" t="s">
        <v>2502</v>
      </c>
      <c r="Z8" s="3212"/>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2505</v>
      </c>
      <c r="Q9" s="1794"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2"/>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2"/>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2510</v>
      </c>
      <c r="Q15" s="1809" t="str">
        <f t="shared" si="6"/>
        <v>产业集聚程度</v>
      </c>
      <c r="R15" s="774" t="s">
        <v>17</v>
      </c>
      <c r="S15" s="775">
        <f t="shared" si="0"/>
        <v>100</v>
      </c>
      <c r="T15" s="774" t="s">
        <v>17</v>
      </c>
      <c r="U15" s="775">
        <f t="shared" si="1"/>
        <v>100</v>
      </c>
      <c r="V15" s="774" t="s">
        <v>17</v>
      </c>
      <c r="W15" s="775">
        <f t="shared" si="2"/>
        <v>100</v>
      </c>
      <c r="X15" s="1812"/>
      <c r="Y15" s="3184"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5"/>
      <c r="Q16" s="1809"/>
      <c r="R16" s="774"/>
      <c r="S16" s="775"/>
      <c r="T16" s="774"/>
      <c r="U16" s="775"/>
      <c r="V16" s="774"/>
      <c r="W16" s="775"/>
      <c r="X16" s="1812"/>
      <c r="Y16" s="3185"/>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85"/>
      <c r="Q18" s="1809"/>
      <c r="R18" s="774"/>
      <c r="S18" s="775"/>
      <c r="T18" s="774"/>
      <c r="U18" s="775"/>
      <c r="V18" s="774"/>
      <c r="W18" s="775"/>
      <c r="X18" s="1812"/>
      <c r="Y18" s="3185"/>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85"/>
      <c r="Q20" s="1809"/>
      <c r="R20" s="774"/>
      <c r="S20" s="775"/>
      <c r="T20" s="774"/>
      <c r="U20" s="775"/>
      <c r="V20" s="774"/>
      <c r="W20" s="775"/>
      <c r="X20" s="1812"/>
      <c r="Y20" s="3185"/>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85"/>
      <c r="Q22" s="1809"/>
      <c r="R22" s="774"/>
      <c r="S22" s="775"/>
      <c r="T22" s="774"/>
      <c r="U22" s="775"/>
      <c r="V22" s="774"/>
      <c r="W22" s="775"/>
      <c r="X22" s="1812"/>
      <c r="Y22" s="3185"/>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09" t="str">
        <f>B23</f>
        <v>环境质量</v>
      </c>
      <c r="R23" s="774" t="s">
        <v>17</v>
      </c>
      <c r="S23" s="775">
        <f>F23</f>
        <v>100</v>
      </c>
      <c r="T23" s="774" t="s">
        <v>17</v>
      </c>
      <c r="U23" s="775">
        <f>H23</f>
        <v>100</v>
      </c>
      <c r="V23" s="774" t="s">
        <v>17</v>
      </c>
      <c r="W23" s="775">
        <f>J23</f>
        <v>100</v>
      </c>
      <c r="X23" s="1812"/>
      <c r="Y23" s="3185"/>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85"/>
      <c r="Q24" s="1809"/>
      <c r="R24" s="774"/>
      <c r="S24" s="775"/>
      <c r="T24" s="774"/>
      <c r="U24" s="775"/>
      <c r="V24" s="774"/>
      <c r="W24" s="775"/>
      <c r="X24" s="1812"/>
      <c r="Y24" s="318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09">
        <f>B25</f>
        <v>111</v>
      </c>
      <c r="R25" s="774" t="s">
        <v>17</v>
      </c>
      <c r="S25" s="775">
        <f>F25</f>
        <v>100</v>
      </c>
      <c r="T25" s="774" t="s">
        <v>17</v>
      </c>
      <c r="U25" s="775">
        <f>H25</f>
        <v>100</v>
      </c>
      <c r="V25" s="774" t="s">
        <v>17</v>
      </c>
      <c r="W25" s="775">
        <f>J25</f>
        <v>100</v>
      </c>
      <c r="X25" s="1812"/>
      <c r="Y25" s="318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09">
        <f t="shared" ref="Q26:Q40" si="11">B26</f>
        <v>111</v>
      </c>
      <c r="R26" s="774" t="s">
        <v>17</v>
      </c>
      <c r="S26" s="775">
        <f>F26</f>
        <v>100</v>
      </c>
      <c r="T26" s="774" t="s">
        <v>17</v>
      </c>
      <c r="U26" s="775">
        <f>H26</f>
        <v>100</v>
      </c>
      <c r="V26" s="774" t="s">
        <v>17</v>
      </c>
      <c r="W26" s="775">
        <f>J26</f>
        <v>100</v>
      </c>
      <c r="X26" s="1812"/>
      <c r="Y26" s="318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4">
        <f t="shared" si="11"/>
        <v>111</v>
      </c>
      <c r="R27" s="770" t="s">
        <v>17</v>
      </c>
      <c r="S27" s="771">
        <f>F27</f>
        <v>100</v>
      </c>
      <c r="T27" s="770" t="s">
        <v>17</v>
      </c>
      <c r="U27" s="771">
        <f>H27</f>
        <v>100</v>
      </c>
      <c r="V27" s="770" t="s">
        <v>17</v>
      </c>
      <c r="W27" s="771">
        <f>J27</f>
        <v>100</v>
      </c>
      <c r="X27" s="772"/>
      <c r="Y27" s="318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09">
        <f t="shared" si="11"/>
        <v>111</v>
      </c>
      <c r="R28" s="774" t="s">
        <v>17</v>
      </c>
      <c r="S28" s="775">
        <f t="shared" ref="S28:S40" si="12">F28</f>
        <v>100</v>
      </c>
      <c r="T28" s="774" t="s">
        <v>17</v>
      </c>
      <c r="U28" s="775">
        <f t="shared" ref="U28:U40" si="13">H28</f>
        <v>100</v>
      </c>
      <c r="V28" s="774" t="s">
        <v>17</v>
      </c>
      <c r="W28" s="775">
        <f t="shared" ref="W28:W40" si="14">J28</f>
        <v>100</v>
      </c>
      <c r="X28" s="1812"/>
      <c r="Y28" s="3185"/>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86" t="s">
        <v>2515</v>
      </c>
      <c r="Q29" s="1809" t="str">
        <f t="shared" si="11"/>
        <v>建筑类型</v>
      </c>
      <c r="R29" s="774" t="s">
        <v>17</v>
      </c>
      <c r="S29" s="775">
        <f t="shared" si="12"/>
        <v>100</v>
      </c>
      <c r="T29" s="774" t="s">
        <v>17</v>
      </c>
      <c r="U29" s="775">
        <f t="shared" si="13"/>
        <v>100</v>
      </c>
      <c r="V29" s="774" t="s">
        <v>17</v>
      </c>
      <c r="W29" s="775">
        <f t="shared" si="14"/>
        <v>100</v>
      </c>
      <c r="X29" s="1812"/>
      <c r="Y29" s="3187"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09" t="str">
        <f t="shared" si="11"/>
        <v>建筑结构</v>
      </c>
      <c r="R31" s="774" t="s">
        <v>17</v>
      </c>
      <c r="S31" s="775">
        <f t="shared" si="12"/>
        <v>100</v>
      </c>
      <c r="T31" s="774" t="s">
        <v>17</v>
      </c>
      <c r="U31" s="775">
        <f t="shared" si="13"/>
        <v>100</v>
      </c>
      <c r="V31" s="774" t="s">
        <v>17</v>
      </c>
      <c r="W31" s="775">
        <f t="shared" si="14"/>
        <v>100</v>
      </c>
      <c r="X31" s="1812"/>
      <c r="Y31" s="3187"/>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09" t="str">
        <f t="shared" si="11"/>
        <v>公共部分装修</v>
      </c>
      <c r="R32" s="774" t="s">
        <v>17</v>
      </c>
      <c r="S32" s="775">
        <f t="shared" si="12"/>
        <v>100</v>
      </c>
      <c r="T32" s="774" t="s">
        <v>17</v>
      </c>
      <c r="U32" s="775">
        <f t="shared" si="13"/>
        <v>100</v>
      </c>
      <c r="V32" s="774" t="s">
        <v>17</v>
      </c>
      <c r="W32" s="775">
        <f t="shared" si="14"/>
        <v>100</v>
      </c>
      <c r="X32" s="1812"/>
      <c r="Y32" s="3187"/>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09" t="str">
        <f t="shared" si="11"/>
        <v>成新度</v>
      </c>
      <c r="R33" s="774" t="s">
        <v>17</v>
      </c>
      <c r="S33" s="775" t="e">
        <f t="shared" si="12"/>
        <v>#N/A</v>
      </c>
      <c r="T33" s="774" t="s">
        <v>17</v>
      </c>
      <c r="U33" s="775" t="e">
        <f t="shared" si="13"/>
        <v>#N/A</v>
      </c>
      <c r="V33" s="774" t="s">
        <v>17</v>
      </c>
      <c r="W33" s="775" t="e">
        <f t="shared" si="14"/>
        <v>#N/A</v>
      </c>
      <c r="X33" s="1812"/>
      <c r="Y33" s="3187"/>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4"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2515</v>
      </c>
      <c r="Q35" s="1809" t="str">
        <f t="shared" si="11"/>
        <v>市政基础设施</v>
      </c>
      <c r="R35" s="774" t="s">
        <v>17</v>
      </c>
      <c r="S35" s="775">
        <f t="shared" si="12"/>
        <v>100</v>
      </c>
      <c r="T35" s="774" t="s">
        <v>17</v>
      </c>
      <c r="U35" s="775">
        <f t="shared" si="13"/>
        <v>100</v>
      </c>
      <c r="V35" s="774" t="s">
        <v>17</v>
      </c>
      <c r="W35" s="775">
        <f t="shared" si="14"/>
        <v>100</v>
      </c>
      <c r="X35" s="1812"/>
      <c r="Y35" s="3187"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09" t="str">
        <f t="shared" si="11"/>
        <v>内部装修</v>
      </c>
      <c r="R36" s="774" t="s">
        <v>17</v>
      </c>
      <c r="S36" s="775">
        <f t="shared" si="12"/>
        <v>100</v>
      </c>
      <c r="T36" s="774" t="s">
        <v>17</v>
      </c>
      <c r="U36" s="775">
        <f t="shared" si="13"/>
        <v>100</v>
      </c>
      <c r="V36" s="774" t="s">
        <v>17</v>
      </c>
      <c r="W36" s="775">
        <f t="shared" si="14"/>
        <v>100</v>
      </c>
      <c r="X36" s="1812"/>
      <c r="Y36" s="3187"/>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09" t="str">
        <f t="shared" si="11"/>
        <v>内部装修状况</v>
      </c>
      <c r="R37" s="774" t="s">
        <v>17</v>
      </c>
      <c r="S37" s="775">
        <f t="shared" si="12"/>
        <v>100</v>
      </c>
      <c r="T37" s="774" t="s">
        <v>17</v>
      </c>
      <c r="U37" s="775">
        <f t="shared" si="13"/>
        <v>100</v>
      </c>
      <c r="V37" s="774" t="s">
        <v>17</v>
      </c>
      <c r="W37" s="775">
        <f t="shared" si="14"/>
        <v>100</v>
      </c>
      <c r="X37" s="1812"/>
      <c r="Y37" s="318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09">
        <f t="shared" si="11"/>
        <v>111</v>
      </c>
      <c r="R39" s="774" t="s">
        <v>17</v>
      </c>
      <c r="S39" s="775">
        <f t="shared" si="12"/>
        <v>100</v>
      </c>
      <c r="T39" s="774" t="s">
        <v>17</v>
      </c>
      <c r="U39" s="775">
        <f t="shared" si="13"/>
        <v>100</v>
      </c>
      <c r="V39" s="774" t="s">
        <v>17</v>
      </c>
      <c r="W39" s="775">
        <f t="shared" si="14"/>
        <v>100</v>
      </c>
      <c r="X39" s="1812"/>
      <c r="Y39" s="318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7"/>
      <c r="Q40" s="1809">
        <f t="shared" si="11"/>
        <v>111</v>
      </c>
      <c r="R40" s="774" t="s">
        <v>17</v>
      </c>
      <c r="S40" s="775">
        <f t="shared" si="12"/>
        <v>100</v>
      </c>
      <c r="T40" s="774" t="s">
        <v>17</v>
      </c>
      <c r="U40" s="775">
        <f t="shared" si="13"/>
        <v>100</v>
      </c>
      <c r="V40" s="774" t="s">
        <v>17</v>
      </c>
      <c r="W40" s="775">
        <f t="shared" si="14"/>
        <v>100</v>
      </c>
      <c r="X40" s="1812"/>
      <c r="Y40" s="3227"/>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82" t="str">
        <f>A41</f>
        <v>成交单价（元/平方米）</v>
      </c>
      <c r="Q41" s="3182"/>
      <c r="R41" s="3223">
        <f>E41</f>
        <v>0</v>
      </c>
      <c r="S41" s="3223"/>
      <c r="T41" s="3223">
        <f>G41</f>
        <v>0</v>
      </c>
      <c r="U41" s="3223"/>
      <c r="V41" s="3223">
        <f>I41</f>
        <v>0</v>
      </c>
      <c r="W41" s="3223"/>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76" t="str">
        <f>A43</f>
        <v>估价对象XX用房的比较价值（楼面单价，元/平方米）</v>
      </c>
      <c r="Q43" s="3177"/>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79" t="s">
        <v>2595</v>
      </c>
      <c r="D4" s="3192"/>
      <c r="E4" s="3193" t="s">
        <v>2596</v>
      </c>
      <c r="F4" s="3194"/>
      <c r="G4" s="3179" t="s">
        <v>2597</v>
      </c>
      <c r="H4" s="3192"/>
      <c r="I4" s="3179" t="s">
        <v>2598</v>
      </c>
      <c r="J4" s="3192"/>
      <c r="K4" s="610" t="s">
        <v>2599</v>
      </c>
      <c r="L4" s="1130"/>
      <c r="M4" s="1131"/>
      <c r="N4" s="1131"/>
      <c r="O4" s="1131"/>
      <c r="P4" s="3195" t="s">
        <v>2600</v>
      </c>
      <c r="Q4" s="3196"/>
      <c r="R4" s="3201" t="s">
        <v>2596</v>
      </c>
      <c r="S4" s="3202"/>
      <c r="T4" s="3201" t="s">
        <v>2597</v>
      </c>
      <c r="U4" s="3202"/>
      <c r="V4" s="3188" t="s">
        <v>2598</v>
      </c>
      <c r="W4" s="3188"/>
      <c r="X4" s="1812"/>
      <c r="Y4" s="3201" t="s">
        <v>2600</v>
      </c>
      <c r="Z4" s="3202"/>
      <c r="AA4" s="3189" t="s">
        <v>2596</v>
      </c>
      <c r="AB4" s="3190" t="s">
        <v>2597</v>
      </c>
      <c r="AC4" s="3189" t="s">
        <v>2598</v>
      </c>
    </row>
    <row r="5" spans="1:29" ht="15">
      <c r="A5" s="404"/>
      <c r="B5" s="405"/>
      <c r="C5" s="3209" t="s">
        <v>2492</v>
      </c>
      <c r="D5" s="3210"/>
      <c r="E5" s="3217" t="s">
        <v>2493</v>
      </c>
      <c r="F5" s="3218"/>
      <c r="G5" s="3209" t="s">
        <v>2494</v>
      </c>
      <c r="H5" s="3210"/>
      <c r="I5" s="3209" t="s">
        <v>2495</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2496</v>
      </c>
      <c r="D6" s="3208"/>
      <c r="E6" s="3215" t="s">
        <v>2496</v>
      </c>
      <c r="F6" s="3216"/>
      <c r="G6" s="3207" t="s">
        <v>2496</v>
      </c>
      <c r="H6" s="3208"/>
      <c r="I6" s="3207" t="s">
        <v>2496</v>
      </c>
      <c r="J6" s="3208"/>
      <c r="K6" s="610" t="s">
        <v>2497</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2499</v>
      </c>
      <c r="Q7" s="3213"/>
      <c r="R7" s="770" t="s">
        <v>17</v>
      </c>
      <c r="S7" s="771">
        <f t="shared" ref="S7:S14" si="0">F7</f>
        <v>0</v>
      </c>
      <c r="T7" s="770" t="s">
        <v>17</v>
      </c>
      <c r="U7" s="771">
        <f t="shared" ref="U7:U14" si="1">H7</f>
        <v>0</v>
      </c>
      <c r="V7" s="770" t="s">
        <v>17</v>
      </c>
      <c r="W7" s="771">
        <f t="shared" ref="W7:W14" si="2">J7</f>
        <v>0</v>
      </c>
      <c r="X7" s="772"/>
      <c r="Y7" s="3211" t="s">
        <v>2499</v>
      </c>
      <c r="Z7" s="3212"/>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2502</v>
      </c>
      <c r="Q8" s="3212"/>
      <c r="R8" s="770" t="s">
        <v>17</v>
      </c>
      <c r="S8" s="771">
        <f t="shared" si="0"/>
        <v>0</v>
      </c>
      <c r="T8" s="770" t="s">
        <v>17</v>
      </c>
      <c r="U8" s="771">
        <f t="shared" si="1"/>
        <v>0</v>
      </c>
      <c r="V8" s="770" t="s">
        <v>17</v>
      </c>
      <c r="W8" s="771">
        <f t="shared" si="2"/>
        <v>0</v>
      </c>
      <c r="X8" s="772"/>
      <c r="Y8" s="3211" t="s">
        <v>2502</v>
      </c>
      <c r="Z8" s="3212"/>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2505</v>
      </c>
      <c r="Q9" s="1794" t="str">
        <f t="shared" ref="Q9:Q14" si="6">B9</f>
        <v>用途</v>
      </c>
      <c r="R9" s="770" t="s">
        <v>17</v>
      </c>
      <c r="S9" s="771">
        <f t="shared" si="0"/>
        <v>100</v>
      </c>
      <c r="T9" s="770" t="s">
        <v>17</v>
      </c>
      <c r="U9" s="771">
        <f t="shared" si="1"/>
        <v>100</v>
      </c>
      <c r="V9" s="770" t="s">
        <v>17</v>
      </c>
      <c r="W9" s="771">
        <f t="shared" si="2"/>
        <v>100</v>
      </c>
      <c r="X9" s="772"/>
      <c r="Y9" s="3033"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2510</v>
      </c>
      <c r="Q14" s="1809" t="str">
        <f t="shared" si="6"/>
        <v>交通便捷度</v>
      </c>
      <c r="R14" s="774" t="s">
        <v>17</v>
      </c>
      <c r="S14" s="775">
        <f t="shared" si="0"/>
        <v>100</v>
      </c>
      <c r="T14" s="774" t="s">
        <v>17</v>
      </c>
      <c r="U14" s="775">
        <f t="shared" si="1"/>
        <v>100</v>
      </c>
      <c r="V14" s="774" t="s">
        <v>17</v>
      </c>
      <c r="W14" s="775">
        <f t="shared" si="2"/>
        <v>100</v>
      </c>
      <c r="X14" s="1812"/>
      <c r="Y14" s="3184"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5"/>
      <c r="Q15" s="1809"/>
      <c r="R15" s="774"/>
      <c r="S15" s="775"/>
      <c r="T15" s="774"/>
      <c r="U15" s="775"/>
      <c r="V15" s="774"/>
      <c r="W15" s="775"/>
      <c r="X15" s="1812"/>
      <c r="Y15" s="3185"/>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09" t="str">
        <f>B16</f>
        <v>公共配套设施</v>
      </c>
      <c r="R16" s="774" t="s">
        <v>17</v>
      </c>
      <c r="S16" s="775">
        <f>F16</f>
        <v>100</v>
      </c>
      <c r="T16" s="774" t="s">
        <v>17</v>
      </c>
      <c r="U16" s="775">
        <f>H16</f>
        <v>100</v>
      </c>
      <c r="V16" s="774" t="s">
        <v>17</v>
      </c>
      <c r="W16" s="775">
        <f>J16</f>
        <v>100</v>
      </c>
      <c r="X16" s="1812"/>
      <c r="Y16" s="3185"/>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85"/>
      <c r="Q17" s="1809"/>
      <c r="R17" s="774"/>
      <c r="S17" s="775"/>
      <c r="T17" s="774"/>
      <c r="U17" s="775"/>
      <c r="V17" s="774"/>
      <c r="W17" s="775"/>
      <c r="X17" s="1812"/>
      <c r="Y17" s="3185"/>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09" t="str">
        <f>B18</f>
        <v>基础设施水平</v>
      </c>
      <c r="R18" s="774" t="s">
        <v>17</v>
      </c>
      <c r="S18" s="775">
        <f>F18</f>
        <v>100</v>
      </c>
      <c r="T18" s="774" t="s">
        <v>17</v>
      </c>
      <c r="U18" s="775">
        <f>H18</f>
        <v>100</v>
      </c>
      <c r="V18" s="774" t="s">
        <v>17</v>
      </c>
      <c r="W18" s="775">
        <f>J18</f>
        <v>100</v>
      </c>
      <c r="X18" s="1812"/>
      <c r="Y18" s="3185"/>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85"/>
      <c r="Q19" s="1809"/>
      <c r="R19" s="774"/>
      <c r="S19" s="775"/>
      <c r="T19" s="774"/>
      <c r="U19" s="775"/>
      <c r="V19" s="774"/>
      <c r="W19" s="775"/>
      <c r="X19" s="1812"/>
      <c r="Y19" s="3185"/>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09" t="str">
        <f>B20</f>
        <v>自然及人文环境</v>
      </c>
      <c r="R20" s="774" t="s">
        <v>17</v>
      </c>
      <c r="S20" s="775">
        <f>F20</f>
        <v>100</v>
      </c>
      <c r="T20" s="774" t="s">
        <v>17</v>
      </c>
      <c r="U20" s="775">
        <f>H20</f>
        <v>100</v>
      </c>
      <c r="V20" s="774" t="s">
        <v>17</v>
      </c>
      <c r="W20" s="775">
        <f>J20</f>
        <v>100</v>
      </c>
      <c r="X20" s="1812"/>
      <c r="Y20" s="318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5"/>
      <c r="Q21" s="1809"/>
      <c r="R21" s="774"/>
      <c r="S21" s="775"/>
      <c r="T21" s="774"/>
      <c r="U21" s="775"/>
      <c r="V21" s="774"/>
      <c r="W21" s="775"/>
      <c r="X21" s="1812"/>
      <c r="Y21" s="3185"/>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09" t="str">
        <f>B22</f>
        <v>楼层</v>
      </c>
      <c r="R22" s="774" t="s">
        <v>17</v>
      </c>
      <c r="S22" s="775">
        <f>F22</f>
        <v>100</v>
      </c>
      <c r="T22" s="774" t="s">
        <v>17</v>
      </c>
      <c r="U22" s="775">
        <f>H22</f>
        <v>100</v>
      </c>
      <c r="V22" s="774" t="s">
        <v>17</v>
      </c>
      <c r="W22" s="775">
        <f>J22</f>
        <v>100</v>
      </c>
      <c r="X22" s="1812"/>
      <c r="Y22" s="318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09">
        <f>B23</f>
        <v>111</v>
      </c>
      <c r="R23" s="774" t="s">
        <v>17</v>
      </c>
      <c r="S23" s="775">
        <f>F23</f>
        <v>100</v>
      </c>
      <c r="T23" s="774" t="s">
        <v>17</v>
      </c>
      <c r="U23" s="775">
        <f>H23</f>
        <v>100</v>
      </c>
      <c r="V23" s="774" t="s">
        <v>17</v>
      </c>
      <c r="W23" s="775">
        <f>J23</f>
        <v>100</v>
      </c>
      <c r="X23" s="1812"/>
      <c r="Y23" s="318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09">
        <f t="shared" ref="Q24:Q36" si="11">B24</f>
        <v>111</v>
      </c>
      <c r="R24" s="774" t="s">
        <v>17</v>
      </c>
      <c r="S24" s="775">
        <f>F24</f>
        <v>100</v>
      </c>
      <c r="T24" s="774" t="s">
        <v>17</v>
      </c>
      <c r="U24" s="775">
        <f>H24</f>
        <v>100</v>
      </c>
      <c r="V24" s="774" t="s">
        <v>17</v>
      </c>
      <c r="W24" s="775">
        <f>J24</f>
        <v>100</v>
      </c>
      <c r="X24" s="1812"/>
      <c r="Y24" s="318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4">
        <f t="shared" si="11"/>
        <v>111</v>
      </c>
      <c r="R25" s="770" t="s">
        <v>17</v>
      </c>
      <c r="S25" s="771">
        <f>F25</f>
        <v>100</v>
      </c>
      <c r="T25" s="770" t="s">
        <v>17</v>
      </c>
      <c r="U25" s="771">
        <f>H25</f>
        <v>100</v>
      </c>
      <c r="V25" s="770" t="s">
        <v>17</v>
      </c>
      <c r="W25" s="771">
        <f>J25</f>
        <v>100</v>
      </c>
      <c r="X25" s="772"/>
      <c r="Y25" s="3185"/>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6"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7"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09" t="str">
        <f t="shared" si="11"/>
        <v>公共部分装修</v>
      </c>
      <c r="R28" s="774" t="s">
        <v>17</v>
      </c>
      <c r="S28" s="775">
        <f t="shared" si="12"/>
        <v>100</v>
      </c>
      <c r="T28" s="774" t="s">
        <v>17</v>
      </c>
      <c r="U28" s="775">
        <f t="shared" si="13"/>
        <v>100</v>
      </c>
      <c r="V28" s="774" t="s">
        <v>17</v>
      </c>
      <c r="W28" s="775">
        <f t="shared" si="14"/>
        <v>100</v>
      </c>
      <c r="X28" s="1812"/>
      <c r="Y28" s="3187"/>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09" t="str">
        <f t="shared" si="11"/>
        <v>成新率</v>
      </c>
      <c r="R29" s="774" t="s">
        <v>17</v>
      </c>
      <c r="S29" s="775" t="e">
        <f t="shared" si="12"/>
        <v>#N/A</v>
      </c>
      <c r="T29" s="774" t="s">
        <v>17</v>
      </c>
      <c r="U29" s="775" t="e">
        <f t="shared" si="13"/>
        <v>#N/A</v>
      </c>
      <c r="V29" s="774" t="s">
        <v>17</v>
      </c>
      <c r="W29" s="775" t="e">
        <f t="shared" si="14"/>
        <v>#N/A</v>
      </c>
      <c r="X29" s="1812"/>
      <c r="Y29" s="3187"/>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09" t="str">
        <f t="shared" si="11"/>
        <v>物业等级</v>
      </c>
      <c r="R30" s="774" t="s">
        <v>17</v>
      </c>
      <c r="S30" s="775">
        <f t="shared" si="12"/>
        <v>100</v>
      </c>
      <c r="T30" s="774" t="s">
        <v>17</v>
      </c>
      <c r="U30" s="775">
        <f t="shared" si="13"/>
        <v>100</v>
      </c>
      <c r="V30" s="774" t="s">
        <v>17</v>
      </c>
      <c r="W30" s="775">
        <f t="shared" si="14"/>
        <v>100</v>
      </c>
      <c r="X30" s="1812"/>
      <c r="Y30" s="3187"/>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4"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2515</v>
      </c>
      <c r="Q32" s="1809" t="str">
        <f t="shared" si="11"/>
        <v>车位类型</v>
      </c>
      <c r="R32" s="774" t="s">
        <v>17</v>
      </c>
      <c r="S32" s="775">
        <f t="shared" si="12"/>
        <v>100</v>
      </c>
      <c r="T32" s="774" t="s">
        <v>17</v>
      </c>
      <c r="U32" s="775">
        <f t="shared" si="13"/>
        <v>100</v>
      </c>
      <c r="V32" s="774" t="s">
        <v>17</v>
      </c>
      <c r="W32" s="775">
        <f t="shared" si="14"/>
        <v>100</v>
      </c>
      <c r="X32" s="1812"/>
      <c r="Y32" s="3187"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09" t="str">
        <f t="shared" si="11"/>
        <v>是否直接入户</v>
      </c>
      <c r="R33" s="774" t="s">
        <v>17</v>
      </c>
      <c r="S33" s="775">
        <f t="shared" si="12"/>
        <v>100</v>
      </c>
      <c r="T33" s="774" t="s">
        <v>17</v>
      </c>
      <c r="U33" s="775">
        <f t="shared" si="13"/>
        <v>100</v>
      </c>
      <c r="V33" s="774" t="s">
        <v>17</v>
      </c>
      <c r="W33" s="775">
        <f t="shared" si="14"/>
        <v>100</v>
      </c>
      <c r="X33" s="1812"/>
      <c r="Y33" s="318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09">
        <f t="shared" si="11"/>
        <v>111</v>
      </c>
      <c r="R34" s="774" t="s">
        <v>17</v>
      </c>
      <c r="S34" s="775">
        <f t="shared" si="12"/>
        <v>100</v>
      </c>
      <c r="T34" s="774" t="s">
        <v>17</v>
      </c>
      <c r="U34" s="775">
        <f t="shared" si="13"/>
        <v>100</v>
      </c>
      <c r="V34" s="774" t="s">
        <v>17</v>
      </c>
      <c r="W34" s="775">
        <f t="shared" si="14"/>
        <v>100</v>
      </c>
      <c r="X34" s="1812"/>
      <c r="Y34" s="318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09">
        <f t="shared" si="11"/>
        <v>111</v>
      </c>
      <c r="R36" s="774" t="s">
        <v>17</v>
      </c>
      <c r="S36" s="775">
        <f t="shared" si="12"/>
        <v>100</v>
      </c>
      <c r="T36" s="774" t="s">
        <v>17</v>
      </c>
      <c r="U36" s="775">
        <f t="shared" si="13"/>
        <v>100</v>
      </c>
      <c r="V36" s="774" t="s">
        <v>17</v>
      </c>
      <c r="W36" s="775">
        <f t="shared" si="14"/>
        <v>100</v>
      </c>
      <c r="X36" s="1812"/>
      <c r="Y36" s="3187"/>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82" t="str">
        <f>A37</f>
        <v>成交单价</v>
      </c>
      <c r="Q37" s="3182"/>
      <c r="R37" s="3223">
        <f>E37</f>
        <v>0</v>
      </c>
      <c r="S37" s="3223"/>
      <c r="T37" s="3223">
        <f>G37</f>
        <v>0</v>
      </c>
      <c r="U37" s="3223"/>
      <c r="V37" s="3223">
        <f>I37</f>
        <v>0</v>
      </c>
      <c r="W37" s="3223"/>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76" t="str">
        <f>A39</f>
        <v>估价对象XX用房的比较价值（楼面单价，元/平方米）</v>
      </c>
      <c r="Q39" s="3177"/>
      <c r="R39" s="3222" t="e">
        <f>IF(F1="售价",ROUND(AVERAGE(R38:V38),0),ROUND(AVERAGE(R38:V38),1))</f>
        <v>#DIV/0!</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79" t="s">
        <v>2595</v>
      </c>
      <c r="D4" s="3192"/>
      <c r="E4" s="3193" t="s">
        <v>2596</v>
      </c>
      <c r="F4" s="3194"/>
      <c r="G4" s="3179" t="s">
        <v>2597</v>
      </c>
      <c r="H4" s="3192"/>
      <c r="I4" s="3179" t="s">
        <v>2598</v>
      </c>
      <c r="J4" s="3192"/>
      <c r="K4" s="610" t="s">
        <v>2599</v>
      </c>
      <c r="L4" s="1130"/>
      <c r="M4" s="1131"/>
      <c r="N4" s="1131"/>
      <c r="O4" s="1131"/>
      <c r="P4" s="3195" t="s">
        <v>2600</v>
      </c>
      <c r="Q4" s="3196"/>
      <c r="R4" s="3201" t="s">
        <v>2596</v>
      </c>
      <c r="S4" s="3202"/>
      <c r="T4" s="3201" t="s">
        <v>2597</v>
      </c>
      <c r="U4" s="3202"/>
      <c r="V4" s="3188" t="s">
        <v>2598</v>
      </c>
      <c r="W4" s="3188"/>
      <c r="X4" s="1812"/>
      <c r="Y4" s="3201" t="s">
        <v>2600</v>
      </c>
      <c r="Z4" s="3202"/>
      <c r="AA4" s="3189" t="s">
        <v>2596</v>
      </c>
      <c r="AB4" s="3190" t="s">
        <v>2597</v>
      </c>
      <c r="AC4" s="3189" t="s">
        <v>2598</v>
      </c>
    </row>
    <row r="5" spans="1:29" ht="15">
      <c r="A5" s="404"/>
      <c r="B5" s="405"/>
      <c r="C5" s="3209" t="s">
        <v>2492</v>
      </c>
      <c r="D5" s="3210"/>
      <c r="E5" s="3217" t="s">
        <v>2493</v>
      </c>
      <c r="F5" s="3218"/>
      <c r="G5" s="3209" t="s">
        <v>2494</v>
      </c>
      <c r="H5" s="3210"/>
      <c r="I5" s="3209" t="s">
        <v>2495</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2496</v>
      </c>
      <c r="D6" s="3208"/>
      <c r="E6" s="3215" t="s">
        <v>2496</v>
      </c>
      <c r="F6" s="3216"/>
      <c r="G6" s="3207" t="s">
        <v>2496</v>
      </c>
      <c r="H6" s="3208"/>
      <c r="I6" s="3207" t="s">
        <v>2496</v>
      </c>
      <c r="J6" s="3208"/>
      <c r="K6" s="610" t="s">
        <v>2497</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1" t="s">
        <v>2499</v>
      </c>
      <c r="Q7" s="3213"/>
      <c r="R7" s="770" t="s">
        <v>17</v>
      </c>
      <c r="S7" s="771">
        <f t="shared" ref="S7:S14" si="0">F7</f>
        <v>0</v>
      </c>
      <c r="T7" s="770" t="s">
        <v>17</v>
      </c>
      <c r="U7" s="771">
        <f t="shared" ref="U7:U14" si="1">H7</f>
        <v>0</v>
      </c>
      <c r="V7" s="770" t="s">
        <v>17</v>
      </c>
      <c r="W7" s="771">
        <f t="shared" ref="W7:W14" si="2">J7</f>
        <v>0</v>
      </c>
      <c r="X7" s="772"/>
      <c r="Y7" s="3211" t="s">
        <v>2499</v>
      </c>
      <c r="Z7" s="3212"/>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2502</v>
      </c>
      <c r="Q8" s="3212"/>
      <c r="R8" s="770" t="s">
        <v>17</v>
      </c>
      <c r="S8" s="771">
        <f t="shared" si="0"/>
        <v>0</v>
      </c>
      <c r="T8" s="770" t="s">
        <v>17</v>
      </c>
      <c r="U8" s="771">
        <f t="shared" si="1"/>
        <v>0</v>
      </c>
      <c r="V8" s="770" t="s">
        <v>17</v>
      </c>
      <c r="W8" s="771">
        <f t="shared" si="2"/>
        <v>0</v>
      </c>
      <c r="X8" s="772"/>
      <c r="Y8" s="3211" t="s">
        <v>2502</v>
      </c>
      <c r="Z8" s="3212"/>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2505</v>
      </c>
      <c r="Q9" s="1794" t="str">
        <f t="shared" ref="Q9:Q14" si="6">B9</f>
        <v>用途</v>
      </c>
      <c r="R9" s="770" t="s">
        <v>17</v>
      </c>
      <c r="S9" s="771">
        <f t="shared" si="0"/>
        <v>100</v>
      </c>
      <c r="T9" s="770" t="s">
        <v>17</v>
      </c>
      <c r="U9" s="771">
        <f t="shared" si="1"/>
        <v>100</v>
      </c>
      <c r="V9" s="770" t="s">
        <v>17</v>
      </c>
      <c r="W9" s="771">
        <f t="shared" si="2"/>
        <v>100</v>
      </c>
      <c r="X9" s="772"/>
      <c r="Y9" s="3033"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2510</v>
      </c>
      <c r="Q14" s="1809" t="str">
        <f t="shared" si="6"/>
        <v>交通便捷度</v>
      </c>
      <c r="R14" s="774" t="s">
        <v>17</v>
      </c>
      <c r="S14" s="775">
        <f t="shared" si="0"/>
        <v>100</v>
      </c>
      <c r="T14" s="774" t="s">
        <v>17</v>
      </c>
      <c r="U14" s="775">
        <f t="shared" si="1"/>
        <v>100</v>
      </c>
      <c r="V14" s="774" t="s">
        <v>17</v>
      </c>
      <c r="W14" s="775">
        <f t="shared" si="2"/>
        <v>100</v>
      </c>
      <c r="X14" s="1812"/>
      <c r="Y14" s="3184"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5"/>
      <c r="Q15" s="1809"/>
      <c r="R15" s="774"/>
      <c r="S15" s="775"/>
      <c r="T15" s="774"/>
      <c r="U15" s="775"/>
      <c r="V15" s="774"/>
      <c r="W15" s="775"/>
      <c r="X15" s="1812"/>
      <c r="Y15" s="3185"/>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09" t="str">
        <f>B16</f>
        <v>公共配套设施</v>
      </c>
      <c r="R16" s="774" t="s">
        <v>17</v>
      </c>
      <c r="S16" s="775">
        <f>F16</f>
        <v>100</v>
      </c>
      <c r="T16" s="774" t="s">
        <v>17</v>
      </c>
      <c r="U16" s="775">
        <f>H16</f>
        <v>100</v>
      </c>
      <c r="V16" s="774" t="s">
        <v>17</v>
      </c>
      <c r="W16" s="775">
        <f>J16</f>
        <v>100</v>
      </c>
      <c r="X16" s="1812"/>
      <c r="Y16" s="3185"/>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85"/>
      <c r="Q17" s="1809"/>
      <c r="R17" s="774"/>
      <c r="S17" s="775"/>
      <c r="T17" s="774"/>
      <c r="U17" s="775"/>
      <c r="V17" s="774"/>
      <c r="W17" s="775"/>
      <c r="X17" s="1812"/>
      <c r="Y17" s="3185"/>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09" t="str">
        <f>B18</f>
        <v>基础设施水平</v>
      </c>
      <c r="R18" s="774" t="s">
        <v>17</v>
      </c>
      <c r="S18" s="775">
        <f>F18</f>
        <v>100</v>
      </c>
      <c r="T18" s="774" t="s">
        <v>17</v>
      </c>
      <c r="U18" s="775">
        <f>H18</f>
        <v>100</v>
      </c>
      <c r="V18" s="774" t="s">
        <v>17</v>
      </c>
      <c r="W18" s="775">
        <f>J18</f>
        <v>100</v>
      </c>
      <c r="X18" s="1812"/>
      <c r="Y18" s="3185"/>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85"/>
      <c r="Q19" s="1809"/>
      <c r="R19" s="774"/>
      <c r="S19" s="775"/>
      <c r="T19" s="774"/>
      <c r="U19" s="775"/>
      <c r="V19" s="774"/>
      <c r="W19" s="775"/>
      <c r="X19" s="1812"/>
      <c r="Y19" s="3185"/>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09" t="str">
        <f>B20</f>
        <v>自然及人文环境</v>
      </c>
      <c r="R20" s="774" t="s">
        <v>17</v>
      </c>
      <c r="S20" s="775">
        <f>F20</f>
        <v>100</v>
      </c>
      <c r="T20" s="774" t="s">
        <v>17</v>
      </c>
      <c r="U20" s="775">
        <f>H20</f>
        <v>100</v>
      </c>
      <c r="V20" s="774" t="s">
        <v>17</v>
      </c>
      <c r="W20" s="775">
        <f>J20</f>
        <v>100</v>
      </c>
      <c r="X20" s="1812"/>
      <c r="Y20" s="318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5"/>
      <c r="Q21" s="1809"/>
      <c r="R21" s="774"/>
      <c r="S21" s="775"/>
      <c r="T21" s="774"/>
      <c r="U21" s="775"/>
      <c r="V21" s="774"/>
      <c r="W21" s="775"/>
      <c r="X21" s="1812"/>
      <c r="Y21" s="3185"/>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09" t="str">
        <f>B22</f>
        <v>楼层</v>
      </c>
      <c r="R22" s="774" t="s">
        <v>17</v>
      </c>
      <c r="S22" s="775">
        <f>F22</f>
        <v>100</v>
      </c>
      <c r="T22" s="774" t="s">
        <v>17</v>
      </c>
      <c r="U22" s="775">
        <f>H22</f>
        <v>100</v>
      </c>
      <c r="V22" s="774" t="s">
        <v>17</v>
      </c>
      <c r="W22" s="775">
        <f>J22</f>
        <v>100</v>
      </c>
      <c r="X22" s="1812"/>
      <c r="Y22" s="3185"/>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09">
        <f>B23</f>
        <v>111</v>
      </c>
      <c r="R23" s="774" t="s">
        <v>17</v>
      </c>
      <c r="S23" s="775">
        <f>F23</f>
        <v>100</v>
      </c>
      <c r="T23" s="774" t="s">
        <v>17</v>
      </c>
      <c r="U23" s="775">
        <f>H23</f>
        <v>100</v>
      </c>
      <c r="V23" s="774" t="s">
        <v>17</v>
      </c>
      <c r="W23" s="775">
        <f>J23</f>
        <v>100</v>
      </c>
      <c r="X23" s="1812"/>
      <c r="Y23" s="3185"/>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09">
        <f t="shared" ref="Q24:Q34" si="11">B24</f>
        <v>111</v>
      </c>
      <c r="R24" s="774" t="s">
        <v>17</v>
      </c>
      <c r="S24" s="775">
        <f>F24</f>
        <v>100</v>
      </c>
      <c r="T24" s="774" t="s">
        <v>17</v>
      </c>
      <c r="U24" s="775">
        <f>H24</f>
        <v>100</v>
      </c>
      <c r="V24" s="774" t="s">
        <v>17</v>
      </c>
      <c r="W24" s="775">
        <f>J24</f>
        <v>100</v>
      </c>
      <c r="X24" s="1812"/>
      <c r="Y24" s="3185"/>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5"/>
      <c r="Q25" s="1794">
        <f t="shared" si="11"/>
        <v>111</v>
      </c>
      <c r="R25" s="770" t="s">
        <v>17</v>
      </c>
      <c r="S25" s="771">
        <f>F25</f>
        <v>100</v>
      </c>
      <c r="T25" s="770" t="s">
        <v>17</v>
      </c>
      <c r="U25" s="771">
        <f>H25</f>
        <v>100</v>
      </c>
      <c r="V25" s="770" t="s">
        <v>17</v>
      </c>
      <c r="W25" s="771">
        <f>J25</f>
        <v>100</v>
      </c>
      <c r="X25" s="772"/>
      <c r="Y25" s="3185"/>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86"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7"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09" t="str">
        <f t="shared" si="11"/>
        <v>物业等级</v>
      </c>
      <c r="R28" s="774" t="s">
        <v>17</v>
      </c>
      <c r="S28" s="775">
        <f t="shared" si="12"/>
        <v>100</v>
      </c>
      <c r="T28" s="774" t="s">
        <v>17</v>
      </c>
      <c r="U28" s="775">
        <f t="shared" si="13"/>
        <v>100</v>
      </c>
      <c r="V28" s="774" t="s">
        <v>17</v>
      </c>
      <c r="W28" s="775">
        <f t="shared" si="14"/>
        <v>100</v>
      </c>
      <c r="X28" s="1812"/>
      <c r="Y28" s="3187"/>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09" t="str">
        <f t="shared" si="11"/>
        <v>有无电梯</v>
      </c>
      <c r="R29" s="774" t="s">
        <v>17</v>
      </c>
      <c r="S29" s="775">
        <f t="shared" si="12"/>
        <v>100</v>
      </c>
      <c r="T29" s="774" t="s">
        <v>17</v>
      </c>
      <c r="U29" s="775">
        <f t="shared" si="13"/>
        <v>100</v>
      </c>
      <c r="V29" s="774" t="s">
        <v>17</v>
      </c>
      <c r="W29" s="775">
        <f t="shared" si="14"/>
        <v>100</v>
      </c>
      <c r="X29" s="1812"/>
      <c r="Y29" s="3187"/>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09" t="str">
        <f t="shared" si="11"/>
        <v>建筑面积</v>
      </c>
      <c r="R30" s="774" t="s">
        <v>17</v>
      </c>
      <c r="S30" s="775" t="e">
        <f t="shared" si="12"/>
        <v>#N/A</v>
      </c>
      <c r="T30" s="774" t="s">
        <v>17</v>
      </c>
      <c r="U30" s="775" t="e">
        <f t="shared" si="13"/>
        <v>#N/A</v>
      </c>
      <c r="V30" s="774" t="s">
        <v>17</v>
      </c>
      <c r="W30" s="775" t="e">
        <f t="shared" si="14"/>
        <v>#N/A</v>
      </c>
      <c r="X30" s="1812"/>
      <c r="Y30" s="3187"/>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4"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2515</v>
      </c>
      <c r="Q32" s="1809">
        <f t="shared" si="11"/>
        <v>111</v>
      </c>
      <c r="R32" s="774" t="s">
        <v>17</v>
      </c>
      <c r="S32" s="775">
        <f t="shared" si="12"/>
        <v>100</v>
      </c>
      <c r="T32" s="774" t="s">
        <v>17</v>
      </c>
      <c r="U32" s="775">
        <f t="shared" si="13"/>
        <v>100</v>
      </c>
      <c r="V32" s="774" t="s">
        <v>17</v>
      </c>
      <c r="W32" s="775">
        <f t="shared" si="14"/>
        <v>100</v>
      </c>
      <c r="X32" s="1812"/>
      <c r="Y32" s="3187"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09">
        <f t="shared" si="11"/>
        <v>111</v>
      </c>
      <c r="R33" s="774" t="s">
        <v>17</v>
      </c>
      <c r="S33" s="775">
        <f t="shared" si="12"/>
        <v>100</v>
      </c>
      <c r="T33" s="774" t="s">
        <v>17</v>
      </c>
      <c r="U33" s="775">
        <f t="shared" si="13"/>
        <v>100</v>
      </c>
      <c r="V33" s="774" t="s">
        <v>17</v>
      </c>
      <c r="W33" s="775">
        <f t="shared" si="14"/>
        <v>100</v>
      </c>
      <c r="X33" s="1812"/>
      <c r="Y33" s="318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7"/>
      <c r="Q34" s="1809">
        <f t="shared" si="11"/>
        <v>111</v>
      </c>
      <c r="R34" s="774" t="s">
        <v>17</v>
      </c>
      <c r="S34" s="775">
        <f t="shared" si="12"/>
        <v>100</v>
      </c>
      <c r="T34" s="774" t="s">
        <v>17</v>
      </c>
      <c r="U34" s="775">
        <f t="shared" si="13"/>
        <v>100</v>
      </c>
      <c r="V34" s="774" t="s">
        <v>17</v>
      </c>
      <c r="W34" s="775">
        <f t="shared" si="14"/>
        <v>100</v>
      </c>
      <c r="X34" s="1812"/>
      <c r="Y34" s="3187"/>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82" t="str">
        <f>A35</f>
        <v>成交单价（元/平方米）</v>
      </c>
      <c r="Q35" s="3182"/>
      <c r="R35" s="3223">
        <f>E35</f>
        <v>0</v>
      </c>
      <c r="S35" s="3223"/>
      <c r="T35" s="3223">
        <f>G35</f>
        <v>0</v>
      </c>
      <c r="U35" s="3223"/>
      <c r="V35" s="3223">
        <f>I35</f>
        <v>0</v>
      </c>
      <c r="W35" s="3223"/>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76" t="str">
        <f>A37</f>
        <v>估价对象XX用房的比较价值（楼面单价，元/平方米）</v>
      </c>
      <c r="Q37" s="3177"/>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79" t="s">
        <v>2595</v>
      </c>
      <c r="D4" s="3192"/>
      <c r="E4" s="3193" t="s">
        <v>2596</v>
      </c>
      <c r="F4" s="3194"/>
      <c r="G4" s="3179" t="s">
        <v>2597</v>
      </c>
      <c r="H4" s="3192"/>
      <c r="I4" s="3179" t="s">
        <v>2598</v>
      </c>
      <c r="J4" s="3192"/>
      <c r="K4" s="610" t="s">
        <v>2599</v>
      </c>
      <c r="L4" s="1130"/>
      <c r="M4" s="1131"/>
      <c r="N4" s="1131"/>
      <c r="O4" s="1131"/>
      <c r="P4" s="3195" t="s">
        <v>2600</v>
      </c>
      <c r="Q4" s="3196"/>
      <c r="R4" s="3201" t="s">
        <v>2596</v>
      </c>
      <c r="S4" s="3202"/>
      <c r="T4" s="3201" t="s">
        <v>2597</v>
      </c>
      <c r="U4" s="3202"/>
      <c r="V4" s="3188" t="s">
        <v>2598</v>
      </c>
      <c r="W4" s="3188"/>
      <c r="X4" s="1812"/>
      <c r="Y4" s="3201" t="s">
        <v>2600</v>
      </c>
      <c r="Z4" s="3202"/>
      <c r="AA4" s="3189" t="s">
        <v>2596</v>
      </c>
      <c r="AB4" s="3190" t="s">
        <v>2597</v>
      </c>
      <c r="AC4" s="3189" t="s">
        <v>2598</v>
      </c>
    </row>
    <row r="5" spans="1:29" ht="15">
      <c r="A5" s="404"/>
      <c r="B5" s="405"/>
      <c r="C5" s="3209" t="s">
        <v>2492</v>
      </c>
      <c r="D5" s="3210"/>
      <c r="E5" s="3217" t="s">
        <v>2493</v>
      </c>
      <c r="F5" s="3218"/>
      <c r="G5" s="3209" t="s">
        <v>2494</v>
      </c>
      <c r="H5" s="3210"/>
      <c r="I5" s="3209" t="s">
        <v>2495</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74" t="s">
        <v>2744</v>
      </c>
      <c r="D6" s="3275"/>
      <c r="E6" s="3276" t="s">
        <v>2744</v>
      </c>
      <c r="F6" s="3277"/>
      <c r="G6" s="3274" t="s">
        <v>2744</v>
      </c>
      <c r="H6" s="3275"/>
      <c r="I6" s="3274" t="s">
        <v>2744</v>
      </c>
      <c r="J6" s="3275"/>
      <c r="K6" s="610" t="s">
        <v>2497</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1" t="s">
        <v>2499</v>
      </c>
      <c r="Q7" s="3213"/>
      <c r="R7" s="770" t="s">
        <v>17</v>
      </c>
      <c r="S7" s="771">
        <f t="shared" ref="S7:S15" si="0">F7</f>
        <v>0</v>
      </c>
      <c r="T7" s="770" t="s">
        <v>17</v>
      </c>
      <c r="U7" s="771">
        <f t="shared" ref="U7:U15" si="1">H7</f>
        <v>0</v>
      </c>
      <c r="V7" s="770" t="s">
        <v>17</v>
      </c>
      <c r="W7" s="771">
        <f t="shared" ref="W7:W15" si="2">J7</f>
        <v>0</v>
      </c>
      <c r="X7" s="772"/>
      <c r="Y7" s="3211" t="s">
        <v>2499</v>
      </c>
      <c r="Z7" s="3212"/>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2502</v>
      </c>
      <c r="Q8" s="3212"/>
      <c r="R8" s="770" t="s">
        <v>17</v>
      </c>
      <c r="S8" s="771">
        <f t="shared" si="0"/>
        <v>0</v>
      </c>
      <c r="T8" s="770" t="s">
        <v>17</v>
      </c>
      <c r="U8" s="771">
        <f t="shared" si="1"/>
        <v>0</v>
      </c>
      <c r="V8" s="770" t="s">
        <v>17</v>
      </c>
      <c r="W8" s="771">
        <f t="shared" si="2"/>
        <v>0</v>
      </c>
      <c r="X8" s="772"/>
      <c r="Y8" s="3211" t="s">
        <v>2502</v>
      </c>
      <c r="Z8" s="3212"/>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2" t="s">
        <v>2505</v>
      </c>
      <c r="Q9" s="1794"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2"/>
      <c r="Q10" s="1794"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2510</v>
      </c>
      <c r="Q15" s="1809" t="str">
        <f t="shared" si="6"/>
        <v>产业集聚程度</v>
      </c>
      <c r="R15" s="774" t="s">
        <v>17</v>
      </c>
      <c r="S15" s="775">
        <f t="shared" si="0"/>
        <v>100</v>
      </c>
      <c r="T15" s="774" t="s">
        <v>17</v>
      </c>
      <c r="U15" s="775">
        <f t="shared" si="1"/>
        <v>100</v>
      </c>
      <c r="V15" s="774" t="s">
        <v>17</v>
      </c>
      <c r="W15" s="775">
        <f t="shared" si="2"/>
        <v>100</v>
      </c>
      <c r="X15" s="1812"/>
      <c r="Y15" s="3184"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85"/>
      <c r="Q16" s="1809"/>
      <c r="R16" s="774"/>
      <c r="S16" s="775"/>
      <c r="T16" s="774"/>
      <c r="U16" s="775"/>
      <c r="V16" s="774"/>
      <c r="W16" s="775"/>
      <c r="X16" s="1812"/>
      <c r="Y16" s="3185"/>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85"/>
      <c r="Q18" s="1809"/>
      <c r="R18" s="774"/>
      <c r="S18" s="775"/>
      <c r="T18" s="774"/>
      <c r="U18" s="775"/>
      <c r="V18" s="774"/>
      <c r="W18" s="775"/>
      <c r="X18" s="1812"/>
      <c r="Y18" s="3185"/>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09" t="str">
        <f t="shared" ref="Q19:Q33" si="8">B19</f>
        <v>区域土地利用方向</v>
      </c>
      <c r="R19" s="774" t="s">
        <v>17</v>
      </c>
      <c r="S19" s="775">
        <f>F19</f>
        <v>100</v>
      </c>
      <c r="T19" s="774" t="s">
        <v>17</v>
      </c>
      <c r="U19" s="775">
        <f>H19</f>
        <v>100</v>
      </c>
      <c r="V19" s="774" t="s">
        <v>17</v>
      </c>
      <c r="W19" s="775">
        <f>J19</f>
        <v>100</v>
      </c>
      <c r="X19" s="1812"/>
      <c r="Y19" s="3185"/>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85"/>
      <c r="Q20" s="1809"/>
      <c r="R20" s="774"/>
      <c r="S20" s="775"/>
      <c r="T20" s="774"/>
      <c r="U20" s="775"/>
      <c r="V20" s="774"/>
      <c r="W20" s="775"/>
      <c r="X20" s="1812"/>
      <c r="Y20" s="3185"/>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09" t="str">
        <f t="shared" si="8"/>
        <v>环境状况</v>
      </c>
      <c r="R21" s="774" t="s">
        <v>17</v>
      </c>
      <c r="S21" s="775">
        <f>F21</f>
        <v>100</v>
      </c>
      <c r="T21" s="774" t="s">
        <v>17</v>
      </c>
      <c r="U21" s="775">
        <f>H21</f>
        <v>100</v>
      </c>
      <c r="V21" s="774" t="s">
        <v>17</v>
      </c>
      <c r="W21" s="775">
        <f>J21</f>
        <v>100</v>
      </c>
      <c r="X21" s="1812"/>
      <c r="Y21" s="3185"/>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85"/>
      <c r="Q22" s="1809"/>
      <c r="R22" s="774"/>
      <c r="S22" s="775"/>
      <c r="T22" s="774"/>
      <c r="U22" s="775"/>
      <c r="V22" s="774"/>
      <c r="W22" s="775"/>
      <c r="X22" s="1812"/>
      <c r="Y22" s="3185"/>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4" t="str">
        <f t="shared" si="8"/>
        <v>公共配套设施</v>
      </c>
      <c r="R23" s="770" t="s">
        <v>17</v>
      </c>
      <c r="S23" s="771">
        <f>F23</f>
        <v>100</v>
      </c>
      <c r="T23" s="770" t="s">
        <v>17</v>
      </c>
      <c r="U23" s="771">
        <f>H23</f>
        <v>100</v>
      </c>
      <c r="V23" s="770" t="s">
        <v>17</v>
      </c>
      <c r="W23" s="771">
        <f>J23</f>
        <v>100</v>
      </c>
      <c r="X23" s="772"/>
      <c r="Y23" s="3185"/>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85"/>
      <c r="Q24" s="1794"/>
      <c r="R24" s="770"/>
      <c r="S24" s="771"/>
      <c r="T24" s="770"/>
      <c r="U24" s="771"/>
      <c r="V24" s="770"/>
      <c r="W24" s="771"/>
      <c r="X24" s="772"/>
      <c r="Y24" s="3185"/>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4"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85"/>
      <c r="Q26" s="1794"/>
      <c r="R26" s="770"/>
      <c r="S26" s="771"/>
      <c r="T26" s="770"/>
      <c r="U26" s="771"/>
      <c r="V26" s="770"/>
      <c r="W26" s="771"/>
      <c r="X26" s="772"/>
      <c r="Y26" s="3185"/>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5"/>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09" t="str">
        <f t="shared" si="8"/>
        <v>毗邻道路的类型与等级</v>
      </c>
      <c r="R28" s="774" t="s">
        <v>17</v>
      </c>
      <c r="S28" s="775">
        <f t="shared" si="10"/>
        <v>100</v>
      </c>
      <c r="T28" s="774" t="s">
        <v>17</v>
      </c>
      <c r="U28" s="775">
        <f t="shared" si="11"/>
        <v>100</v>
      </c>
      <c r="V28" s="774" t="s">
        <v>17</v>
      </c>
      <c r="W28" s="775">
        <f t="shared" si="12"/>
        <v>100</v>
      </c>
      <c r="X28" s="1812"/>
      <c r="Y28" s="3185"/>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85"/>
      <c r="Q29" s="1809"/>
      <c r="R29" s="774"/>
      <c r="S29" s="775"/>
      <c r="T29" s="774"/>
      <c r="U29" s="775"/>
      <c r="V29" s="774"/>
      <c r="W29" s="775"/>
      <c r="X29" s="1812"/>
      <c r="Y29" s="3185"/>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09" t="str">
        <f t="shared" si="8"/>
        <v>土地级别</v>
      </c>
      <c r="R30" s="774" t="s">
        <v>17</v>
      </c>
      <c r="S30" s="775">
        <f t="shared" si="10"/>
        <v>100</v>
      </c>
      <c r="T30" s="774" t="s">
        <v>17</v>
      </c>
      <c r="U30" s="775">
        <f t="shared" si="11"/>
        <v>100</v>
      </c>
      <c r="V30" s="774" t="s">
        <v>17</v>
      </c>
      <c r="W30" s="775">
        <f t="shared" si="12"/>
        <v>100</v>
      </c>
      <c r="X30" s="1812"/>
      <c r="Y30" s="3185"/>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09">
        <f t="shared" si="8"/>
        <v>111</v>
      </c>
      <c r="R31" s="774" t="s">
        <v>17</v>
      </c>
      <c r="S31" s="775">
        <f t="shared" si="10"/>
        <v>100</v>
      </c>
      <c r="T31" s="774" t="s">
        <v>17</v>
      </c>
      <c r="U31" s="775">
        <f t="shared" si="11"/>
        <v>100</v>
      </c>
      <c r="V31" s="774" t="s">
        <v>17</v>
      </c>
      <c r="W31" s="775">
        <f t="shared" si="12"/>
        <v>100</v>
      </c>
      <c r="X31" s="1812"/>
      <c r="Y31" s="3185"/>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6" t="s">
        <v>2515</v>
      </c>
      <c r="Q32" s="1809">
        <f t="shared" si="8"/>
        <v>111</v>
      </c>
      <c r="R32" s="774" t="s">
        <v>17</v>
      </c>
      <c r="S32" s="775">
        <f t="shared" si="10"/>
        <v>100</v>
      </c>
      <c r="T32" s="774" t="s">
        <v>17</v>
      </c>
      <c r="U32" s="775">
        <f t="shared" si="11"/>
        <v>100</v>
      </c>
      <c r="V32" s="774" t="s">
        <v>17</v>
      </c>
      <c r="W32" s="775">
        <f t="shared" si="12"/>
        <v>100</v>
      </c>
      <c r="X32" s="1812"/>
      <c r="Y32" s="3187"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09">
        <f t="shared" si="8"/>
        <v>111</v>
      </c>
      <c r="R33" s="777" t="s">
        <v>17</v>
      </c>
      <c r="S33" s="778">
        <f t="shared" si="10"/>
        <v>100</v>
      </c>
      <c r="T33" s="777" t="s">
        <v>17</v>
      </c>
      <c r="U33" s="778">
        <f t="shared" si="11"/>
        <v>100</v>
      </c>
      <c r="V33" s="777" t="s">
        <v>17</v>
      </c>
      <c r="W33" s="778">
        <f t="shared" si="12"/>
        <v>100</v>
      </c>
      <c r="X33" s="779"/>
      <c r="Y33" s="3187"/>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09" t="str">
        <f>B34</f>
        <v>宗地面积</v>
      </c>
      <c r="R34" s="774" t="s">
        <v>17</v>
      </c>
      <c r="S34" s="775" t="e">
        <f t="shared" si="10"/>
        <v>#N/A</v>
      </c>
      <c r="T34" s="774" t="s">
        <v>17</v>
      </c>
      <c r="U34" s="775" t="e">
        <f t="shared" si="11"/>
        <v>#N/A</v>
      </c>
      <c r="V34" s="774" t="s">
        <v>17</v>
      </c>
      <c r="W34" s="775" t="e">
        <f t="shared" si="12"/>
        <v>#N/A</v>
      </c>
      <c r="X34" s="1812"/>
      <c r="Y34" s="3187"/>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87"/>
      <c r="Q35" s="1809" t="str">
        <f t="shared" ref="Q35:Q40" si="14">B35</f>
        <v>宗地形状</v>
      </c>
      <c r="R35" s="774" t="s">
        <v>17</v>
      </c>
      <c r="S35" s="775">
        <f t="shared" si="10"/>
        <v>100</v>
      </c>
      <c r="T35" s="774" t="s">
        <v>17</v>
      </c>
      <c r="U35" s="775">
        <f t="shared" si="11"/>
        <v>100</v>
      </c>
      <c r="V35" s="774" t="s">
        <v>17</v>
      </c>
      <c r="W35" s="775">
        <f t="shared" si="12"/>
        <v>100</v>
      </c>
      <c r="X35" s="1812"/>
      <c r="Y35" s="3187"/>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87"/>
      <c r="Q36" s="1809"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87" t="s">
        <v>2515</v>
      </c>
      <c r="Q37" s="1809" t="str">
        <f t="shared" si="14"/>
        <v>工程地质条件</v>
      </c>
      <c r="R37" s="774" t="s">
        <v>17</v>
      </c>
      <c r="S37" s="775">
        <f t="shared" si="10"/>
        <v>100</v>
      </c>
      <c r="T37" s="774" t="s">
        <v>17</v>
      </c>
      <c r="U37" s="775">
        <f t="shared" si="11"/>
        <v>100</v>
      </c>
      <c r="V37" s="774" t="s">
        <v>17</v>
      </c>
      <c r="W37" s="775">
        <f t="shared" si="12"/>
        <v>100</v>
      </c>
      <c r="X37" s="1812"/>
      <c r="Y37" s="3187"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09">
        <f t="shared" si="14"/>
        <v>111</v>
      </c>
      <c r="R38" s="774" t="s">
        <v>17</v>
      </c>
      <c r="S38" s="775">
        <f t="shared" si="10"/>
        <v>100</v>
      </c>
      <c r="T38" s="774" t="s">
        <v>17</v>
      </c>
      <c r="U38" s="775">
        <f t="shared" si="11"/>
        <v>100</v>
      </c>
      <c r="V38" s="774" t="s">
        <v>17</v>
      </c>
      <c r="W38" s="775">
        <f t="shared" si="12"/>
        <v>100</v>
      </c>
      <c r="X38" s="1812"/>
      <c r="Y38" s="318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09">
        <f t="shared" si="14"/>
        <v>111</v>
      </c>
      <c r="R39" s="774" t="s">
        <v>17</v>
      </c>
      <c r="S39" s="775">
        <f t="shared" si="10"/>
        <v>100</v>
      </c>
      <c r="T39" s="774" t="s">
        <v>17</v>
      </c>
      <c r="U39" s="775">
        <f t="shared" si="11"/>
        <v>100</v>
      </c>
      <c r="V39" s="774" t="s">
        <v>17</v>
      </c>
      <c r="W39" s="775">
        <f t="shared" si="12"/>
        <v>100</v>
      </c>
      <c r="X39" s="1812"/>
      <c r="Y39" s="3187"/>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09">
        <f t="shared" si="14"/>
        <v>111</v>
      </c>
      <c r="R40" s="777" t="s">
        <v>17</v>
      </c>
      <c r="S40" s="778">
        <f t="shared" si="10"/>
        <v>100</v>
      </c>
      <c r="T40" s="777" t="s">
        <v>17</v>
      </c>
      <c r="U40" s="778">
        <f t="shared" si="11"/>
        <v>100</v>
      </c>
      <c r="V40" s="777" t="s">
        <v>17</v>
      </c>
      <c r="W40" s="778">
        <f t="shared" si="12"/>
        <v>100</v>
      </c>
      <c r="X40" s="779"/>
      <c r="Y40" s="3187"/>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82" t="str">
        <f>A41</f>
        <v>成交单价</v>
      </c>
      <c r="Q41" s="3182"/>
      <c r="R41" s="3188">
        <f>E41</f>
        <v>0</v>
      </c>
      <c r="S41" s="3188"/>
      <c r="T41" s="3188">
        <f>G41</f>
        <v>0</v>
      </c>
      <c r="U41" s="3188"/>
      <c r="V41" s="3188">
        <f>I41</f>
        <v>0</v>
      </c>
      <c r="W41" s="3188"/>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175" t="e">
        <f>ROUND(PRODUCT(R41,AA7:AA40),0)</f>
        <v>#DIV/0!</v>
      </c>
      <c r="S42" s="3175"/>
      <c r="T42" s="3175" t="e">
        <f>ROUND(PRODUCT(T41,AB7:AB40),0)</f>
        <v>#DIV/0!</v>
      </c>
      <c r="U42" s="3175"/>
      <c r="V42" s="3175" t="e">
        <f>ROUND(PRODUCT(V41,AC7:AC40),0)</f>
        <v>#DIV/0!</v>
      </c>
      <c r="W42" s="3175"/>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76" t="str">
        <f>A43</f>
        <v>估价对象XX用房的比较价值（楼面单价，元/平方米）</v>
      </c>
      <c r="Q43" s="3177"/>
      <c r="R43" s="3178" t="e">
        <f>ROUND(AVERAGE(R42:V42),0)</f>
        <v>#DIV/0!</v>
      </c>
      <c r="S43" s="3178"/>
      <c r="T43" s="3178"/>
      <c r="U43" s="3178"/>
      <c r="V43" s="3178"/>
      <c r="W43" s="31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179" t="s">
        <v>2711</v>
      </c>
      <c r="H50" s="3180"/>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45426.31</v>
      </c>
      <c r="F51" s="691" t="e">
        <f t="shared" ref="F51:F60" si="15">ROUND(B51*E51/10000,0)</f>
        <v>#DIV/0!</v>
      </c>
      <c r="G51" s="3181"/>
      <c r="H51" s="3182"/>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83"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83"/>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83"/>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83"/>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7870.73</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8380.73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5.48</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1"/>
      <c r="B4" s="3282"/>
      <c r="C4" s="3282"/>
      <c r="D4" s="3283"/>
      <c r="E4" s="3283"/>
      <c r="F4" s="3283"/>
      <c r="G4" s="3283"/>
      <c r="H4" s="3283"/>
      <c r="I4" s="3283"/>
      <c r="J4" s="3284"/>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5"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5.48</v>
      </c>
      <c r="AA7" s="1605"/>
      <c r="AB7" s="1605"/>
      <c r="AC7" s="1606"/>
      <c r="AD7" s="1607"/>
      <c r="AE7" s="1607"/>
      <c r="AF7" s="1607"/>
      <c r="AG7" s="1607"/>
      <c r="AH7" s="1607"/>
      <c r="AI7" s="1607"/>
      <c r="AJ7" s="1608"/>
    </row>
    <row r="8" spans="1:36" ht="15">
      <c r="A8" s="3286"/>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8" t="s">
        <v>2787</v>
      </c>
      <c r="X8" s="3279"/>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86"/>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0"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6"/>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6"/>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0" t="s">
        <v>2811</v>
      </c>
      <c r="X11" s="1613" t="s">
        <v>2812</v>
      </c>
      <c r="Y11" s="1614">
        <f>$G$3</f>
        <v>5.48</v>
      </c>
      <c r="Z11" s="1614">
        <f t="shared" ref="Z11:AJ11" si="3">$G$3</f>
        <v>5.48</v>
      </c>
      <c r="AA11" s="1614">
        <f t="shared" si="3"/>
        <v>5.48</v>
      </c>
      <c r="AB11" s="1614">
        <f t="shared" si="3"/>
        <v>5.48</v>
      </c>
      <c r="AC11" s="1614">
        <f t="shared" si="3"/>
        <v>5.48</v>
      </c>
      <c r="AD11" s="1614">
        <f t="shared" si="3"/>
        <v>5.48</v>
      </c>
      <c r="AE11" s="1614">
        <f t="shared" si="3"/>
        <v>5.48</v>
      </c>
      <c r="AF11" s="1614">
        <f t="shared" si="3"/>
        <v>5.48</v>
      </c>
      <c r="AG11" s="1614">
        <f t="shared" si="3"/>
        <v>5.48</v>
      </c>
      <c r="AH11" s="1614">
        <f t="shared" si="3"/>
        <v>5.48</v>
      </c>
      <c r="AI11" s="1614">
        <f t="shared" si="3"/>
        <v>5.48</v>
      </c>
      <c r="AJ11" s="1614">
        <f t="shared" si="3"/>
        <v>5.48</v>
      </c>
    </row>
    <row r="12" spans="1:36" ht="25.5" thickBot="1">
      <c r="A12" s="3285"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0"/>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7"/>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80"/>
      <c r="X13" s="1615"/>
      <c r="Y13" s="1612">
        <f>(-0.163*(Y12^2)-0.59*Y12+7617)*(10^(-4))/Y11</f>
        <v>0.13899635036496349</v>
      </c>
      <c r="Z13" s="1612">
        <f t="shared" ref="Z13:AJ13" si="5">(-0.163*(Z12^2)-0.59*Z12+7617)*(10^(-4))/Z11</f>
        <v>0.13899635036496349</v>
      </c>
      <c r="AA13" s="1612">
        <f t="shared" si="5"/>
        <v>0.13899635036496349</v>
      </c>
      <c r="AB13" s="1612">
        <f t="shared" si="5"/>
        <v>0.13899635036496349</v>
      </c>
      <c r="AC13" s="1612">
        <f t="shared" si="5"/>
        <v>0.13899635036496349</v>
      </c>
      <c r="AD13" s="1612">
        <f t="shared" si="5"/>
        <v>0.13899635036496349</v>
      </c>
      <c r="AE13" s="1612">
        <f t="shared" si="5"/>
        <v>0.13899635036496349</v>
      </c>
      <c r="AF13" s="1612">
        <f t="shared" si="5"/>
        <v>0.13899635036496349</v>
      </c>
      <c r="AG13" s="1612">
        <f t="shared" si="5"/>
        <v>0.13899635036496349</v>
      </c>
      <c r="AH13" s="1612">
        <f t="shared" si="5"/>
        <v>0.13899635036496349</v>
      </c>
      <c r="AI13" s="1612">
        <f t="shared" si="5"/>
        <v>0.13899635036496349</v>
      </c>
      <c r="AJ13" s="1612">
        <f t="shared" si="5"/>
        <v>0.13899635036496349</v>
      </c>
    </row>
    <row r="14" spans="1:36" ht="15">
      <c r="A14" s="3287"/>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8"/>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5"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5"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6"/>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6"/>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97"/>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89" t="s">
        <v>2921</v>
      </c>
      <c r="B90" s="3289"/>
      <c r="C90" s="3289"/>
      <c r="D90" s="3289"/>
      <c r="E90" s="3289"/>
      <c r="F90" s="3289"/>
      <c r="G90" s="3289"/>
      <c r="H90" s="3289"/>
      <c r="I90" s="3289"/>
      <c r="J90" s="3289"/>
      <c r="K90" s="2891"/>
      <c r="L90" s="2891"/>
      <c r="M90" s="2891"/>
      <c r="N90" s="2891"/>
    </row>
    <row r="91" spans="1:37">
      <c r="A91" s="3291" t="s">
        <v>2922</v>
      </c>
      <c r="B91" s="3291" t="s">
        <v>2923</v>
      </c>
      <c r="C91" s="2845" t="s">
        <v>2924</v>
      </c>
      <c r="D91" s="2846"/>
      <c r="E91" s="2846"/>
      <c r="F91" s="2846"/>
      <c r="G91" s="2846"/>
      <c r="H91" s="2846"/>
      <c r="I91" s="2846"/>
      <c r="J91" s="2892"/>
      <c r="K91" s="2893"/>
      <c r="L91" s="2893"/>
      <c r="M91" s="2893"/>
      <c r="N91" s="2893"/>
    </row>
    <row r="92" spans="1:37">
      <c r="A92" s="3291"/>
      <c r="B92" s="3291"/>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92"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3"/>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2" t="s">
        <v>2926</v>
      </c>
      <c r="B101" s="2898" t="s">
        <v>2927</v>
      </c>
      <c r="C101" s="2899">
        <f>$G$3</f>
        <v>5.48</v>
      </c>
      <c r="D101" s="2899">
        <f t="shared" ref="D101:N101" si="31">$G$3</f>
        <v>5.48</v>
      </c>
      <c r="E101" s="2899">
        <f t="shared" si="31"/>
        <v>5.48</v>
      </c>
      <c r="F101" s="2899">
        <f t="shared" si="31"/>
        <v>5.48</v>
      </c>
      <c r="G101" s="2899">
        <f t="shared" si="31"/>
        <v>5.48</v>
      </c>
      <c r="H101" s="2899">
        <f t="shared" si="31"/>
        <v>5.48</v>
      </c>
      <c r="I101" s="2899">
        <f t="shared" si="31"/>
        <v>5.48</v>
      </c>
      <c r="J101" s="2899">
        <f t="shared" si="31"/>
        <v>5.48</v>
      </c>
      <c r="K101" s="2899">
        <f t="shared" si="31"/>
        <v>5.48</v>
      </c>
      <c r="L101" s="2899">
        <f t="shared" si="31"/>
        <v>5.48</v>
      </c>
      <c r="M101" s="2899">
        <f t="shared" si="31"/>
        <v>5.48</v>
      </c>
      <c r="N101" s="2899">
        <f t="shared" si="31"/>
        <v>5.48</v>
      </c>
    </row>
    <row r="102" spans="1:14">
      <c r="A102" s="3293"/>
      <c r="B102" s="2894">
        <v>1</v>
      </c>
      <c r="C102" s="2895">
        <f>1.9362/C101</f>
        <v>0.35332116788321166</v>
      </c>
      <c r="D102" s="2895">
        <f>1.9362/D101</f>
        <v>0.35332116788321166</v>
      </c>
      <c r="E102" s="2895">
        <f>1.8629/E101</f>
        <v>0.33994525547445253</v>
      </c>
      <c r="F102" s="2895">
        <f>1.8629/F101</f>
        <v>0.33994525547445253</v>
      </c>
      <c r="G102" s="2895">
        <f>1.8629/G101</f>
        <v>0.33994525547445253</v>
      </c>
      <c r="H102" s="2895">
        <f>1.8629/H101</f>
        <v>0.33994525547445253</v>
      </c>
      <c r="I102" s="2895">
        <f>1.8629/I101</f>
        <v>0.33994525547445253</v>
      </c>
      <c r="J102" s="2895">
        <f>1.942/J101</f>
        <v>0.35437956204379556</v>
      </c>
      <c r="K102" s="2895">
        <f>1.942/K101</f>
        <v>0.35437956204379556</v>
      </c>
      <c r="L102" s="2895">
        <f>1.942/L101</f>
        <v>0.35437956204379556</v>
      </c>
      <c r="M102" s="2895">
        <f>1.942/M101</f>
        <v>0.35437956204379556</v>
      </c>
      <c r="N102" s="2895">
        <f>1.942/N101</f>
        <v>0.35437956204379556</v>
      </c>
    </row>
    <row r="103" spans="1:14">
      <c r="A103" s="3293"/>
      <c r="B103" s="2894">
        <v>2</v>
      </c>
      <c r="C103" s="2895">
        <f>1.4198/C101</f>
        <v>0.25908759124087588</v>
      </c>
      <c r="D103" s="2895">
        <f>1.4198/D101</f>
        <v>0.25908759124087588</v>
      </c>
      <c r="E103" s="2895">
        <f>1.3372/E101</f>
        <v>0.24401459854014595</v>
      </c>
      <c r="F103" s="2895">
        <f>1.3372/F101</f>
        <v>0.24401459854014595</v>
      </c>
      <c r="G103" s="2895">
        <f>1.3372/G101</f>
        <v>0.24401459854014595</v>
      </c>
      <c r="H103" s="2895">
        <f>1.3372/H101</f>
        <v>0.24401459854014595</v>
      </c>
      <c r="I103" s="2895">
        <f>1.3372/I101</f>
        <v>0.24401459854014595</v>
      </c>
      <c r="J103" s="2895">
        <f>1.2799/J101</f>
        <v>0.23355839416058394</v>
      </c>
      <c r="K103" s="2895">
        <f>1.2799/K101</f>
        <v>0.23355839416058394</v>
      </c>
      <c r="L103" s="2895">
        <f>1.2799/L101</f>
        <v>0.23355839416058394</v>
      </c>
      <c r="M103" s="2895">
        <f>1.2799/M101</f>
        <v>0.23355839416058394</v>
      </c>
      <c r="N103" s="2895">
        <f>1.2799/N101</f>
        <v>0.23355839416058394</v>
      </c>
    </row>
    <row r="104" spans="1:14">
      <c r="A104" s="3293"/>
      <c r="B104" s="2894">
        <v>3</v>
      </c>
      <c r="C104" s="2895">
        <f>1.1594/C101</f>
        <v>0.21156934306569342</v>
      </c>
      <c r="D104" s="2895">
        <f>1.1594/D101</f>
        <v>0.21156934306569342</v>
      </c>
      <c r="E104" s="2895">
        <f>1.0788/E101</f>
        <v>0.19686131386861311</v>
      </c>
      <c r="F104" s="2895">
        <f>1.0788/F101</f>
        <v>0.19686131386861311</v>
      </c>
      <c r="G104" s="2895">
        <f>1.0788/G101</f>
        <v>0.19686131386861311</v>
      </c>
      <c r="H104" s="2895">
        <f>1.0788/H101</f>
        <v>0.19686131386861311</v>
      </c>
      <c r="I104" s="2895">
        <f>1.0788/I101</f>
        <v>0.19686131386861311</v>
      </c>
      <c r="J104" s="2895">
        <f>1.0072/J101</f>
        <v>0.18379562043795622</v>
      </c>
      <c r="K104" s="2895">
        <f>1.0072/K101</f>
        <v>0.18379562043795622</v>
      </c>
      <c r="L104" s="2895">
        <f>1.0072/L101</f>
        <v>0.18379562043795622</v>
      </c>
      <c r="M104" s="2895">
        <f>1.0072/M101</f>
        <v>0.18379562043795622</v>
      </c>
      <c r="N104" s="2895">
        <f>1.0072/N101</f>
        <v>0.18379562043795622</v>
      </c>
    </row>
    <row r="105" spans="1:14">
      <c r="A105" s="3293"/>
      <c r="B105" s="2894">
        <v>4</v>
      </c>
      <c r="C105" s="2895">
        <f>0.9622/C101</f>
        <v>0.1755839416058394</v>
      </c>
      <c r="D105" s="2895">
        <f>0.9622/D101</f>
        <v>0.1755839416058394</v>
      </c>
      <c r="E105" s="2895">
        <f>0.8656/E101</f>
        <v>0.15795620437956204</v>
      </c>
      <c r="F105" s="2895">
        <f>0.8656/F101</f>
        <v>0.15795620437956204</v>
      </c>
      <c r="G105" s="2895">
        <f>0.8656/G101</f>
        <v>0.15795620437956204</v>
      </c>
      <c r="H105" s="2895">
        <f>0.8656/H101</f>
        <v>0.15795620437956204</v>
      </c>
      <c r="I105" s="2895">
        <f>0.8656/I101</f>
        <v>0.15795620437956204</v>
      </c>
      <c r="J105" s="2895">
        <f>0.7525/J101</f>
        <v>0.13731751824817517</v>
      </c>
      <c r="K105" s="2895">
        <f>0.7525/K101</f>
        <v>0.13731751824817517</v>
      </c>
      <c r="L105" s="2895">
        <f>0.7525/L101</f>
        <v>0.13731751824817517</v>
      </c>
      <c r="M105" s="2895">
        <f>0.7525/M101</f>
        <v>0.13731751824817517</v>
      </c>
      <c r="N105" s="2895">
        <f>0.7525/N101</f>
        <v>0.13731751824817517</v>
      </c>
    </row>
    <row r="106" spans="1:14">
      <c r="A106" s="3293"/>
      <c r="B106" s="2894">
        <v>5</v>
      </c>
      <c r="C106" s="2895">
        <f>0.8417/C101</f>
        <v>0.15359489051094891</v>
      </c>
      <c r="D106" s="2895">
        <f>0.8417/D101</f>
        <v>0.15359489051094891</v>
      </c>
      <c r="E106" s="2895">
        <f>0.7371/E101</f>
        <v>0.13450729927007299</v>
      </c>
      <c r="F106" s="2895">
        <f>0.7371/F101</f>
        <v>0.13450729927007299</v>
      </c>
      <c r="G106" s="2895">
        <f>0.7371/G101</f>
        <v>0.13450729927007299</v>
      </c>
      <c r="H106" s="2895">
        <f>0.7371/H101</f>
        <v>0.13450729927007299</v>
      </c>
      <c r="I106" s="2895">
        <f>0.7371/I101</f>
        <v>0.13450729927007299</v>
      </c>
      <c r="J106" s="2895">
        <f>0.5659/J101</f>
        <v>0.10326642335766421</v>
      </c>
      <c r="K106" s="2895">
        <f>0.5659/K101</f>
        <v>0.10326642335766421</v>
      </c>
      <c r="L106" s="2895">
        <f>0.5659/L101</f>
        <v>0.10326642335766421</v>
      </c>
      <c r="M106" s="2895">
        <f>0.5659/M101</f>
        <v>0.10326642335766421</v>
      </c>
      <c r="N106" s="2895">
        <f>0.5659/N101</f>
        <v>0.10326642335766421</v>
      </c>
    </row>
    <row r="107" spans="1:14">
      <c r="A107" s="3293"/>
      <c r="B107" s="2894">
        <v>6</v>
      </c>
      <c r="C107" s="2895">
        <f>0.7608/C101</f>
        <v>0.13883211678832116</v>
      </c>
      <c r="D107" s="2895">
        <f>0.7608/D101</f>
        <v>0.13883211678832116</v>
      </c>
      <c r="E107" s="2895">
        <f>0.6482/E101</f>
        <v>0.11828467153284671</v>
      </c>
      <c r="F107" s="2895">
        <f>0.6482/F101</f>
        <v>0.11828467153284671</v>
      </c>
      <c r="G107" s="2895">
        <f>0.6482/G101</f>
        <v>0.11828467153284671</v>
      </c>
      <c r="H107" s="2895">
        <f>0.6482/H101</f>
        <v>0.11828467153284671</v>
      </c>
      <c r="I107" s="2895">
        <f>0.6482/I101</f>
        <v>0.11828467153284671</v>
      </c>
      <c r="J107" s="2895">
        <f>0.4525/J101</f>
        <v>8.2572992700729916E-2</v>
      </c>
      <c r="K107" s="2895">
        <f>0.4525/K101</f>
        <v>8.2572992700729916E-2</v>
      </c>
      <c r="L107" s="2895">
        <f>0.4525/L101</f>
        <v>8.2572992700729916E-2</v>
      </c>
      <c r="M107" s="2895">
        <f>0.4525/M101</f>
        <v>8.2572992700729916E-2</v>
      </c>
      <c r="N107" s="2895">
        <f>0.4525/N101</f>
        <v>8.2572992700729916E-2</v>
      </c>
    </row>
    <row r="108" spans="1:14">
      <c r="A108" s="3293"/>
      <c r="B108" s="3148"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4"/>
      <c r="B109" s="3149"/>
      <c r="C109" s="2897">
        <f>(-0.163*(C108^2)-0.59*C108+7617)*(10^(-4))/C101</f>
        <v>0.13899635036496349</v>
      </c>
      <c r="D109" s="2897">
        <f>(-0.163*(D108^2)-0.59*D108+7617)*(10^(-4))/D101</f>
        <v>0.13899635036496349</v>
      </c>
      <c r="E109" s="2897">
        <f>(-0.161*(E108^2)-7.509*E108+6533)*(10^(-4))/E101</f>
        <v>0.11921532846715327</v>
      </c>
      <c r="F109" s="2897">
        <f>(-0.161*(F108^2)-7.509*F108+6533)*(10^(-4))/F101</f>
        <v>0.11921532846715327</v>
      </c>
      <c r="G109" s="2897">
        <f>(-0.161*(G108^2)-7.509*G108+6533)*(10^(-4))/G101</f>
        <v>0.11921532846715327</v>
      </c>
      <c r="H109" s="2897">
        <f>(-0.161*(H108^2)-7.509*H108+6533)*(10^(-4))/H101</f>
        <v>0.11921532846715327</v>
      </c>
      <c r="I109" s="2897">
        <f>(-0.161*(I108^2)-7.509*I108+6533)*(10^(-4))/I101</f>
        <v>0.11921532846715327</v>
      </c>
      <c r="J109" s="2897">
        <f>(-0.214*(J108^2)-21.991*J108+4665)*(10^(-4))/J101</f>
        <v>8.5127737226277367E-2</v>
      </c>
      <c r="K109" s="2897">
        <f>(-0.214*(K108^2)-21.991*K108+4665)*(10^(-4))/K101</f>
        <v>8.5127737226277367E-2</v>
      </c>
      <c r="L109" s="2897">
        <f>(-0.214*(L108^2)-21.991*L108+4665)*(10^(-4))/L101</f>
        <v>8.5127737226277367E-2</v>
      </c>
      <c r="M109" s="2897">
        <f>(-0.214*(M108^2)-21.991*M108+4665)*(10^(-4))/M101</f>
        <v>8.5127737226277367E-2</v>
      </c>
      <c r="N109" s="2897">
        <f>(-0.214*(N108^2)-21.991*N108+4665)*(10^(-4))/N101</f>
        <v>8.5127737226277367E-2</v>
      </c>
    </row>
    <row r="110" spans="1:14">
      <c r="A110" s="3290" t="s">
        <v>2929</v>
      </c>
      <c r="B110" s="3290"/>
      <c r="C110" s="3290"/>
      <c r="D110" s="3290"/>
      <c r="E110" s="3290"/>
      <c r="F110" s="3290"/>
      <c r="G110" s="3290"/>
      <c r="H110" s="3290"/>
      <c r="I110" s="3290"/>
      <c r="J110" s="3290"/>
      <c r="K110" s="2900"/>
      <c r="L110" s="2900"/>
      <c r="M110" s="2900"/>
      <c r="N110" s="2900"/>
    </row>
    <row r="112" spans="1:14" ht="13.5" thickBot="1"/>
    <row r="113" spans="1:13" ht="25.5" thickBot="1">
      <c r="A113" s="900" t="s">
        <v>2930</v>
      </c>
      <c r="B113" s="1287">
        <f>G3</f>
        <v>5.48</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0.88200000000000001</v>
      </c>
      <c r="C115" s="907">
        <f>B115</f>
        <v>0.88200000000000001</v>
      </c>
      <c r="D115" s="907">
        <f>ROUND(0.8331-0.0109*B113,4)</f>
        <v>0.77339999999999998</v>
      </c>
      <c r="E115" s="907">
        <f>D115</f>
        <v>0.77339999999999998</v>
      </c>
      <c r="F115" s="907">
        <f>E115</f>
        <v>0.77339999999999998</v>
      </c>
      <c r="G115" s="907">
        <f>F115</f>
        <v>0.77339999999999998</v>
      </c>
      <c r="H115" s="907">
        <f>G115</f>
        <v>0.77339999999999998</v>
      </c>
      <c r="I115" s="907">
        <f>ROUND(0.689-0.0155*B113,4)</f>
        <v>0.60409999999999997</v>
      </c>
      <c r="J115" s="907">
        <f t="shared" ref="J115:M118" si="33">I115</f>
        <v>0.60409999999999997</v>
      </c>
      <c r="K115" s="907">
        <f t="shared" si="33"/>
        <v>0.60409999999999997</v>
      </c>
      <c r="L115" s="907">
        <f t="shared" si="33"/>
        <v>0.60409999999999997</v>
      </c>
      <c r="M115" s="908">
        <f t="shared" si="33"/>
        <v>0.60409999999999997</v>
      </c>
    </row>
    <row r="116" spans="1:13">
      <c r="A116" s="906" t="s">
        <v>2827</v>
      </c>
      <c r="B116" s="907">
        <f>ROUND(0.949-0.012*B113,4)</f>
        <v>0.88319999999999999</v>
      </c>
      <c r="C116" s="907">
        <f>B116</f>
        <v>0.88319999999999999</v>
      </c>
      <c r="D116" s="907">
        <f>ROUND(0.8567-0.013*B113,4)</f>
        <v>0.78549999999999998</v>
      </c>
      <c r="E116" s="907">
        <f t="shared" ref="E116:H117" si="34">D116</f>
        <v>0.78549999999999998</v>
      </c>
      <c r="F116" s="907">
        <f t="shared" si="34"/>
        <v>0.78549999999999998</v>
      </c>
      <c r="G116" s="907">
        <f t="shared" si="34"/>
        <v>0.78549999999999998</v>
      </c>
      <c r="H116" s="907">
        <f t="shared" si="34"/>
        <v>0.78549999999999998</v>
      </c>
      <c r="I116" s="907">
        <f>ROUND(0.7694-0.014*B113,4)</f>
        <v>0.69269999999999998</v>
      </c>
      <c r="J116" s="907">
        <f t="shared" si="33"/>
        <v>0.69269999999999998</v>
      </c>
      <c r="K116" s="907">
        <f t="shared" si="33"/>
        <v>0.69269999999999998</v>
      </c>
      <c r="L116" s="907">
        <f t="shared" si="33"/>
        <v>0.69269999999999998</v>
      </c>
      <c r="M116" s="908">
        <f t="shared" si="33"/>
        <v>0.69269999999999998</v>
      </c>
    </row>
    <row r="117" spans="1:13">
      <c r="A117" s="906" t="s">
        <v>2828</v>
      </c>
      <c r="B117" s="907">
        <f>ROUND(0.8808-0.006*B113,4)</f>
        <v>0.84789999999999999</v>
      </c>
      <c r="C117" s="907">
        <f>B117</f>
        <v>0.84789999999999999</v>
      </c>
      <c r="D117" s="907">
        <f>ROUND(0.8748-0.008*B113,4)</f>
        <v>0.83099999999999996</v>
      </c>
      <c r="E117" s="907">
        <f t="shared" si="34"/>
        <v>0.83099999999999996</v>
      </c>
      <c r="F117" s="907">
        <f t="shared" si="34"/>
        <v>0.83099999999999996</v>
      </c>
      <c r="G117" s="907">
        <f t="shared" si="34"/>
        <v>0.83099999999999996</v>
      </c>
      <c r="H117" s="907">
        <f t="shared" si="34"/>
        <v>0.83099999999999996</v>
      </c>
      <c r="I117" s="907">
        <f>ROUND(0.7412-0.0095*B113,4)</f>
        <v>0.68910000000000005</v>
      </c>
      <c r="J117" s="907">
        <f t="shared" si="33"/>
        <v>0.68910000000000005</v>
      </c>
      <c r="K117" s="907">
        <f t="shared" si="33"/>
        <v>0.68910000000000005</v>
      </c>
      <c r="L117" s="907">
        <f t="shared" si="33"/>
        <v>0.68910000000000005</v>
      </c>
      <c r="M117" s="908">
        <f t="shared" si="33"/>
        <v>0.68910000000000005</v>
      </c>
    </row>
    <row r="118" spans="1:13" ht="13.5" thickBot="1">
      <c r="A118" s="714" t="s">
        <v>2829</v>
      </c>
      <c r="B118" s="909">
        <f>ROUND(0.7275-0.01*B113,4)</f>
        <v>0.67269999999999996</v>
      </c>
      <c r="C118" s="909">
        <f>B118</f>
        <v>0.67269999999999996</v>
      </c>
      <c r="D118" s="909">
        <f>ROUND(0.7043-0.012*B113,4)</f>
        <v>0.63849999999999996</v>
      </c>
      <c r="E118" s="909">
        <f>D118</f>
        <v>0.63849999999999996</v>
      </c>
      <c r="F118" s="909">
        <f>E118</f>
        <v>0.63849999999999996</v>
      </c>
      <c r="G118" s="909">
        <f>ROUND(0.6299-0.0122*B113,4)</f>
        <v>0.56299999999999994</v>
      </c>
      <c r="H118" s="909">
        <f>G118</f>
        <v>0.56299999999999994</v>
      </c>
      <c r="I118" s="909">
        <f>ROUND(0.5667-0.0136*B113,4)</f>
        <v>0.49220000000000003</v>
      </c>
      <c r="J118" s="909">
        <f t="shared" si="33"/>
        <v>0.49220000000000003</v>
      </c>
      <c r="K118" s="909">
        <f t="shared" si="33"/>
        <v>0.49220000000000003</v>
      </c>
      <c r="L118" s="909">
        <f t="shared" si="33"/>
        <v>0.49220000000000003</v>
      </c>
      <c r="M118" s="910">
        <f t="shared" si="33"/>
        <v>0.49220000000000003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1142</v>
      </c>
      <c r="C1" s="3304"/>
      <c r="D1" s="3304"/>
      <c r="E1" s="3304"/>
      <c r="F1" s="3304"/>
      <c r="G1" s="3303" t="s">
        <v>1143</v>
      </c>
      <c r="H1" s="3303"/>
      <c r="I1" s="3303"/>
      <c r="J1" s="3303"/>
      <c r="K1" s="3303"/>
      <c r="L1" s="3303"/>
      <c r="N1" s="3303" t="s">
        <v>1144</v>
      </c>
      <c r="O1" s="3303"/>
      <c r="P1" s="3303"/>
      <c r="Q1" s="3303"/>
      <c r="R1" s="1446"/>
      <c r="S1" s="3303" t="s">
        <v>1145</v>
      </c>
      <c r="T1" s="3303"/>
      <c r="U1" s="3303"/>
      <c r="V1" s="3303"/>
      <c r="X1" s="3302" t="s">
        <v>1146</v>
      </c>
      <c r="Y1" s="3303"/>
      <c r="Z1" s="3303"/>
      <c r="AA1" s="3303"/>
      <c r="AB1" s="3303"/>
      <c r="AD1" s="3302" t="s">
        <v>1147</v>
      </c>
      <c r="AE1" s="3303"/>
      <c r="AF1" s="3303"/>
      <c r="AG1" s="3303"/>
      <c r="AH1" s="3303"/>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0">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0"/>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0"/>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09"/>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05">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0"/>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0"/>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09"/>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5">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0"/>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0"/>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1"/>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99">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0"/>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0"/>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1"/>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99">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0"/>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0"/>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1"/>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06">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7"/>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07"/>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08"/>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99">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0"/>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0"/>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1"/>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99">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0">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0">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1">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99">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0">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0">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1">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99">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0">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0">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1">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99">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0">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0">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1">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99">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0">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0">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1">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99">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0">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0">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1">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99">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0">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0">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1">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99">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0">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0">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1">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99">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0">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0">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1">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99">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0">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0">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1">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1622</v>
      </c>
      <c r="C4" s="2993"/>
      <c r="D4" s="2993"/>
      <c r="E4" s="1960"/>
    </row>
    <row r="5" spans="1:5" ht="16.5" thickTop="1">
      <c r="A5" s="1958"/>
      <c r="B5" s="2991" t="s">
        <v>1614</v>
      </c>
      <c r="C5" s="1961" t="s">
        <v>1615</v>
      </c>
      <c r="D5" s="1040">
        <f ca="1">结果表!H101</f>
        <v>33572</v>
      </c>
      <c r="E5" s="1958"/>
    </row>
    <row r="6" spans="1:5" ht="15.75">
      <c r="A6" s="1958"/>
      <c r="B6" s="2991"/>
      <c r="C6" s="1961" t="s">
        <v>1616</v>
      </c>
      <c r="D6" s="1040" t="str">
        <f ca="1">NUMBERSTRING(INT(D5*10000),2)&amp;"元整"</f>
        <v>叁亿叁仟伍佰柒拾贰万元整</v>
      </c>
      <c r="E6" s="1958"/>
    </row>
    <row r="7" spans="1:5" ht="15.75">
      <c r="A7" s="1958"/>
      <c r="B7" s="2996"/>
      <c r="C7" s="1962" t="s">
        <v>1617</v>
      </c>
      <c r="D7" s="1041">
        <f ca="1">结果表!H102</f>
        <v>6299</v>
      </c>
      <c r="E7" s="1958"/>
    </row>
    <row r="8" spans="1:5" ht="15.75">
      <c r="A8" s="1958"/>
      <c r="B8" s="2997" t="str">
        <f>结果表!E103</f>
        <v>2.估价师知悉的法定优先受偿款</v>
      </c>
      <c r="C8" s="1963" t="s">
        <v>1618</v>
      </c>
      <c r="D8" s="1041">
        <f>结果表!H103</f>
        <v>0</v>
      </c>
      <c r="E8" s="1958"/>
    </row>
    <row r="9" spans="1:5" ht="15.75">
      <c r="A9" s="1958"/>
      <c r="B9" s="2999"/>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0" t="str">
        <f>结果表!E107</f>
        <v>3.房地产抵押价值</v>
      </c>
      <c r="C13" s="1966" t="s">
        <v>1615</v>
      </c>
      <c r="D13" s="1043">
        <f ca="1">结果表!H107</f>
        <v>33572</v>
      </c>
      <c r="E13" s="1958"/>
    </row>
    <row r="14" spans="1:5" ht="15.75">
      <c r="A14" s="1958"/>
      <c r="B14" s="2991"/>
      <c r="C14" s="1961" t="s">
        <v>1616</v>
      </c>
      <c r="D14" s="1040" t="str">
        <f ca="1">NUMBERSTRING(INT(D13*10000),2)&amp;"元整"</f>
        <v>叁亿叁仟伍佰柒拾贰万元整</v>
      </c>
      <c r="E14" s="1958"/>
    </row>
    <row r="15" spans="1:5" ht="15">
      <c r="A15" s="1958"/>
      <c r="B15" s="2996"/>
      <c r="C15" s="1962" t="s">
        <v>1626</v>
      </c>
      <c r="D15" s="1052">
        <f ca="1">结果表!H108</f>
        <v>6299</v>
      </c>
      <c r="E15" s="1958"/>
    </row>
    <row r="16" spans="1:5" ht="15">
      <c r="A16" s="1958"/>
      <c r="B16" s="2997" t="str">
        <f>结果表!E109</f>
        <v>——</v>
      </c>
      <c r="C16" s="1966" t="s">
        <v>1627</v>
      </c>
      <c r="D16" s="1967" t="str">
        <f>结果表!H109</f>
        <v>——</v>
      </c>
      <c r="E16" s="1958"/>
    </row>
    <row r="17" spans="1:5" ht="15.75">
      <c r="A17" s="1958"/>
      <c r="B17" s="2998"/>
      <c r="C17" s="1961" t="s">
        <v>1628</v>
      </c>
      <c r="D17" s="1040" t="e">
        <f>NUMBERSTRING(INT(D16*10000),2)&amp;"元整"</f>
        <v>#VALUE!</v>
      </c>
      <c r="E17" s="1958"/>
    </row>
    <row r="18" spans="1:5" ht="15">
      <c r="A18" s="1958"/>
      <c r="B18" s="2999"/>
      <c r="C18" s="1962" t="s">
        <v>1617</v>
      </c>
      <c r="D18" s="1052" t="str">
        <f>结果表!H110</f>
        <v>——</v>
      </c>
      <c r="E18" s="1958"/>
    </row>
    <row r="19" spans="1:5" ht="15.75">
      <c r="A19" s="1958"/>
      <c r="B19" s="2990" t="str">
        <f>结果表!E111</f>
        <v>——</v>
      </c>
      <c r="C19" s="1966" t="s">
        <v>1615</v>
      </c>
      <c r="D19" s="1041" t="str">
        <f>结果表!H111</f>
        <v>——</v>
      </c>
      <c r="E19" s="1958"/>
    </row>
    <row r="20" spans="1:5" ht="15.75">
      <c r="A20" s="1958"/>
      <c r="B20" s="2991"/>
      <c r="C20" s="1961" t="s">
        <v>1628</v>
      </c>
      <c r="D20" s="1040" t="e">
        <f>NUMBERSTRING(INT(D19*10000),2)&amp;"元整"</f>
        <v>#VALUE!</v>
      </c>
      <c r="E20" s="1958"/>
    </row>
    <row r="21" spans="1:5" ht="15.75" thickBot="1">
      <c r="A21" s="1958"/>
      <c r="B21" s="2992"/>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1" t="s">
        <v>2955</v>
      </c>
      <c r="D1" s="3312"/>
      <c r="E1" s="3312"/>
      <c r="F1" s="3312"/>
      <c r="G1" s="3312"/>
      <c r="H1" s="3312"/>
      <c r="I1" s="3312"/>
      <c r="J1" s="3312"/>
      <c r="K1" s="3312"/>
      <c r="L1" s="3312"/>
      <c r="M1" s="3312"/>
      <c r="N1" s="3312"/>
      <c r="O1" s="3312"/>
      <c r="P1" s="3312"/>
      <c r="Q1" s="3312"/>
      <c r="R1" s="3312"/>
      <c r="S1" s="3313"/>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70" t="s">
        <v>33</v>
      </c>
      <c r="D22" s="3171"/>
      <c r="E22" s="3171"/>
      <c r="F22" s="3171"/>
      <c r="G22" s="3171"/>
      <c r="H22" s="3171"/>
      <c r="I22" s="3171"/>
      <c r="J22" s="3171"/>
      <c r="K22" s="3171"/>
      <c r="L22" s="3171"/>
      <c r="M22" s="3171"/>
      <c r="N22" s="3171"/>
      <c r="O22" s="3171"/>
      <c r="P22" s="3171"/>
      <c r="Q22" s="3310"/>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41010</v>
      </c>
      <c r="C2" s="2" t="s">
        <v>133</v>
      </c>
      <c r="D2" s="243"/>
      <c r="E2" s="243"/>
      <c r="F2" s="243"/>
      <c r="G2" s="243"/>
    </row>
    <row r="3" spans="1:7" s="244" customFormat="1" ht="18" customHeight="1" thickBot="1">
      <c r="A3" s="247" t="s">
        <v>85</v>
      </c>
      <c r="B3" s="248">
        <f ca="1">ROUND(B2*10000/'数据-汇总表'!E3,0)</f>
        <v>7695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650</v>
      </c>
      <c r="D10" s="1032">
        <f>'数据-汇总表'!E6</f>
        <v>53297.039999999994</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799</v>
      </c>
      <c r="D19" s="1036">
        <f>'数据-汇总表'!E3</f>
        <v>53297.039999999994</v>
      </c>
      <c r="E19" s="255">
        <f>'数据-取费表'!B31</f>
        <v>150</v>
      </c>
      <c r="F19" s="275"/>
      <c r="G19" s="1" t="s">
        <v>1070</v>
      </c>
    </row>
    <row r="20" spans="1:7" s="258" customFormat="1" ht="13.5" customHeight="1">
      <c r="A20" s="948" t="s">
        <v>1053</v>
      </c>
      <c r="B20" s="254" t="s">
        <v>104</v>
      </c>
      <c r="C20" s="276">
        <f>ROUND((C5+C19)*F20,0)</f>
        <v>214</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1552</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58</v>
      </c>
      <c r="D24" s="282"/>
      <c r="E24" s="282"/>
      <c r="F24" s="283"/>
      <c r="G24" s="284" t="s">
        <v>109</v>
      </c>
    </row>
    <row r="25" spans="1:7" s="258" customFormat="1" ht="24">
      <c r="A25" s="951" t="s">
        <v>792</v>
      </c>
      <c r="B25" s="259" t="s">
        <v>1054</v>
      </c>
      <c r="C25" s="1355">
        <f ca="1">ROUND(IF('数据-取费表'!B22&lt;=1,C20*F22*'数据-取费表'!B23/2,C20*(POWER((1+F22),'数据-取费表'!B23/2)-1)),0)</f>
        <v>8</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112</v>
      </c>
      <c r="C27" s="289">
        <f>C28</f>
        <v>2465</v>
      </c>
      <c r="D27" s="279">
        <f>C29</f>
        <v>1.1000000000000001E-3</v>
      </c>
      <c r="E27" s="280" t="s">
        <v>126</v>
      </c>
      <c r="F27" s="290">
        <f>'数据-取费表'!Q16</f>
        <v>0.19</v>
      </c>
      <c r="G27" s="291" t="s">
        <v>1065</v>
      </c>
    </row>
    <row r="28" spans="1:7" s="258" customFormat="1" ht="13.5" customHeight="1">
      <c r="A28" s="951" t="s">
        <v>793</v>
      </c>
      <c r="B28" s="292" t="s">
        <v>1058</v>
      </c>
      <c r="C28" s="293">
        <f>ROUND((C5+C19+C20)*F27*'数据-取费表'!B21/'数据-取费表'!B20,0)</f>
        <v>2465</v>
      </c>
      <c r="D28" s="279"/>
      <c r="E28" s="280"/>
      <c r="F28" s="290"/>
      <c r="G28" s="291"/>
    </row>
    <row r="29" spans="1:7" s="258" customFormat="1" ht="13.5" customHeight="1">
      <c r="A29" s="951" t="s">
        <v>791</v>
      </c>
      <c r="B29" s="292" t="s">
        <v>1059</v>
      </c>
      <c r="C29" s="282">
        <f>ROUND(C21*F27*'数据-取费表'!B21/'数据-取费表'!B20,4)</f>
        <v>1.1000000000000001E-3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27418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10261</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9222</v>
      </c>
      <c r="D34" s="261"/>
      <c r="E34" s="264"/>
      <c r="F34" s="301">
        <f>IF('数据-取费表'!B24=0,1,'数据-取费表'!N16)</f>
        <v>0.55000000000000004</v>
      </c>
      <c r="G34" s="263" t="s">
        <v>116</v>
      </c>
    </row>
    <row r="35" spans="1:7" ht="13.5" customHeight="1">
      <c r="A35" s="951" t="s">
        <v>795</v>
      </c>
      <c r="B35" s="259" t="s">
        <v>60</v>
      </c>
      <c r="C35" s="264">
        <f>ROUND(C34*F35,0)</f>
        <v>461</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440</v>
      </c>
      <c r="D37" s="261">
        <f>'数据-汇总表'!E3</f>
        <v>53297.039999999994</v>
      </c>
      <c r="E37" s="293">
        <f>'数据-取费表'!B35</f>
        <v>150</v>
      </c>
      <c r="F37" s="303"/>
      <c r="G37" s="305" t="s">
        <v>119</v>
      </c>
    </row>
    <row r="38" spans="1:7" ht="13.5" customHeight="1">
      <c r="A38" s="951" t="s">
        <v>798</v>
      </c>
      <c r="B38" s="259" t="s">
        <v>63</v>
      </c>
      <c r="C38" s="264">
        <f>ROUND(C34*F38,0)</f>
        <v>138</v>
      </c>
      <c r="D38" s="264"/>
      <c r="E38" s="264"/>
      <c r="F38" s="303">
        <f>'数据-取费表'!B36</f>
        <v>1.4999999999999999E-2</v>
      </c>
      <c r="G38" s="263" t="s">
        <v>117</v>
      </c>
    </row>
    <row r="39" spans="1:7" s="258" customFormat="1" ht="13.5" customHeight="1">
      <c r="A39" s="948" t="s">
        <v>782</v>
      </c>
      <c r="B39" s="254" t="s">
        <v>104</v>
      </c>
      <c r="C39" s="276">
        <f>ROUND(C33*F20,0)</f>
        <v>103</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367</v>
      </c>
      <c r="D41" s="279">
        <f ca="1">C44</f>
        <v>4.0000000000000002E-4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363</v>
      </c>
      <c r="D42" s="282"/>
      <c r="E42" s="282"/>
      <c r="F42" s="283"/>
      <c r="G42" s="3219" t="s">
        <v>121</v>
      </c>
    </row>
    <row r="43" spans="1:7" ht="13.5" customHeight="1">
      <c r="A43" s="951" t="s">
        <v>791</v>
      </c>
      <c r="B43" s="259" t="s">
        <v>1060</v>
      </c>
      <c r="C43" s="282">
        <f ca="1">ROUND(IF('数据-取费表'!B22&lt;=1,C39*F22*'数据-取费表'!B21/2,C39*(POWER((1+F22),'数据-取费表'!B21/2)-1)),0)</f>
        <v>4</v>
      </c>
      <c r="D43" s="282"/>
      <c r="E43" s="282"/>
      <c r="F43" s="283"/>
      <c r="G43" s="3220"/>
    </row>
    <row r="44" spans="1:7" ht="13.5" customHeight="1">
      <c r="A44" s="951" t="s">
        <v>792</v>
      </c>
      <c r="B44" s="259" t="s">
        <v>1062</v>
      </c>
      <c r="C44" s="282">
        <f ca="1">ROUND(IF('数据-取费表'!B22&lt;=1,C40*F22*'数据-取费表'!B21/2,C40*(POWER((1+F22),'数据-取费表'!B21/2)-1)),4)</f>
        <v>4.0000000000000002E-4</v>
      </c>
      <c r="D44" s="282"/>
      <c r="E44" s="282"/>
      <c r="F44" s="283"/>
      <c r="G44" s="3221"/>
    </row>
    <row r="45" spans="1:7" s="258" customFormat="1" ht="13.5" customHeight="1">
      <c r="A45" s="948" t="s">
        <v>785</v>
      </c>
      <c r="B45" s="288" t="s">
        <v>112</v>
      </c>
      <c r="C45" s="289">
        <f>C46</f>
        <v>1969</v>
      </c>
      <c r="D45" s="279">
        <f>C47</f>
        <v>1.9E-3</v>
      </c>
      <c r="E45" s="280" t="s">
        <v>129</v>
      </c>
      <c r="F45" s="290"/>
      <c r="G45" s="291" t="s">
        <v>1068</v>
      </c>
    </row>
    <row r="46" spans="1:7" s="258" customFormat="1" ht="13.5" customHeight="1">
      <c r="A46" s="951" t="s">
        <v>793</v>
      </c>
      <c r="B46" s="292" t="s">
        <v>1061</v>
      </c>
      <c r="C46" s="293">
        <f>ROUND((C33+C39)*F27,0)</f>
        <v>1969</v>
      </c>
      <c r="D46" s="307"/>
      <c r="E46" s="280"/>
      <c r="F46" s="290"/>
      <c r="G46" s="291"/>
    </row>
    <row r="47" spans="1:7" s="258" customFormat="1" ht="13.5" customHeight="1">
      <c r="A47" s="951" t="s">
        <v>791</v>
      </c>
      <c r="B47" s="292" t="s">
        <v>1063</v>
      </c>
      <c r="C47" s="282">
        <f>ROUND(C40*F27,4)</f>
        <v>1.9E-3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13592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13592</v>
      </c>
      <c r="D51" s="276"/>
      <c r="E51" s="276"/>
      <c r="F51" s="308"/>
      <c r="G51" s="278" t="s">
        <v>64</v>
      </c>
    </row>
    <row r="52" spans="1:7" s="252" customFormat="1" ht="16.5" thickBot="1">
      <c r="A52" s="309" t="s">
        <v>65</v>
      </c>
      <c r="B52" s="310"/>
      <c r="C52" s="311">
        <f ca="1">C31+C51</f>
        <v>41010</v>
      </c>
      <c r="D52" s="310"/>
      <c r="E52" s="310"/>
      <c r="F52" s="310"/>
      <c r="G52" s="312"/>
    </row>
    <row r="55" spans="1:7" ht="15">
      <c r="B55" s="314" t="s">
        <v>66</v>
      </c>
      <c r="C55" s="315"/>
    </row>
    <row r="56" spans="1:7">
      <c r="B56" s="317" t="s">
        <v>67</v>
      </c>
      <c r="C56" s="318">
        <f ca="1">ROUND(C51/C52,3)</f>
        <v>0.33100000000000002</v>
      </c>
    </row>
    <row r="57" spans="1:7">
      <c r="B57" s="317" t="s">
        <v>68</v>
      </c>
      <c r="C57" s="319">
        <f ca="1">1-C56</f>
        <v>0.66900000000000004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4" t="s">
        <v>156</v>
      </c>
      <c r="B1" s="3314"/>
      <c r="C1" s="3314"/>
      <c r="D1" s="3314"/>
      <c r="E1" s="3314"/>
      <c r="F1" s="331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5" t="s">
        <v>169</v>
      </c>
      <c r="B2" s="3315"/>
      <c r="C2" s="3315"/>
      <c r="D2" s="3315"/>
      <c r="E2" s="3315"/>
      <c r="F2" s="331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4" t="s">
        <v>867</v>
      </c>
      <c r="B1" s="331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3317</v>
      </c>
      <c r="E1" s="1820" t="s">
        <v>1379</v>
      </c>
      <c r="F1" s="1283">
        <f ca="1">J53</f>
        <v>33.43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3452</v>
      </c>
      <c r="C2" s="1844" t="s">
        <v>1508</v>
      </c>
      <c r="D2" s="1844"/>
      <c r="E2" s="1845"/>
      <c r="F2" s="1846"/>
      <c r="G2" s="1847"/>
      <c r="H2" s="1839"/>
      <c r="I2" s="1839"/>
      <c r="J2" s="1839"/>
      <c r="K2" s="1840"/>
      <c r="L2" s="1839"/>
      <c r="M2" s="1839"/>
    </row>
    <row r="3" spans="1:37" ht="18" customHeight="1" thickBot="1">
      <c r="A3" s="1848" t="s">
        <v>1509</v>
      </c>
      <c r="B3" s="1849">
        <f ca="1">IF(ISERROR(B2*10000/F43),0,ROUND(B2*10000/F43,0))</f>
        <v>4386</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252</v>
      </c>
      <c r="D5" s="1821" t="s">
        <v>1394</v>
      </c>
      <c r="E5" s="1293"/>
      <c r="F5" s="1294"/>
      <c r="G5" s="1850"/>
      <c r="H5" s="344">
        <v>1</v>
      </c>
      <c r="I5" s="345" t="s">
        <v>1393</v>
      </c>
      <c r="J5" s="1292">
        <f ca="1">J6+J10+J12</f>
        <v>0</v>
      </c>
      <c r="K5" s="1821" t="s">
        <v>1394</v>
      </c>
      <c r="L5" s="1293"/>
      <c r="M5" s="1294"/>
    </row>
    <row r="6" spans="1:37" ht="18" customHeight="1">
      <c r="A6" s="1291" t="s">
        <v>1031</v>
      </c>
      <c r="B6" s="3234" t="s">
        <v>1395</v>
      </c>
      <c r="C6" s="1296">
        <f ca="1">ROUND(F6*F8*F7*(1-F9)/10000,0)</f>
        <v>252</v>
      </c>
      <c r="D6" s="164" t="s">
        <v>2981</v>
      </c>
      <c r="E6" s="347" t="s">
        <v>1397</v>
      </c>
      <c r="F6" s="348">
        <f ca="1">INDIRECT("'数据-取费表'!u"&amp;$G$1)</f>
        <v>900</v>
      </c>
      <c r="G6" s="1850"/>
      <c r="H6" s="1291" t="s">
        <v>1031</v>
      </c>
      <c r="I6" s="3234" t="s">
        <v>1395</v>
      </c>
      <c r="J6" s="346">
        <f ca="1">ROUND(M6*M8*M7*(1-M9)/10000,0)</f>
        <v>0</v>
      </c>
      <c r="K6" s="164" t="s">
        <v>2980</v>
      </c>
      <c r="L6" s="347" t="s">
        <v>1397</v>
      </c>
      <c r="M6" s="348">
        <f ca="1">INDIRECT("'数据-取费表'!z"&amp;$G$1)</f>
        <v>0</v>
      </c>
    </row>
    <row r="7" spans="1:37" ht="18" customHeight="1">
      <c r="A7" s="1295"/>
      <c r="B7" s="3235"/>
      <c r="C7" s="1297"/>
      <c r="D7" s="352"/>
      <c r="E7" s="2976" t="s">
        <v>1398</v>
      </c>
      <c r="F7" s="348">
        <f ca="1">IF(INDIRECT("'数据-取费表'!ah"&amp;$G$1)="",INDIRECT("'数据-取费表'!k"&amp;$G$1),INDIRECT("'数据-取费表'!ah"&amp;$G$1))</f>
        <v>259</v>
      </c>
      <c r="G7" s="1850"/>
      <c r="H7" s="349"/>
      <c r="I7" s="3235"/>
      <c r="J7" s="351"/>
      <c r="K7" s="352"/>
      <c r="L7" s="347" t="s">
        <v>1398</v>
      </c>
      <c r="M7" s="348">
        <f ca="1">F7</f>
        <v>259</v>
      </c>
    </row>
    <row r="8" spans="1:37" ht="18" customHeight="1">
      <c r="A8" s="349"/>
      <c r="B8" s="3235"/>
      <c r="C8" s="351"/>
      <c r="D8" s="352"/>
      <c r="E8" s="347" t="s">
        <v>1399</v>
      </c>
      <c r="F8" s="348">
        <f ca="1">INDIRECT("'数据-取费表'!ai"&amp;$G$1)</f>
        <v>12</v>
      </c>
      <c r="G8" s="1850"/>
      <c r="H8" s="349"/>
      <c r="I8" s="3235"/>
      <c r="J8" s="351"/>
      <c r="K8" s="352"/>
      <c r="L8" s="347" t="s">
        <v>1399</v>
      </c>
      <c r="M8" s="348">
        <f ca="1">INDIRECT("'数据-取费表'!ai"&amp;$G$1)</f>
        <v>12</v>
      </c>
    </row>
    <row r="9" spans="1:37" ht="18" customHeight="1">
      <c r="A9" s="349"/>
      <c r="B9" s="3236"/>
      <c r="C9" s="351"/>
      <c r="D9" s="352"/>
      <c r="E9" s="347" t="s">
        <v>1400</v>
      </c>
      <c r="F9" s="357">
        <f ca="1">INDIRECT("'数据-取费表'!w"&amp;$G$1)</f>
        <v>0.1</v>
      </c>
      <c r="G9" s="1850"/>
      <c r="H9" s="349"/>
      <c r="I9" s="3236"/>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2150</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1574</v>
      </c>
      <c r="D14" s="2969" t="s">
        <v>1410</v>
      </c>
      <c r="E14" s="2967"/>
      <c r="F14" s="364"/>
      <c r="G14" s="1850"/>
      <c r="H14" s="1201" t="s">
        <v>1031</v>
      </c>
      <c r="I14" s="347" t="s">
        <v>1411</v>
      </c>
      <c r="J14" s="24">
        <f ca="1">C29</f>
        <v>2150</v>
      </c>
      <c r="K14" s="2975"/>
      <c r="L14" s="979"/>
      <c r="M14" s="980"/>
    </row>
    <row r="15" spans="1:37" s="1857" customFormat="1" ht="18" customHeight="1" thickBot="1">
      <c r="A15" s="1201" t="s">
        <v>1032</v>
      </c>
      <c r="B15" s="347" t="s">
        <v>1412</v>
      </c>
      <c r="C15" s="24">
        <f ca="1">ROUND(C14*F15,0)</f>
        <v>79</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61</v>
      </c>
      <c r="K16" s="1337" t="s">
        <v>1417</v>
      </c>
      <c r="L16" s="2970"/>
      <c r="M16" s="1294"/>
    </row>
    <row r="17" spans="1:37" s="1857" customFormat="1" ht="18" customHeight="1">
      <c r="A17" s="1201" t="s">
        <v>1382</v>
      </c>
      <c r="B17" s="347" t="s">
        <v>1418</v>
      </c>
      <c r="C17" s="24">
        <f ca="1">ROUND(F17*(F43+INDIRECT("'数据-取费表'!S"&amp;$G$1))/10000,0)</f>
        <v>118</v>
      </c>
      <c r="D17" s="347" t="s">
        <v>1419</v>
      </c>
      <c r="E17" s="347" t="s">
        <v>1420</v>
      </c>
      <c r="F17" s="26">
        <f>'数据-取费表'!B35</f>
        <v>150</v>
      </c>
      <c r="G17" s="1853"/>
      <c r="H17" s="1201" t="s">
        <v>1031</v>
      </c>
      <c r="I17" s="347" t="s">
        <v>1421</v>
      </c>
      <c r="J17" s="24">
        <f ca="1">ROUND(IF(项目基本情况!B11="自然人",J5*M17,J18+J19+J20),1)</f>
        <v>18.3</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24</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1795</v>
      </c>
      <c r="D19" s="140" t="s">
        <v>1428</v>
      </c>
      <c r="E19" s="2974"/>
      <c r="F19" s="26"/>
      <c r="G19" s="1850"/>
      <c r="H19" s="1201" t="s">
        <v>1032</v>
      </c>
      <c r="I19" s="347" t="s">
        <v>1429</v>
      </c>
      <c r="J19" s="24">
        <f ca="1">IF(K19="按租金收入计税",ROUND(J5*M19,2),ROUND(C29*M19*0.7,2))</f>
        <v>18.059999999999999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18</v>
      </c>
      <c r="D20" s="369" t="s">
        <v>1432</v>
      </c>
      <c r="E20" s="347" t="s">
        <v>1414</v>
      </c>
      <c r="F20" s="367">
        <f>'数据-取费表'!B37</f>
        <v>0.01</v>
      </c>
      <c r="G20" s="1853"/>
      <c r="H20" s="1201" t="s">
        <v>1381</v>
      </c>
      <c r="I20" s="164" t="s">
        <v>1433</v>
      </c>
      <c r="J20" s="25">
        <f ca="1">ROUND(M20*M21/10000,2)</f>
        <v>0.25</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1237.6400000000001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43</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108</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-61</v>
      </c>
      <c r="K25" s="1345" t="s">
        <v>1456</v>
      </c>
      <c r="L25" s="1346"/>
      <c r="M25" s="1347"/>
    </row>
    <row r="26" spans="1:37">
      <c r="A26" s="1201" t="s">
        <v>1030</v>
      </c>
      <c r="B26" s="347" t="s">
        <v>1457</v>
      </c>
      <c r="C26" s="24">
        <f ca="1">ROUND((C19+C20)*F26,0)</f>
        <v>91</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2150</v>
      </c>
      <c r="D29" s="1342"/>
      <c r="E29" s="1340"/>
      <c r="F29" s="1343"/>
      <c r="G29" s="1853"/>
      <c r="H29" s="380" t="s">
        <v>1029</v>
      </c>
      <c r="I29" s="381" t="s">
        <v>1471</v>
      </c>
      <c r="J29" s="382">
        <f ca="1">ROUND(J26/(1+F40)^F41,0)</f>
        <v>0</v>
      </c>
      <c r="K29" s="383" t="s">
        <v>1472</v>
      </c>
      <c r="L29" s="384"/>
      <c r="M29" s="385">
        <f ca="1">INDIRECT("'数据-取费表'!k"&amp;$G$1)</f>
        <v>7870.73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96</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43.9</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13.44</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30.24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0.25</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1237.6400000000001</v>
      </c>
      <c r="G35" s="1850"/>
      <c r="H35" s="745"/>
      <c r="I35" s="1859"/>
      <c r="J35" s="1860"/>
      <c r="K35" s="1861"/>
      <c r="L35" s="1858"/>
      <c r="M35" s="1858"/>
    </row>
    <row r="36" spans="1:18" ht="18" customHeight="1">
      <c r="A36" s="1352" t="s">
        <v>1035</v>
      </c>
      <c r="B36" s="347" t="s">
        <v>1441</v>
      </c>
      <c r="C36" s="24">
        <f ca="1">ROUND(C29*F36,1)</f>
        <v>43</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4.3</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5</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156</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3452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33.43</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4386</v>
      </c>
      <c r="D43" s="383" t="s">
        <v>1480</v>
      </c>
      <c r="E43" s="384" t="s">
        <v>1481</v>
      </c>
      <c r="F43" s="385">
        <f ca="1">INDIRECT("'数据-取费表'!k"&amp;$G$1)</f>
        <v>7870.73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-7120</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3452</v>
      </c>
      <c r="R47" s="1885" t="s">
        <v>1521</v>
      </c>
    </row>
    <row r="48" spans="1:18" s="1841" customFormat="1" ht="28.5"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2150</v>
      </c>
      <c r="R49" s="1885" t="s">
        <v>1521</v>
      </c>
    </row>
    <row r="50" spans="1:18" s="1841" customFormat="1" ht="13.5" thickBot="1">
      <c r="A50" s="1195"/>
      <c r="B50" s="1198"/>
      <c r="C50" s="1368"/>
      <c r="D50" s="1172"/>
      <c r="E50" s="1277" t="s">
        <v>1398</v>
      </c>
      <c r="F50" s="1278">
        <f ca="1">F7</f>
        <v>259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-464</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33.43</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33.43</v>
      </c>
      <c r="K53" s="3232" t="s">
        <v>1540</v>
      </c>
      <c r="L53" s="3233"/>
      <c r="O53" s="1883" t="s">
        <v>1042</v>
      </c>
      <c r="P53" s="1884" t="s">
        <v>1541</v>
      </c>
      <c r="Q53" s="1885">
        <f ca="1">Q47+Q48</f>
        <v>3452</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2150</v>
      </c>
      <c r="D56" s="1913"/>
      <c r="E56" s="1914"/>
      <c r="F56" s="1906"/>
      <c r="I56" s="1915" t="s">
        <v>1546</v>
      </c>
      <c r="J56" s="1916" t="s">
        <v>3023</v>
      </c>
      <c r="K56" s="1886" t="s">
        <v>1547</v>
      </c>
      <c r="L56" s="1889" t="str">
        <f ca="1">IF(L48&lt;J51,"——",L48-J53)</f>
        <v>——</v>
      </c>
      <c r="O56" s="1883" t="s">
        <v>1036</v>
      </c>
      <c r="P56" s="1884" t="s">
        <v>1520</v>
      </c>
      <c r="Q56" s="1885">
        <f ca="1">C40+J29</f>
        <v>3452</v>
      </c>
      <c r="R56" s="1885" t="s">
        <v>1521</v>
      </c>
    </row>
    <row r="57" spans="1:18" s="1841" customFormat="1" ht="24.75" thickBot="1">
      <c r="A57" s="1917"/>
      <c r="B57" s="1169" t="s">
        <v>1470</v>
      </c>
      <c r="C57" s="282">
        <f ca="1">C29</f>
        <v>2150</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228</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180.9</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180.6</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0.25</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3452</v>
      </c>
      <c r="R62" s="1885" t="s">
        <v>1043</v>
      </c>
    </row>
    <row r="63" spans="1:18" s="1841" customFormat="1" ht="13.5" thickBot="1">
      <c r="A63" s="372"/>
      <c r="B63" s="1175"/>
      <c r="C63" s="29"/>
      <c r="D63" s="1185"/>
      <c r="E63" s="1169" t="s">
        <v>1439</v>
      </c>
      <c r="F63" s="348">
        <f t="shared" ca="1" si="0"/>
        <v>1237.6400000000001</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43</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4.3</v>
      </c>
      <c r="D65" s="1183" t="s">
        <v>1446</v>
      </c>
      <c r="E65" s="1169" t="s">
        <v>1447</v>
      </c>
      <c r="F65" s="376">
        <f t="shared" ca="1" si="0"/>
        <v>2E-3</v>
      </c>
      <c r="I65" s="1928" t="s">
        <v>1571</v>
      </c>
      <c r="J65" s="1929">
        <v>40</v>
      </c>
      <c r="K65" s="1929">
        <v>30</v>
      </c>
      <c r="L65" s="1929">
        <v>50</v>
      </c>
      <c r="M65" s="1931">
        <v>0.02</v>
      </c>
      <c r="O65" s="1883" t="s">
        <v>1036</v>
      </c>
      <c r="P65" s="1884" t="s">
        <v>1572</v>
      </c>
      <c r="Q65" s="1885">
        <f ca="1">C40+J29</f>
        <v>3452</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-228</v>
      </c>
      <c r="D67" s="1182" t="s">
        <v>1456</v>
      </c>
      <c r="E67" s="1187"/>
      <c r="F67" s="1188"/>
      <c r="O67" s="1893" t="s">
        <v>1038</v>
      </c>
      <c r="P67" s="1884" t="s">
        <v>1554</v>
      </c>
      <c r="Q67" s="1932">
        <f ca="1">L51</f>
        <v>-464</v>
      </c>
      <c r="R67" s="1885" t="s">
        <v>1574</v>
      </c>
    </row>
    <row r="68" spans="1:18" s="1841" customFormat="1" ht="16.5" thickBot="1">
      <c r="A68" s="1166" t="s">
        <v>1028</v>
      </c>
      <c r="B68" s="1167" t="s">
        <v>1477</v>
      </c>
      <c r="C68" s="346">
        <f ca="1">ROUND(C67*(1-((1+F70)/(1+F68))^F69)/(F68-F70),0)</f>
        <v>-3668</v>
      </c>
      <c r="D68" s="1184" t="s">
        <v>1461</v>
      </c>
      <c r="E68" s="1169" t="s">
        <v>1462</v>
      </c>
      <c r="F68" s="357">
        <f ca="1">F40</f>
        <v>0.05</v>
      </c>
      <c r="O68" s="1893" t="s">
        <v>1039</v>
      </c>
      <c r="P68" s="1933" t="s">
        <v>1575</v>
      </c>
      <c r="Q68" s="1885">
        <f ca="1">ROUND(Q69-Q70*Q71,0)</f>
        <v>-27</v>
      </c>
      <c r="R68" s="1885" t="s">
        <v>1047</v>
      </c>
    </row>
    <row r="69" spans="1:18" s="1841" customFormat="1" ht="13.5" thickBot="1">
      <c r="A69" s="1170"/>
      <c r="B69" s="1171"/>
      <c r="C69" s="351"/>
      <c r="D69" s="1189" t="s">
        <v>1465</v>
      </c>
      <c r="E69" s="1169" t="s">
        <v>1466</v>
      </c>
      <c r="F69" s="379">
        <f ca="1">F41</f>
        <v>33.43</v>
      </c>
      <c r="O69" s="1893" t="s">
        <v>1044</v>
      </c>
      <c r="P69" s="1933" t="s">
        <v>1576</v>
      </c>
      <c r="Q69" s="1885">
        <f ca="1">C39</f>
        <v>156</v>
      </c>
      <c r="R69" s="1885" t="s">
        <v>1521</v>
      </c>
    </row>
    <row r="70" spans="1:18" s="1841" customFormat="1" ht="13.5" thickBot="1">
      <c r="A70" s="1173"/>
      <c r="B70" s="1174"/>
      <c r="C70" s="355"/>
      <c r="D70" s="1185"/>
      <c r="E70" s="1169" t="s">
        <v>1469</v>
      </c>
      <c r="F70" s="1275"/>
      <c r="O70" s="1893" t="s">
        <v>1045</v>
      </c>
      <c r="P70" s="1933" t="s">
        <v>1577</v>
      </c>
      <c r="Q70" s="1885">
        <f ca="1">C13</f>
        <v>2150</v>
      </c>
      <c r="R70" s="1885" t="s">
        <v>1521</v>
      </c>
    </row>
    <row r="71" spans="1:18" s="1841" customFormat="1" ht="13.5" thickBot="1">
      <c r="A71" s="1190" t="s">
        <v>1029</v>
      </c>
      <c r="B71" s="1191" t="s">
        <v>1479</v>
      </c>
      <c r="C71" s="382">
        <f ca="1">ROUND(C68*10000/F71,0)</f>
        <v>-4660</v>
      </c>
      <c r="D71" s="1192" t="s">
        <v>1480</v>
      </c>
      <c r="E71" s="1193" t="s">
        <v>1481</v>
      </c>
      <c r="F71" s="385">
        <f ca="1">F43</f>
        <v>7870.73</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183</v>
      </c>
      <c r="D75" s="1841"/>
      <c r="E75" s="1841"/>
      <c r="F75" s="1841"/>
      <c r="K75" s="1867"/>
      <c r="L75" s="1841"/>
      <c r="O75" s="1883" t="s">
        <v>1042</v>
      </c>
      <c r="P75" s="1884" t="s">
        <v>1541</v>
      </c>
      <c r="Q75" s="1885">
        <f ca="1">Q65+Q66</f>
        <v>3452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-0.17300000000000004</v>
      </c>
    </row>
    <row r="80" spans="1:18">
      <c r="B80" s="386" t="s">
        <v>1503</v>
      </c>
      <c r="C80" s="318">
        <f ca="1">ROUND(C75/C39,3)</f>
        <v>1.173</v>
      </c>
    </row>
    <row r="81" spans="2:3">
      <c r="B81" s="314" t="s">
        <v>1504</v>
      </c>
      <c r="C81" s="282"/>
    </row>
    <row r="82" spans="2:3">
      <c r="B82" s="317" t="s">
        <v>1505</v>
      </c>
      <c r="C82" s="319">
        <f ca="1">1-C83</f>
        <v>0.377</v>
      </c>
    </row>
    <row r="83" spans="2:3">
      <c r="B83" s="317" t="s">
        <v>1506</v>
      </c>
      <c r="C83" s="318">
        <f ca="1">ROUND(C13/C40,3)</f>
        <v>0.623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R32" sqref="R32"/>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1633</v>
      </c>
      <c r="B2" s="3010" t="s">
        <v>1634</v>
      </c>
      <c r="C2" s="3010" t="s">
        <v>1635</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4" t="s">
        <v>1630</v>
      </c>
      <c r="E3" s="1044" t="s">
        <v>1636</v>
      </c>
      <c r="F3" s="1044" t="s">
        <v>1630</v>
      </c>
      <c r="G3" s="1044" t="s">
        <v>1631</v>
      </c>
      <c r="H3" s="1044" t="s">
        <v>1630</v>
      </c>
      <c r="I3" s="1044" t="s">
        <v>1631</v>
      </c>
    </row>
    <row r="4" spans="1:9" ht="60">
      <c r="A4" s="1972" t="str">
        <f>项目基本情况!S2</f>
        <v>山东省济南市槐荫区西客站片区淮坊路东侧、威海路北侧D-1一期出让国有建设用地使用权及在建建筑物房地产</v>
      </c>
      <c r="B4" s="1044">
        <f>项目基本情况!C17</f>
        <v>53297.039999999994</v>
      </c>
      <c r="C4" s="1044">
        <f>项目基本情况!C18</f>
        <v>8380.73</v>
      </c>
      <c r="D4" s="1044">
        <f ca="1">结果表!D118</f>
        <v>14839</v>
      </c>
      <c r="E4" s="1044">
        <f ca="1">结果表!E118</f>
        <v>2784</v>
      </c>
      <c r="F4" s="1044">
        <f ca="1">结果表!F118</f>
        <v>18733</v>
      </c>
      <c r="G4" s="1044">
        <f ca="1">结果表!G118</f>
        <v>3515</v>
      </c>
      <c r="H4" s="1044">
        <f ca="1">结果表!H118</f>
        <v>33572</v>
      </c>
      <c r="I4" s="1044">
        <f ca="1">结果表!I118</f>
        <v>6299</v>
      </c>
    </row>
    <row r="5" spans="1:9" ht="30" customHeight="1">
      <c r="A5" s="3004" t="s">
        <v>1632</v>
      </c>
      <c r="B5" s="3004"/>
      <c r="C5" s="3004"/>
      <c r="D5" s="3005" t="str">
        <f ca="1">结果表!D119</f>
        <v>壹亿肆仟捌佰叁拾玖万元整</v>
      </c>
      <c r="E5" s="3005"/>
      <c r="F5" s="3005" t="str">
        <f ca="1">结果表!F119</f>
        <v>壹亿捌仟柒佰叁拾叁万元整</v>
      </c>
      <c r="G5" s="3005"/>
      <c r="H5" s="3005" t="str">
        <f ca="1">结果表!H119</f>
        <v>叁亿叁仟伍佰柒拾贰万元整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1632</v>
      </c>
      <c r="B7" s="3004"/>
      <c r="C7" s="3004"/>
      <c r="D7" s="3006" t="str">
        <f>结果表!D121</f>
        <v>零元整</v>
      </c>
      <c r="E7" s="3007"/>
      <c r="F7" s="3007"/>
      <c r="G7" s="3007"/>
      <c r="H7" s="3007"/>
      <c r="I7" s="3008"/>
    </row>
    <row r="8" spans="1:9" ht="15.75">
      <c r="A8" s="3003" t="str">
        <f>结果表!A122</f>
        <v>房地产抵押价值</v>
      </c>
      <c r="B8" s="3003"/>
      <c r="C8" s="3003"/>
      <c r="D8" s="3003">
        <f ca="1">结果表!D122</f>
        <v>33572</v>
      </c>
      <c r="E8" s="3003"/>
      <c r="F8" s="3003"/>
      <c r="G8" s="3003"/>
      <c r="H8" s="3003"/>
      <c r="I8" s="3003"/>
    </row>
    <row r="9" spans="1:9" ht="15">
      <c r="A9" s="3004" t="s">
        <v>1632</v>
      </c>
      <c r="B9" s="3004"/>
      <c r="C9" s="3004"/>
      <c r="D9" s="3005" t="str">
        <f ca="1">结果表!D123</f>
        <v>叁亿叁仟伍佰柒拾贰万元整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1632</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1632</v>
      </c>
      <c r="B13" s="3000"/>
      <c r="C13" s="3000"/>
      <c r="D13" s="3001" t="e">
        <f>结果表!D127</f>
        <v>#VALUE!</v>
      </c>
      <c r="E13" s="3001"/>
      <c r="F13" s="3001"/>
      <c r="G13" s="3001"/>
      <c r="H13" s="3001"/>
      <c r="I13" s="3001"/>
    </row>
    <row r="14" spans="1:9" ht="15" thickTop="1">
      <c r="A14" s="3002" t="s">
        <v>1637</v>
      </c>
      <c r="B14" s="3002"/>
      <c r="C14" s="3002"/>
      <c r="D14" s="3002"/>
      <c r="E14" s="3002"/>
      <c r="F14" s="3002"/>
      <c r="G14" s="3002"/>
      <c r="H14" s="3002"/>
      <c r="I14" s="3002"/>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7" t="s">
        <v>1654</v>
      </c>
      <c r="B1" s="3017"/>
      <c r="C1" s="3017"/>
      <c r="D1" s="3017"/>
    </row>
    <row r="2" spans="1:4" ht="18">
      <c r="A2" s="3018" t="s">
        <v>1638</v>
      </c>
      <c r="B2" s="3018"/>
      <c r="C2" s="3018"/>
      <c r="D2" s="3018"/>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8">
      <c r="A6" s="3018" t="s">
        <v>1644</v>
      </c>
      <c r="B6" s="3018"/>
      <c r="C6" s="3018"/>
      <c r="D6" s="3018"/>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19" t="s">
        <v>1647</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3" t="s">
        <v>1648</v>
      </c>
      <c r="B16" s="3013"/>
      <c r="C16" s="3013"/>
      <c r="D16" s="3013"/>
    </row>
    <row r="17" spans="1:4" ht="144" customHeight="1">
      <c r="A17" s="3013" t="s">
        <v>1649</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1650</v>
      </c>
      <c r="B22" s="3015"/>
      <c r="C22" s="3015"/>
      <c r="D22" s="3015"/>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5" t="s">
        <v>1661</v>
      </c>
      <c r="B15" s="3020" t="s">
        <v>136</v>
      </c>
      <c r="C15" s="3021"/>
    </row>
    <row r="16" spans="1:7" ht="13.5">
      <c r="A16" s="3026"/>
      <c r="B16" s="3020" t="s">
        <v>69</v>
      </c>
      <c r="C16" s="3021"/>
    </row>
    <row r="17" spans="1:3" ht="13.5">
      <c r="A17" s="3026"/>
      <c r="B17" s="3023" t="s">
        <v>1662</v>
      </c>
      <c r="C17" s="1999" t="s">
        <v>1661</v>
      </c>
    </row>
    <row r="18" spans="1:3" ht="13.5">
      <c r="A18" s="3026"/>
      <c r="B18" s="3023"/>
      <c r="C18" s="1999" t="s">
        <v>1663</v>
      </c>
    </row>
    <row r="19" spans="1:3" ht="13.5">
      <c r="A19" s="3026"/>
      <c r="B19" s="3023"/>
      <c r="C19" s="1999" t="s">
        <v>1664</v>
      </c>
    </row>
    <row r="20" spans="1:3" ht="13.5">
      <c r="A20" s="3027"/>
      <c r="B20" s="3022" t="s">
        <v>1665</v>
      </c>
      <c r="C20" s="3021"/>
    </row>
    <row r="21" spans="1:3" ht="13.5">
      <c r="A21" s="2000" t="s">
        <v>1666</v>
      </c>
      <c r="B21" s="2001"/>
      <c r="C21" s="2002"/>
    </row>
    <row r="22" spans="1:3" ht="13.5">
      <c r="A22" s="3024" t="s">
        <v>1667</v>
      </c>
      <c r="B22" s="3022" t="s">
        <v>1668</v>
      </c>
      <c r="C22" s="3021"/>
    </row>
    <row r="23" spans="1:3" ht="13.5">
      <c r="A23" s="3024"/>
      <c r="B23" s="3022" t="s">
        <v>1669</v>
      </c>
      <c r="C23" s="3021"/>
    </row>
    <row r="24" spans="1:3" ht="13.5">
      <c r="A24" s="3024"/>
      <c r="B24" s="3022" t="s">
        <v>1670</v>
      </c>
      <c r="C24" s="3021"/>
    </row>
    <row r="25" spans="1:3" ht="13.5">
      <c r="A25" s="3024"/>
      <c r="B25" s="3023" t="s">
        <v>1671</v>
      </c>
      <c r="C25" s="1999" t="s">
        <v>1672</v>
      </c>
    </row>
    <row r="26" spans="1:3" ht="13.5">
      <c r="A26" s="3024"/>
      <c r="B26" s="3023"/>
      <c r="C26" s="1999" t="s">
        <v>1673</v>
      </c>
    </row>
    <row r="27" spans="1:3" ht="13.5">
      <c r="A27" s="3024"/>
      <c r="B27" s="3023"/>
      <c r="C27" s="1999" t="s">
        <v>1674</v>
      </c>
    </row>
    <row r="28" spans="1:3" ht="13.5">
      <c r="A28" s="3024"/>
      <c r="B28" s="3023"/>
      <c r="C28" s="1999" t="s">
        <v>1675</v>
      </c>
    </row>
    <row r="29" spans="1:3" ht="13.5">
      <c r="A29" s="3024"/>
      <c r="B29" s="3023"/>
      <c r="C29" s="1999" t="s">
        <v>1676</v>
      </c>
    </row>
    <row r="30" spans="1:3" ht="13.5">
      <c r="A30" s="3024"/>
      <c r="B30" s="3023"/>
      <c r="C30" s="1999" t="s">
        <v>1677</v>
      </c>
    </row>
    <row r="31" spans="1:3" ht="13.5">
      <c r="A31" s="3024"/>
      <c r="B31" s="3023"/>
      <c r="C31" s="1999" t="s">
        <v>1678</v>
      </c>
    </row>
    <row r="32" spans="1:3" ht="13.5">
      <c r="A32" s="3024"/>
      <c r="B32" s="3023"/>
      <c r="C32" s="1999" t="s">
        <v>1679</v>
      </c>
    </row>
    <row r="33" spans="1:3" ht="13.5">
      <c r="A33" s="3024"/>
      <c r="B33" s="3023"/>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43634</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2019-06-18T05:07:39Z</dcterms:modified>
</cp:coreProperties>
</file>